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threadedComments/threadedComment3.xml" ContentType="application/vnd.ms-excel.threadedcomments+xml"/>
  <Override PartName="/xl/drawings/drawing4.xml" ContentType="application/vnd.openxmlformats-officedocument.drawing+xml"/>
  <Override PartName="/xl/ctrlProps/ctrlProp2.xml" ContentType="application/vnd.ms-excel.controlproperties+xml"/>
  <Override PartName="/xl/comments5.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omments6.xml" ContentType="application/vnd.openxmlformats-officedocument.spreadsheetml.comments+xml"/>
  <Override PartName="/xl/drawings/drawing6.xml" ContentType="application/vnd.openxmlformats-officedocument.drawing+xml"/>
  <Override PartName="/xl/ctrlProps/ctrlProp4.xml" ContentType="application/vnd.ms-excel.controlproperties+xml"/>
  <Override PartName="/xl/comments7.xml" ContentType="application/vnd.openxmlformats-officedocument.spreadsheetml.comments+xml"/>
  <Override PartName="/xl/drawings/drawing7.xml" ContentType="application/vnd.openxmlformats-officedocument.drawing+xml"/>
  <Override PartName="/xl/ctrlProps/ctrlProp5.xml" ContentType="application/vnd.ms-excel.controlproperties+xml"/>
  <Override PartName="/xl/comments8.xml" ContentType="application/vnd.openxmlformats-officedocument.spreadsheetml.comments+xml"/>
  <Override PartName="/xl/drawings/drawing8.xml" ContentType="application/vnd.openxmlformats-officedocument.drawing+xml"/>
  <Override PartName="/xl/ctrlProps/ctrlProp6.xml" ContentType="application/vnd.ms-excel.controlproperties+xml"/>
  <Override PartName="/xl/comments9.xml" ContentType="application/vnd.openxmlformats-officedocument.spreadsheetml.comments+xml"/>
  <Override PartName="/xl/drawings/drawing9.xml" ContentType="application/vnd.openxmlformats-officedocument.drawing+xml"/>
  <Override PartName="/xl/ctrlProps/ctrlProp7.xml" ContentType="application/vnd.ms-excel.controlproperties+xml"/>
  <Override PartName="/xl/comments10.xml" ContentType="application/vnd.openxmlformats-officedocument.spreadsheetml.comments+xml"/>
  <Override PartName="/xl/drawings/drawing10.xml" ContentType="application/vnd.openxmlformats-officedocument.drawing+xml"/>
  <Override PartName="/xl/ctrlProps/ctrlProp8.xml" ContentType="application/vnd.ms-excel.controlproperties+xml"/>
  <Override PartName="/xl/drawings/drawing11.xml" ContentType="application/vnd.openxmlformats-officedocument.drawing+xml"/>
  <Override PartName="/xl/ctrlProps/ctrlProp9.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10.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11.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12.xml" ContentType="application/vnd.ms-excel.controlproperties+xml"/>
  <Override PartName="/xl/drawings/drawing15.xml" ContentType="application/vnd.openxmlformats-officedocument.drawing+xml"/>
  <Override PartName="/xl/ctrlProps/ctrlProp13.xml" ContentType="application/vnd.ms-excel.controlproperties+xml"/>
  <Override PartName="/xl/drawings/drawing16.xml" ContentType="application/vnd.openxmlformats-officedocument.drawing+xml"/>
  <Override PartName="/xl/ctrlProps/ctrlProp14.xml" ContentType="application/vnd.ms-excel.controlproperties+xml"/>
  <Override PartName="/xl/comments14.xml" ContentType="application/vnd.openxmlformats-officedocument.spreadsheetml.comments+xml"/>
  <Override PartName="/xl/drawings/drawing17.xml" ContentType="application/vnd.openxmlformats-officedocument.drawing+xml"/>
  <Override PartName="/xl/ctrlProps/ctrlProp15.xml" ContentType="application/vnd.ms-excel.controlproperties+xml"/>
  <Override PartName="/xl/comments15.xml" ContentType="application/vnd.openxmlformats-officedocument.spreadsheetml.comments+xml"/>
  <Override PartName="/xl/drawings/drawing18.xml" ContentType="application/vnd.openxmlformats-officedocument.drawing+xml"/>
  <Override PartName="/xl/ctrlProps/ctrlProp16.xml" ContentType="application/vnd.ms-excel.controlproperties+xml"/>
  <Override PartName="/xl/drawings/drawing19.xml" ContentType="application/vnd.openxmlformats-officedocument.drawing+xml"/>
  <Override PartName="/xl/ctrlProps/ctrlProp17.xml" ContentType="application/vnd.ms-excel.controlproperties+xml"/>
  <Override PartName="/xl/comments16.xml" ContentType="application/vnd.openxmlformats-officedocument.spreadsheetml.comments+xml"/>
  <Override PartName="/xl/drawings/drawing20.xml" ContentType="application/vnd.openxmlformats-officedocument.drawing+xml"/>
  <Override PartName="/xl/ctrlProps/ctrlProp18.xml" ContentType="application/vnd.ms-excel.controlproperties+xml"/>
  <Override PartName="/xl/comments17.xml" ContentType="application/vnd.openxmlformats-officedocument.spreadsheetml.comments+xml"/>
  <Override PartName="/xl/drawings/drawing21.xml" ContentType="application/vnd.openxmlformats-officedocument.drawing+xml"/>
  <Override PartName="/xl/ctrlProps/ctrlProp19.xml" ContentType="application/vnd.ms-excel.controlproperties+xml"/>
  <Override PartName="/xl/comments18.xml" ContentType="application/vnd.openxmlformats-officedocument.spreadsheetml.comments+xml"/>
  <Override PartName="/xl/drawings/drawing22.xml" ContentType="application/vnd.openxmlformats-officedocument.drawing+xml"/>
  <Override PartName="/xl/ctrlProps/ctrlProp20.xml" ContentType="application/vnd.ms-excel.controlproperties+xml"/>
  <Override PartName="/xl/comments19.xml" ContentType="application/vnd.openxmlformats-officedocument.spreadsheetml.comments+xml"/>
  <Override PartName="/xl/drawings/drawing23.xml" ContentType="application/vnd.openxmlformats-officedocument.drawing+xml"/>
  <Override PartName="/xl/ctrlProps/ctrlProp21.xml" ContentType="application/vnd.ms-excel.controlproperties+xml"/>
  <Override PartName="/xl/comments20.xml" ContentType="application/vnd.openxmlformats-officedocument.spreadsheetml.comments+xml"/>
  <Override PartName="/xl/drawings/drawing24.xml" ContentType="application/vnd.openxmlformats-officedocument.drawing+xml"/>
  <Override PartName="/xl/ctrlProps/ctrlProp22.xml" ContentType="application/vnd.ms-excel.controlproperties+xml"/>
  <Override PartName="/xl/comments21.xml" ContentType="application/vnd.openxmlformats-officedocument.spreadsheetml.comments+xml"/>
  <Override PartName="/xl/drawings/drawing25.xml" ContentType="application/vnd.openxmlformats-officedocument.drawing+xml"/>
  <Override PartName="/xl/ctrlProps/ctrlProp23.xml" ContentType="application/vnd.ms-excel.controlproperties+xml"/>
  <Override PartName="/xl/comments22.xml" ContentType="application/vnd.openxmlformats-officedocument.spreadsheetml.comments+xml"/>
  <Override PartName="/xl/drawings/drawing26.xml" ContentType="application/vnd.openxmlformats-officedocument.drawing+xml"/>
  <Override PartName="/xl/ctrlProps/ctrlProp24.xml" ContentType="application/vnd.ms-excel.controlproperties+xml"/>
  <Override PartName="/xl/drawings/drawing27.xml" ContentType="application/vnd.openxmlformats-officedocument.drawing+xml"/>
  <Override PartName="/xl/ctrlProps/ctrlProp25.xml" ContentType="application/vnd.ms-excel.controlproperties+xml"/>
  <Override PartName="/xl/drawings/drawing28.xml" ContentType="application/vnd.openxmlformats-officedocument.drawing+xml"/>
  <Override PartName="/xl/ctrlProps/ctrlProp26.xml" ContentType="application/vnd.ms-excel.controlproperties+xml"/>
  <Override PartName="/xl/comments23.xml" ContentType="application/vnd.openxmlformats-officedocument.spreadsheetml.comments+xml"/>
  <Override PartName="/xl/drawings/drawing29.xml" ContentType="application/vnd.openxmlformats-officedocument.drawing+xml"/>
  <Override PartName="/xl/ctrlProps/ctrlProp27.xml" ContentType="application/vnd.ms-excel.controlproperties+xml"/>
  <Override PartName="/xl/comments24.xml" ContentType="application/vnd.openxmlformats-officedocument.spreadsheetml.comments+xml"/>
  <Override PartName="/xl/drawings/drawing30.xml" ContentType="application/vnd.openxmlformats-officedocument.drawing+xml"/>
  <Override PartName="/xl/ctrlProps/ctrlProp28.xml" ContentType="application/vnd.ms-excel.controlproperties+xml"/>
  <Override PartName="/xl/comments25.xml" ContentType="application/vnd.openxmlformats-officedocument.spreadsheetml.comments+xml"/>
  <Override PartName="/xl/drawings/drawing31.xml" ContentType="application/vnd.openxmlformats-officedocument.drawing+xml"/>
  <Override PartName="/xl/ctrlProps/ctrlProp29.xml" ContentType="application/vnd.ms-excel.controlproperties+xml"/>
  <Override PartName="/xl/comments26.xml" ContentType="application/vnd.openxmlformats-officedocument.spreadsheetml.comments+xml"/>
  <Override PartName="/xl/drawings/drawing32.xml" ContentType="application/vnd.openxmlformats-officedocument.drawing+xml"/>
  <Override PartName="/xl/ctrlProps/ctrlProp30.xml" ContentType="application/vnd.ms-excel.controlproperties+xml"/>
  <Override PartName="/xl/comments2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https://api.box.com/wopi/files/2003435936665/WOPIServiceId_TP_BOX_2/WOPIUserId_-/"/>
    </mc:Choice>
  </mc:AlternateContent>
  <xr:revisionPtr revIDLastSave="0" documentId="8_{F41F18BE-9A1A-4A2E-907F-B9770F7A14D5}" xr6:coauthVersionLast="47" xr6:coauthVersionMax="47" xr10:uidLastSave="{00000000-0000-0000-0000-000000000000}"/>
  <workbookProtection workbookAlgorithmName="SHA-512" workbookHashValue="MgI3abGt65b//n+4kpbE1uP8nffY9YUIiHL0T4eZqroHqtLLvCAEQMIWVvasaXdufvx2/TesxNSQHXPLcigmZA==" workbookSaltValue="HOcnBaukirCNKXHJkLSSyg==" workbookSpinCount="100000" lockStructure="1"/>
  <bookViews>
    <workbookView xWindow="-120" yWindow="-120" windowWidth="29040" windowHeight="15840" tabRatio="890" xr2:uid="{44845E6C-4277-4026-AB35-1DABD4D9EEA0}"/>
  </bookViews>
  <sheets>
    <sheet name="Main" sheetId="37" r:id="rId1"/>
    <sheet name="FAQs" sheetId="54" r:id="rId2"/>
    <sheet name="Results" sheetId="77" r:id="rId3"/>
    <sheet name="Conflict Info" sheetId="80" r:id="rId4"/>
    <sheet name="VL_TDM" sheetId="63" state="veryHidden" r:id="rId5"/>
    <sheet name="VL_REF" sheetId="74" state="veryHidden" r:id="rId6"/>
    <sheet name="VL_TAZ" sheetId="61" state="veryHidden" r:id="rId7"/>
    <sheet name="Calc" sheetId="78" state="veryHidden" r:id="rId8"/>
    <sheet name="Conflict_Calc" sheetId="75" state="veryHidden" r:id="rId9"/>
    <sheet name="1A VCTR program" sheetId="55" r:id="rId10"/>
    <sheet name="1B CTR program" sheetId="27" r:id="rId11"/>
    <sheet name="1C carpool" sheetId="26" r:id="rId12"/>
    <sheet name="1D1 transit subsidy (employees)" sheetId="68" r:id="rId13"/>
    <sheet name="1D2 transit subsidy (residents)" sheetId="79" r:id="rId14"/>
    <sheet name="1E vanpool" sheetId="30" r:id="rId15"/>
    <sheet name="1F telecommute" sheetId="24" r:id="rId16"/>
    <sheet name="2A TOD" sheetId="23" r:id="rId17"/>
    <sheet name="2B1 Inc Res Dens" sheetId="64" r:id="rId18"/>
    <sheet name="2B2 Inc Emp Dens" sheetId="65" r:id="rId19"/>
    <sheet name="2C affordable housing" sheetId="67" r:id="rId20"/>
    <sheet name="3A1 price emp parking" sheetId="39" r:id="rId21"/>
    <sheet name="3A2 price res parking" sheetId="82" r:id="rId22"/>
    <sheet name="3B parking cash-out" sheetId="40" r:id="rId23"/>
    <sheet name="3C limit parking" sheetId="70" r:id="rId24"/>
    <sheet name="3D bike parking" sheetId="72" r:id="rId25"/>
    <sheet name="4A street connect" sheetId="3" r:id="rId26"/>
    <sheet name="4B sidewalks" sheetId="16" r:id="rId27"/>
    <sheet name="4C bike network" sheetId="59" r:id="rId28"/>
    <sheet name="4D bike project" sheetId="14" r:id="rId29"/>
    <sheet name="4E bikeshare" sheetId="46" r:id="rId30"/>
    <sheet name="4F carshare" sheetId="48" r:id="rId31"/>
    <sheet name="4G CBTP" sheetId="49" r:id="rId32"/>
    <sheet name="4H traffic calming" sheetId="71" r:id="rId33"/>
    <sheet name="5A T network exp" sheetId="44" r:id="rId34"/>
    <sheet name="5B T freq" sheetId="42" r:id="rId35"/>
    <sheet name="5C T treatments" sheetId="43" r:id="rId36"/>
    <sheet name="5D T fare reduction" sheetId="45" r:id="rId37"/>
    <sheet name="5E microtransit" sheetId="50" r:id="rId38"/>
  </sheets>
  <definedNames>
    <definedName name="_xlnm._FilterDatabase" localSheetId="6" hidden="1">VL_TAZ!$A$10:$AN$1755</definedName>
    <definedName name="_xlnm._FilterDatabase" localSheetId="4" hidden="1">VL_TDM!$A$10:$AW$41</definedName>
    <definedName name="Change_In_VMT_1B_CTR_Program">'1B CTR program'!$E$24</definedName>
    <definedName name="Change_in_VMT_1C_Carpool">'1C carpool'!$F$17</definedName>
    <definedName name="Change_in_VMT_1E_Vanpool">'1E vanpool'!$E$35</definedName>
    <definedName name="Change_in_VMT_1F_Telecommute">'1F telecommute'!$E$17</definedName>
    <definedName name="Change_in_VMT_2A_TOD">'2A TOD'!$E$30</definedName>
    <definedName name="Change_in_VMT_3A_Parking_Price" localSheetId="21">'3A2 price res parking'!$E$28</definedName>
    <definedName name="Change_in_VMT_3A_Parking_Price">'3A1 price emp parking'!$E$26</definedName>
    <definedName name="Change_in_VMT_3B_Parking_Cashout">'3B parking cash-out'!$E$14</definedName>
    <definedName name="Change_in_VMT_4A_Street_Connect">'4A street connect'!$E$22</definedName>
    <definedName name="Change_in_VMT_4B_Sidewalks">'4B sidewalks'!$E$26</definedName>
    <definedName name="Change_in_VMT_4C_Bike_Networks">'4C bike network'!$F$55</definedName>
    <definedName name="Change_in_VMT_4D_Bike_Project">'4D bike project'!$F$55</definedName>
    <definedName name="Change_in_VMT_4E_Bikeshare">'4E bikeshare'!$F$34</definedName>
    <definedName name="Change_in_VMT_4F_Carshare">'4F carshare'!$F$23</definedName>
    <definedName name="Change_in_VMT_4G_CBTP">'4G CBTP'!$E$22</definedName>
    <definedName name="Change_in_VMT_5A_T_Network_Exp">'5A T network exp'!$E$30</definedName>
    <definedName name="Change_in_VMT_5B_T_Freq">'5B T freq'!$E$37</definedName>
    <definedName name="Change_in_VMT_5C_T_treatments">'5C T treatments'!$E$37</definedName>
    <definedName name="Change_in_VMT_5D_Fare_Reduction">'5D T fare reduction'!$E$38</definedName>
    <definedName name="Change_in_VMT_5E_Microtransit">'5E microtransit'!$E$34</definedName>
    <definedName name="_xlnm.Database">VL_TAZ!$A$10:$M$1755</definedName>
    <definedName name="jurisdiction">Main!$F$55</definedName>
    <definedName name="Location">Main!$F$53</definedName>
    <definedName name="_xlnm.Print_Titles" localSheetId="2">Results!$1:$3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55" i="61" l="1"/>
  <c r="W1755" i="61"/>
  <c r="V1755" i="61"/>
  <c r="U1755" i="61"/>
  <c r="T1755" i="61"/>
  <c r="S1755" i="61"/>
  <c r="R1755" i="61"/>
  <c r="Q1755" i="61"/>
  <c r="P1755" i="61"/>
  <c r="X1754" i="61"/>
  <c r="W1754" i="61"/>
  <c r="V1754" i="61"/>
  <c r="U1754" i="61"/>
  <c r="T1754" i="61"/>
  <c r="S1754" i="61"/>
  <c r="R1754" i="61"/>
  <c r="Q1754" i="61"/>
  <c r="P1754" i="61"/>
  <c r="X1753" i="61"/>
  <c r="W1753" i="61"/>
  <c r="V1753" i="61"/>
  <c r="U1753" i="61"/>
  <c r="T1753" i="61"/>
  <c r="S1753" i="61"/>
  <c r="R1753" i="61"/>
  <c r="Q1753" i="61"/>
  <c r="P1753" i="61"/>
  <c r="X1752" i="61"/>
  <c r="W1752" i="61"/>
  <c r="V1752" i="61"/>
  <c r="U1752" i="61"/>
  <c r="T1752" i="61"/>
  <c r="S1752" i="61"/>
  <c r="R1752" i="61"/>
  <c r="Q1752" i="61"/>
  <c r="P1752" i="61"/>
  <c r="X1751" i="61"/>
  <c r="W1751" i="61"/>
  <c r="V1751" i="61"/>
  <c r="U1751" i="61"/>
  <c r="T1751" i="61"/>
  <c r="S1751" i="61"/>
  <c r="R1751" i="61"/>
  <c r="Q1751" i="61"/>
  <c r="P1751" i="61"/>
  <c r="X1750" i="61"/>
  <c r="W1750" i="61"/>
  <c r="V1750" i="61"/>
  <c r="U1750" i="61"/>
  <c r="T1750" i="61"/>
  <c r="S1750" i="61"/>
  <c r="R1750" i="61"/>
  <c r="Q1750" i="61"/>
  <c r="P1750" i="61"/>
  <c r="X1749" i="61"/>
  <c r="W1749" i="61"/>
  <c r="V1749" i="61"/>
  <c r="U1749" i="61"/>
  <c r="T1749" i="61"/>
  <c r="S1749" i="61"/>
  <c r="R1749" i="61"/>
  <c r="Q1749" i="61"/>
  <c r="P1749" i="61"/>
  <c r="X1748" i="61"/>
  <c r="W1748" i="61"/>
  <c r="V1748" i="61"/>
  <c r="U1748" i="61"/>
  <c r="T1748" i="61"/>
  <c r="S1748" i="61"/>
  <c r="R1748" i="61"/>
  <c r="Q1748" i="61"/>
  <c r="P1748" i="61"/>
  <c r="X1747" i="61"/>
  <c r="W1747" i="61"/>
  <c r="V1747" i="61"/>
  <c r="U1747" i="61"/>
  <c r="T1747" i="61"/>
  <c r="S1747" i="61"/>
  <c r="R1747" i="61"/>
  <c r="Q1747" i="61"/>
  <c r="P1747" i="61"/>
  <c r="X1746" i="61"/>
  <c r="W1746" i="61"/>
  <c r="V1746" i="61"/>
  <c r="U1746" i="61"/>
  <c r="T1746" i="61"/>
  <c r="S1746" i="61"/>
  <c r="R1746" i="61"/>
  <c r="Q1746" i="61"/>
  <c r="P1746" i="61"/>
  <c r="X1745" i="61"/>
  <c r="W1745" i="61"/>
  <c r="V1745" i="61"/>
  <c r="U1745" i="61"/>
  <c r="T1745" i="61"/>
  <c r="S1745" i="61"/>
  <c r="R1745" i="61"/>
  <c r="Q1745" i="61"/>
  <c r="P1745" i="61"/>
  <c r="X1744" i="61"/>
  <c r="W1744" i="61"/>
  <c r="V1744" i="61"/>
  <c r="U1744" i="61"/>
  <c r="T1744" i="61"/>
  <c r="S1744" i="61"/>
  <c r="R1744" i="61"/>
  <c r="Q1744" i="61"/>
  <c r="P1744" i="61"/>
  <c r="X1743" i="61"/>
  <c r="W1743" i="61"/>
  <c r="V1743" i="61"/>
  <c r="U1743" i="61"/>
  <c r="T1743" i="61"/>
  <c r="S1743" i="61"/>
  <c r="R1743" i="61"/>
  <c r="Q1743" i="61"/>
  <c r="P1743" i="61"/>
  <c r="X1742" i="61"/>
  <c r="W1742" i="61"/>
  <c r="V1742" i="61"/>
  <c r="U1742" i="61"/>
  <c r="T1742" i="61"/>
  <c r="S1742" i="61"/>
  <c r="R1742" i="61"/>
  <c r="Q1742" i="61"/>
  <c r="P1742" i="61"/>
  <c r="X1741" i="61"/>
  <c r="W1741" i="61"/>
  <c r="V1741" i="61"/>
  <c r="U1741" i="61"/>
  <c r="T1741" i="61"/>
  <c r="S1741" i="61"/>
  <c r="R1741" i="61"/>
  <c r="Q1741" i="61"/>
  <c r="P1741" i="61"/>
  <c r="X1740" i="61"/>
  <c r="W1740" i="61"/>
  <c r="V1740" i="61"/>
  <c r="U1740" i="61"/>
  <c r="T1740" i="61"/>
  <c r="S1740" i="61"/>
  <c r="R1740" i="61"/>
  <c r="Q1740" i="61"/>
  <c r="P1740" i="61"/>
  <c r="X1739" i="61"/>
  <c r="W1739" i="61"/>
  <c r="V1739" i="61"/>
  <c r="U1739" i="61"/>
  <c r="T1739" i="61"/>
  <c r="S1739" i="61"/>
  <c r="R1739" i="61"/>
  <c r="Q1739" i="61"/>
  <c r="P1739" i="61"/>
  <c r="X1738" i="61"/>
  <c r="W1738" i="61"/>
  <c r="V1738" i="61"/>
  <c r="U1738" i="61"/>
  <c r="T1738" i="61"/>
  <c r="S1738" i="61"/>
  <c r="R1738" i="61"/>
  <c r="Q1738" i="61"/>
  <c r="P1738" i="61"/>
  <c r="X1737" i="61"/>
  <c r="W1737" i="61"/>
  <c r="V1737" i="61"/>
  <c r="U1737" i="61"/>
  <c r="T1737" i="61"/>
  <c r="S1737" i="61"/>
  <c r="R1737" i="61"/>
  <c r="Q1737" i="61"/>
  <c r="P1737" i="61"/>
  <c r="X1736" i="61"/>
  <c r="W1736" i="61"/>
  <c r="V1736" i="61"/>
  <c r="U1736" i="61"/>
  <c r="T1736" i="61"/>
  <c r="S1736" i="61"/>
  <c r="R1736" i="61"/>
  <c r="Q1736" i="61"/>
  <c r="P1736" i="61"/>
  <c r="X1735" i="61"/>
  <c r="W1735" i="61"/>
  <c r="V1735" i="61"/>
  <c r="U1735" i="61"/>
  <c r="T1735" i="61"/>
  <c r="S1735" i="61"/>
  <c r="R1735" i="61"/>
  <c r="Q1735" i="61"/>
  <c r="P1735" i="61"/>
  <c r="X1734" i="61"/>
  <c r="W1734" i="61"/>
  <c r="V1734" i="61"/>
  <c r="U1734" i="61"/>
  <c r="T1734" i="61"/>
  <c r="S1734" i="61"/>
  <c r="R1734" i="61"/>
  <c r="Q1734" i="61"/>
  <c r="P1734" i="61"/>
  <c r="X1733" i="61"/>
  <c r="W1733" i="61"/>
  <c r="V1733" i="61"/>
  <c r="U1733" i="61"/>
  <c r="T1733" i="61"/>
  <c r="S1733" i="61"/>
  <c r="R1733" i="61"/>
  <c r="Q1733" i="61"/>
  <c r="P1733" i="61"/>
  <c r="X1732" i="61"/>
  <c r="W1732" i="61"/>
  <c r="V1732" i="61"/>
  <c r="U1732" i="61"/>
  <c r="T1732" i="61"/>
  <c r="S1732" i="61"/>
  <c r="R1732" i="61"/>
  <c r="Q1732" i="61"/>
  <c r="P1732" i="61"/>
  <c r="X1731" i="61"/>
  <c r="W1731" i="61"/>
  <c r="V1731" i="61"/>
  <c r="U1731" i="61"/>
  <c r="T1731" i="61"/>
  <c r="S1731" i="61"/>
  <c r="R1731" i="61"/>
  <c r="Q1731" i="61"/>
  <c r="X1730" i="61"/>
  <c r="W1730" i="61"/>
  <c r="V1730" i="61"/>
  <c r="U1730" i="61"/>
  <c r="T1730" i="61"/>
  <c r="S1730" i="61"/>
  <c r="R1730" i="61"/>
  <c r="Q1730" i="61"/>
  <c r="P1730" i="61"/>
  <c r="X1729" i="61"/>
  <c r="W1729" i="61"/>
  <c r="V1729" i="61"/>
  <c r="U1729" i="61"/>
  <c r="T1729" i="61"/>
  <c r="S1729" i="61"/>
  <c r="R1729" i="61"/>
  <c r="Q1729" i="61"/>
  <c r="P1729" i="61"/>
  <c r="X1728" i="61"/>
  <c r="W1728" i="61"/>
  <c r="V1728" i="61"/>
  <c r="U1728" i="61"/>
  <c r="T1728" i="61"/>
  <c r="S1728" i="61"/>
  <c r="R1728" i="61"/>
  <c r="Q1728" i="61"/>
  <c r="P1728" i="61"/>
  <c r="X1727" i="61"/>
  <c r="W1727" i="61"/>
  <c r="V1727" i="61"/>
  <c r="U1727" i="61"/>
  <c r="T1727" i="61"/>
  <c r="S1727" i="61"/>
  <c r="R1727" i="61"/>
  <c r="Q1727" i="61"/>
  <c r="P1727" i="61"/>
  <c r="X1726" i="61"/>
  <c r="W1726" i="61"/>
  <c r="V1726" i="61"/>
  <c r="U1726" i="61"/>
  <c r="T1726" i="61"/>
  <c r="S1726" i="61"/>
  <c r="R1726" i="61"/>
  <c r="Q1726" i="61"/>
  <c r="X1725" i="61"/>
  <c r="W1725" i="61"/>
  <c r="V1725" i="61"/>
  <c r="U1725" i="61"/>
  <c r="T1725" i="61"/>
  <c r="S1725" i="61"/>
  <c r="R1725" i="61"/>
  <c r="Q1725" i="61"/>
  <c r="P1725" i="61"/>
  <c r="X1724" i="61"/>
  <c r="W1724" i="61"/>
  <c r="V1724" i="61"/>
  <c r="U1724" i="61"/>
  <c r="T1724" i="61"/>
  <c r="S1724" i="61"/>
  <c r="R1724" i="61"/>
  <c r="Q1724" i="61"/>
  <c r="P1724" i="61"/>
  <c r="X1723" i="61"/>
  <c r="W1723" i="61"/>
  <c r="V1723" i="61"/>
  <c r="U1723" i="61"/>
  <c r="T1723" i="61"/>
  <c r="S1723" i="61"/>
  <c r="R1723" i="61"/>
  <c r="Q1723" i="61"/>
  <c r="P1723" i="61"/>
  <c r="X1722" i="61"/>
  <c r="W1722" i="61"/>
  <c r="V1722" i="61"/>
  <c r="U1722" i="61"/>
  <c r="T1722" i="61"/>
  <c r="S1722" i="61"/>
  <c r="R1722" i="61"/>
  <c r="Q1722" i="61"/>
  <c r="P1722" i="61"/>
  <c r="X1721" i="61"/>
  <c r="W1721" i="61"/>
  <c r="V1721" i="61"/>
  <c r="U1721" i="61"/>
  <c r="T1721" i="61"/>
  <c r="S1721" i="61"/>
  <c r="R1721" i="61"/>
  <c r="Q1721" i="61"/>
  <c r="P1721" i="61"/>
  <c r="X1720" i="61"/>
  <c r="W1720" i="61"/>
  <c r="V1720" i="61"/>
  <c r="U1720" i="61"/>
  <c r="T1720" i="61"/>
  <c r="S1720" i="61"/>
  <c r="R1720" i="61"/>
  <c r="Q1720" i="61"/>
  <c r="P1720" i="61"/>
  <c r="X1719" i="61"/>
  <c r="W1719" i="61"/>
  <c r="V1719" i="61"/>
  <c r="U1719" i="61"/>
  <c r="T1719" i="61"/>
  <c r="S1719" i="61"/>
  <c r="R1719" i="61"/>
  <c r="Q1719" i="61"/>
  <c r="P1719" i="61"/>
  <c r="X1718" i="61"/>
  <c r="W1718" i="61"/>
  <c r="V1718" i="61"/>
  <c r="U1718" i="61"/>
  <c r="T1718" i="61"/>
  <c r="S1718" i="61"/>
  <c r="R1718" i="61"/>
  <c r="Q1718" i="61"/>
  <c r="P1718" i="61"/>
  <c r="X1717" i="61"/>
  <c r="W1717" i="61"/>
  <c r="V1717" i="61"/>
  <c r="U1717" i="61"/>
  <c r="T1717" i="61"/>
  <c r="S1717" i="61"/>
  <c r="R1717" i="61"/>
  <c r="Q1717" i="61"/>
  <c r="P1717" i="61"/>
  <c r="X1716" i="61"/>
  <c r="W1716" i="61"/>
  <c r="V1716" i="61"/>
  <c r="U1716" i="61"/>
  <c r="T1716" i="61"/>
  <c r="S1716" i="61"/>
  <c r="R1716" i="61"/>
  <c r="Q1716" i="61"/>
  <c r="P1716" i="61"/>
  <c r="X1715" i="61"/>
  <c r="W1715" i="61"/>
  <c r="V1715" i="61"/>
  <c r="U1715" i="61"/>
  <c r="T1715" i="61"/>
  <c r="S1715" i="61"/>
  <c r="R1715" i="61"/>
  <c r="Q1715" i="61"/>
  <c r="P1715" i="61"/>
  <c r="X1714" i="61"/>
  <c r="W1714" i="61"/>
  <c r="V1714" i="61"/>
  <c r="U1714" i="61"/>
  <c r="T1714" i="61"/>
  <c r="S1714" i="61"/>
  <c r="R1714" i="61"/>
  <c r="Q1714" i="61"/>
  <c r="P1714" i="61"/>
  <c r="X1713" i="61"/>
  <c r="W1713" i="61"/>
  <c r="V1713" i="61"/>
  <c r="U1713" i="61"/>
  <c r="T1713" i="61"/>
  <c r="S1713" i="61"/>
  <c r="R1713" i="61"/>
  <c r="Q1713" i="61"/>
  <c r="P1713" i="61"/>
  <c r="X1712" i="61"/>
  <c r="W1712" i="61"/>
  <c r="V1712" i="61"/>
  <c r="U1712" i="61"/>
  <c r="T1712" i="61"/>
  <c r="S1712" i="61"/>
  <c r="R1712" i="61"/>
  <c r="Q1712" i="61"/>
  <c r="P1712" i="61"/>
  <c r="X1711" i="61"/>
  <c r="W1711" i="61"/>
  <c r="V1711" i="61"/>
  <c r="U1711" i="61"/>
  <c r="T1711" i="61"/>
  <c r="S1711" i="61"/>
  <c r="R1711" i="61"/>
  <c r="Q1711" i="61"/>
  <c r="P1711" i="61"/>
  <c r="X1710" i="61"/>
  <c r="W1710" i="61"/>
  <c r="V1710" i="61"/>
  <c r="U1710" i="61"/>
  <c r="T1710" i="61"/>
  <c r="S1710" i="61"/>
  <c r="R1710" i="61"/>
  <c r="Q1710" i="61"/>
  <c r="P1710" i="61"/>
  <c r="X1709" i="61"/>
  <c r="W1709" i="61"/>
  <c r="V1709" i="61"/>
  <c r="U1709" i="61"/>
  <c r="T1709" i="61"/>
  <c r="S1709" i="61"/>
  <c r="R1709" i="61"/>
  <c r="Q1709" i="61"/>
  <c r="P1709" i="61"/>
  <c r="X1708" i="61"/>
  <c r="W1708" i="61"/>
  <c r="V1708" i="61"/>
  <c r="U1708" i="61"/>
  <c r="T1708" i="61"/>
  <c r="S1708" i="61"/>
  <c r="R1708" i="61"/>
  <c r="Q1708" i="61"/>
  <c r="P1708" i="61"/>
  <c r="X1707" i="61"/>
  <c r="W1707" i="61"/>
  <c r="V1707" i="61"/>
  <c r="U1707" i="61"/>
  <c r="T1707" i="61"/>
  <c r="S1707" i="61"/>
  <c r="R1707" i="61"/>
  <c r="Q1707" i="61"/>
  <c r="P1707" i="61"/>
  <c r="X1706" i="61"/>
  <c r="W1706" i="61"/>
  <c r="V1706" i="61"/>
  <c r="U1706" i="61"/>
  <c r="T1706" i="61"/>
  <c r="S1706" i="61"/>
  <c r="R1706" i="61"/>
  <c r="Q1706" i="61"/>
  <c r="P1706" i="61"/>
  <c r="X1705" i="61"/>
  <c r="W1705" i="61"/>
  <c r="V1705" i="61"/>
  <c r="U1705" i="61"/>
  <c r="T1705" i="61"/>
  <c r="S1705" i="61"/>
  <c r="R1705" i="61"/>
  <c r="Q1705" i="61"/>
  <c r="P1705" i="61"/>
  <c r="X1704" i="61"/>
  <c r="W1704" i="61"/>
  <c r="V1704" i="61"/>
  <c r="U1704" i="61"/>
  <c r="T1704" i="61"/>
  <c r="S1704" i="61"/>
  <c r="R1704" i="61"/>
  <c r="Q1704" i="61"/>
  <c r="P1704" i="61"/>
  <c r="X1703" i="61"/>
  <c r="W1703" i="61"/>
  <c r="V1703" i="61"/>
  <c r="U1703" i="61"/>
  <c r="T1703" i="61"/>
  <c r="S1703" i="61"/>
  <c r="R1703" i="61"/>
  <c r="Q1703" i="61"/>
  <c r="P1703" i="61"/>
  <c r="X1702" i="61"/>
  <c r="W1702" i="61"/>
  <c r="V1702" i="61"/>
  <c r="U1702" i="61"/>
  <c r="T1702" i="61"/>
  <c r="S1702" i="61"/>
  <c r="R1702" i="61"/>
  <c r="Q1702" i="61"/>
  <c r="P1702" i="61"/>
  <c r="X1701" i="61"/>
  <c r="W1701" i="61"/>
  <c r="V1701" i="61"/>
  <c r="U1701" i="61"/>
  <c r="T1701" i="61"/>
  <c r="S1701" i="61"/>
  <c r="R1701" i="61"/>
  <c r="Q1701" i="61"/>
  <c r="P1701" i="61"/>
  <c r="X1700" i="61"/>
  <c r="W1700" i="61"/>
  <c r="V1700" i="61"/>
  <c r="U1700" i="61"/>
  <c r="T1700" i="61"/>
  <c r="S1700" i="61"/>
  <c r="R1700" i="61"/>
  <c r="Q1700" i="61"/>
  <c r="P1700" i="61"/>
  <c r="X1699" i="61"/>
  <c r="W1699" i="61"/>
  <c r="V1699" i="61"/>
  <c r="U1699" i="61"/>
  <c r="T1699" i="61"/>
  <c r="S1699" i="61"/>
  <c r="R1699" i="61"/>
  <c r="Q1699" i="61"/>
  <c r="P1699" i="61"/>
  <c r="X1698" i="61"/>
  <c r="W1698" i="61"/>
  <c r="V1698" i="61"/>
  <c r="U1698" i="61"/>
  <c r="T1698" i="61"/>
  <c r="S1698" i="61"/>
  <c r="R1698" i="61"/>
  <c r="Q1698" i="61"/>
  <c r="P1698" i="61"/>
  <c r="X1697" i="61"/>
  <c r="W1697" i="61"/>
  <c r="V1697" i="61"/>
  <c r="U1697" i="61"/>
  <c r="T1697" i="61"/>
  <c r="S1697" i="61"/>
  <c r="R1697" i="61"/>
  <c r="Q1697" i="61"/>
  <c r="P1697" i="61"/>
  <c r="X1696" i="61"/>
  <c r="W1696" i="61"/>
  <c r="V1696" i="61"/>
  <c r="U1696" i="61"/>
  <c r="T1696" i="61"/>
  <c r="S1696" i="61"/>
  <c r="R1696" i="61"/>
  <c r="Q1696" i="61"/>
  <c r="P1696" i="61"/>
  <c r="X1695" i="61"/>
  <c r="W1695" i="61"/>
  <c r="V1695" i="61"/>
  <c r="U1695" i="61"/>
  <c r="T1695" i="61"/>
  <c r="S1695" i="61"/>
  <c r="R1695" i="61"/>
  <c r="Q1695" i="61"/>
  <c r="P1695" i="61"/>
  <c r="X1694" i="61"/>
  <c r="W1694" i="61"/>
  <c r="V1694" i="61"/>
  <c r="U1694" i="61"/>
  <c r="T1694" i="61"/>
  <c r="S1694" i="61"/>
  <c r="R1694" i="61"/>
  <c r="Q1694" i="61"/>
  <c r="P1694" i="61"/>
  <c r="X1693" i="61"/>
  <c r="W1693" i="61"/>
  <c r="V1693" i="61"/>
  <c r="U1693" i="61"/>
  <c r="T1693" i="61"/>
  <c r="S1693" i="61"/>
  <c r="R1693" i="61"/>
  <c r="Q1693" i="61"/>
  <c r="P1693" i="61"/>
  <c r="X1692" i="61"/>
  <c r="W1692" i="61"/>
  <c r="V1692" i="61"/>
  <c r="U1692" i="61"/>
  <c r="T1692" i="61"/>
  <c r="S1692" i="61"/>
  <c r="R1692" i="61"/>
  <c r="Q1692" i="61"/>
  <c r="X1691" i="61"/>
  <c r="W1691" i="61"/>
  <c r="V1691" i="61"/>
  <c r="U1691" i="61"/>
  <c r="T1691" i="61"/>
  <c r="S1691" i="61"/>
  <c r="R1691" i="61"/>
  <c r="Q1691" i="61"/>
  <c r="X1690" i="61"/>
  <c r="W1690" i="61"/>
  <c r="V1690" i="61"/>
  <c r="U1690" i="61"/>
  <c r="T1690" i="61"/>
  <c r="S1690" i="61"/>
  <c r="R1690" i="61"/>
  <c r="Q1690" i="61"/>
  <c r="P1690" i="61"/>
  <c r="X1689" i="61"/>
  <c r="W1689" i="61"/>
  <c r="V1689" i="61"/>
  <c r="U1689" i="61"/>
  <c r="T1689" i="61"/>
  <c r="S1689" i="61"/>
  <c r="R1689" i="61"/>
  <c r="Q1689" i="61"/>
  <c r="P1689" i="61"/>
  <c r="X1688" i="61"/>
  <c r="W1688" i="61"/>
  <c r="V1688" i="61"/>
  <c r="U1688" i="61"/>
  <c r="T1688" i="61"/>
  <c r="S1688" i="61"/>
  <c r="R1688" i="61"/>
  <c r="Q1688" i="61"/>
  <c r="P1688" i="61"/>
  <c r="X1687" i="61"/>
  <c r="W1687" i="61"/>
  <c r="V1687" i="61"/>
  <c r="U1687" i="61"/>
  <c r="T1687" i="61"/>
  <c r="S1687" i="61"/>
  <c r="R1687" i="61"/>
  <c r="Q1687" i="61"/>
  <c r="P1687" i="61"/>
  <c r="X1686" i="61"/>
  <c r="W1686" i="61"/>
  <c r="V1686" i="61"/>
  <c r="U1686" i="61"/>
  <c r="T1686" i="61"/>
  <c r="S1686" i="61"/>
  <c r="R1686" i="61"/>
  <c r="Q1686" i="61"/>
  <c r="X1685" i="61"/>
  <c r="W1685" i="61"/>
  <c r="V1685" i="61"/>
  <c r="U1685" i="61"/>
  <c r="T1685" i="61"/>
  <c r="S1685" i="61"/>
  <c r="R1685" i="61"/>
  <c r="Q1685" i="61"/>
  <c r="P1685" i="61"/>
  <c r="X1684" i="61"/>
  <c r="W1684" i="61"/>
  <c r="V1684" i="61"/>
  <c r="U1684" i="61"/>
  <c r="T1684" i="61"/>
  <c r="S1684" i="61"/>
  <c r="R1684" i="61"/>
  <c r="Q1684" i="61"/>
  <c r="P1684" i="61"/>
  <c r="X1683" i="61"/>
  <c r="W1683" i="61"/>
  <c r="V1683" i="61"/>
  <c r="U1683" i="61"/>
  <c r="T1683" i="61"/>
  <c r="S1683" i="61"/>
  <c r="R1683" i="61"/>
  <c r="Q1683" i="61"/>
  <c r="P1683" i="61"/>
  <c r="X1682" i="61"/>
  <c r="W1682" i="61"/>
  <c r="V1682" i="61"/>
  <c r="U1682" i="61"/>
  <c r="T1682" i="61"/>
  <c r="S1682" i="61"/>
  <c r="R1682" i="61"/>
  <c r="Q1682" i="61"/>
  <c r="X1681" i="61"/>
  <c r="W1681" i="61"/>
  <c r="V1681" i="61"/>
  <c r="U1681" i="61"/>
  <c r="T1681" i="61"/>
  <c r="S1681" i="61"/>
  <c r="R1681" i="61"/>
  <c r="Q1681" i="61"/>
  <c r="P1681" i="61"/>
  <c r="X1680" i="61"/>
  <c r="W1680" i="61"/>
  <c r="V1680" i="61"/>
  <c r="U1680" i="61"/>
  <c r="T1680" i="61"/>
  <c r="S1680" i="61"/>
  <c r="R1680" i="61"/>
  <c r="Q1680" i="61"/>
  <c r="P1680" i="61"/>
  <c r="X1679" i="61"/>
  <c r="W1679" i="61"/>
  <c r="V1679" i="61"/>
  <c r="U1679" i="61"/>
  <c r="T1679" i="61"/>
  <c r="S1679" i="61"/>
  <c r="R1679" i="61"/>
  <c r="Q1679" i="61"/>
  <c r="X1678" i="61"/>
  <c r="W1678" i="61"/>
  <c r="V1678" i="61"/>
  <c r="U1678" i="61"/>
  <c r="T1678" i="61"/>
  <c r="S1678" i="61"/>
  <c r="R1678" i="61"/>
  <c r="Q1678" i="61"/>
  <c r="P1678" i="61"/>
  <c r="X1677" i="61"/>
  <c r="W1677" i="61"/>
  <c r="V1677" i="61"/>
  <c r="U1677" i="61"/>
  <c r="T1677" i="61"/>
  <c r="S1677" i="61"/>
  <c r="R1677" i="61"/>
  <c r="Q1677" i="61"/>
  <c r="P1677" i="61"/>
  <c r="X1676" i="61"/>
  <c r="W1676" i="61"/>
  <c r="V1676" i="61"/>
  <c r="U1676" i="61"/>
  <c r="T1676" i="61"/>
  <c r="S1676" i="61"/>
  <c r="R1676" i="61"/>
  <c r="Q1676" i="61"/>
  <c r="P1676" i="61"/>
  <c r="X1675" i="61"/>
  <c r="W1675" i="61"/>
  <c r="V1675" i="61"/>
  <c r="U1675" i="61"/>
  <c r="T1675" i="61"/>
  <c r="S1675" i="61"/>
  <c r="R1675" i="61"/>
  <c r="Q1675" i="61"/>
  <c r="P1675" i="61"/>
  <c r="X1674" i="61"/>
  <c r="W1674" i="61"/>
  <c r="V1674" i="61"/>
  <c r="U1674" i="61"/>
  <c r="T1674" i="61"/>
  <c r="S1674" i="61"/>
  <c r="R1674" i="61"/>
  <c r="Q1674" i="61"/>
  <c r="P1674" i="61"/>
  <c r="X1673" i="61"/>
  <c r="W1673" i="61"/>
  <c r="V1673" i="61"/>
  <c r="U1673" i="61"/>
  <c r="T1673" i="61"/>
  <c r="S1673" i="61"/>
  <c r="R1673" i="61"/>
  <c r="Q1673" i="61"/>
  <c r="P1673" i="61"/>
  <c r="X1672" i="61"/>
  <c r="W1672" i="61"/>
  <c r="V1672" i="61"/>
  <c r="U1672" i="61"/>
  <c r="T1672" i="61"/>
  <c r="S1672" i="61"/>
  <c r="R1672" i="61"/>
  <c r="Q1672" i="61"/>
  <c r="P1672" i="61"/>
  <c r="X1671" i="61"/>
  <c r="W1671" i="61"/>
  <c r="V1671" i="61"/>
  <c r="U1671" i="61"/>
  <c r="T1671" i="61"/>
  <c r="S1671" i="61"/>
  <c r="R1671" i="61"/>
  <c r="Q1671" i="61"/>
  <c r="P1671" i="61"/>
  <c r="X1670" i="61"/>
  <c r="W1670" i="61"/>
  <c r="V1670" i="61"/>
  <c r="U1670" i="61"/>
  <c r="T1670" i="61"/>
  <c r="S1670" i="61"/>
  <c r="R1670" i="61"/>
  <c r="Q1670" i="61"/>
  <c r="P1670" i="61"/>
  <c r="X1669" i="61"/>
  <c r="W1669" i="61"/>
  <c r="V1669" i="61"/>
  <c r="U1669" i="61"/>
  <c r="T1669" i="61"/>
  <c r="S1669" i="61"/>
  <c r="R1669" i="61"/>
  <c r="Q1669" i="61"/>
  <c r="P1669" i="61"/>
  <c r="X1668" i="61"/>
  <c r="W1668" i="61"/>
  <c r="V1668" i="61"/>
  <c r="U1668" i="61"/>
  <c r="T1668" i="61"/>
  <c r="S1668" i="61"/>
  <c r="R1668" i="61"/>
  <c r="Q1668" i="61"/>
  <c r="X1667" i="61"/>
  <c r="W1667" i="61"/>
  <c r="V1667" i="61"/>
  <c r="U1667" i="61"/>
  <c r="T1667" i="61"/>
  <c r="S1667" i="61"/>
  <c r="R1667" i="61"/>
  <c r="Q1667" i="61"/>
  <c r="P1667" i="61"/>
  <c r="X1666" i="61"/>
  <c r="W1666" i="61"/>
  <c r="V1666" i="61"/>
  <c r="U1666" i="61"/>
  <c r="T1666" i="61"/>
  <c r="S1666" i="61"/>
  <c r="R1666" i="61"/>
  <c r="Q1666" i="61"/>
  <c r="P1666" i="61"/>
  <c r="X1665" i="61"/>
  <c r="W1665" i="61"/>
  <c r="V1665" i="61"/>
  <c r="U1665" i="61"/>
  <c r="T1665" i="61"/>
  <c r="S1665" i="61"/>
  <c r="R1665" i="61"/>
  <c r="Q1665" i="61"/>
  <c r="X1664" i="61"/>
  <c r="W1664" i="61"/>
  <c r="V1664" i="61"/>
  <c r="U1664" i="61"/>
  <c r="T1664" i="61"/>
  <c r="S1664" i="61"/>
  <c r="R1664" i="61"/>
  <c r="Q1664" i="61"/>
  <c r="P1664" i="61"/>
  <c r="X1663" i="61"/>
  <c r="W1663" i="61"/>
  <c r="V1663" i="61"/>
  <c r="U1663" i="61"/>
  <c r="T1663" i="61"/>
  <c r="S1663" i="61"/>
  <c r="R1663" i="61"/>
  <c r="Q1663" i="61"/>
  <c r="P1663" i="61"/>
  <c r="X1662" i="61"/>
  <c r="W1662" i="61"/>
  <c r="V1662" i="61"/>
  <c r="U1662" i="61"/>
  <c r="T1662" i="61"/>
  <c r="S1662" i="61"/>
  <c r="R1662" i="61"/>
  <c r="Q1662" i="61"/>
  <c r="P1662" i="61"/>
  <c r="X1661" i="61"/>
  <c r="W1661" i="61"/>
  <c r="V1661" i="61"/>
  <c r="U1661" i="61"/>
  <c r="T1661" i="61"/>
  <c r="S1661" i="61"/>
  <c r="R1661" i="61"/>
  <c r="Q1661" i="61"/>
  <c r="P1661" i="61"/>
  <c r="X1660" i="61"/>
  <c r="W1660" i="61"/>
  <c r="V1660" i="61"/>
  <c r="U1660" i="61"/>
  <c r="T1660" i="61"/>
  <c r="S1660" i="61"/>
  <c r="R1660" i="61"/>
  <c r="Q1660" i="61"/>
  <c r="P1660" i="61"/>
  <c r="X1659" i="61"/>
  <c r="W1659" i="61"/>
  <c r="V1659" i="61"/>
  <c r="U1659" i="61"/>
  <c r="T1659" i="61"/>
  <c r="S1659" i="61"/>
  <c r="R1659" i="61"/>
  <c r="Q1659" i="61"/>
  <c r="P1659" i="61"/>
  <c r="X1658" i="61"/>
  <c r="W1658" i="61"/>
  <c r="V1658" i="61"/>
  <c r="U1658" i="61"/>
  <c r="T1658" i="61"/>
  <c r="S1658" i="61"/>
  <c r="R1658" i="61"/>
  <c r="Q1658" i="61"/>
  <c r="P1658" i="61"/>
  <c r="X1657" i="61"/>
  <c r="W1657" i="61"/>
  <c r="V1657" i="61"/>
  <c r="U1657" i="61"/>
  <c r="T1657" i="61"/>
  <c r="S1657" i="61"/>
  <c r="R1657" i="61"/>
  <c r="Q1657" i="61"/>
  <c r="P1657" i="61"/>
  <c r="X1656" i="61"/>
  <c r="W1656" i="61"/>
  <c r="V1656" i="61"/>
  <c r="U1656" i="61"/>
  <c r="T1656" i="61"/>
  <c r="S1656" i="61"/>
  <c r="R1656" i="61"/>
  <c r="Q1656" i="61"/>
  <c r="P1656" i="61"/>
  <c r="X1655" i="61"/>
  <c r="W1655" i="61"/>
  <c r="V1655" i="61"/>
  <c r="U1655" i="61"/>
  <c r="T1655" i="61"/>
  <c r="S1655" i="61"/>
  <c r="R1655" i="61"/>
  <c r="Q1655" i="61"/>
  <c r="P1655" i="61"/>
  <c r="X1654" i="61"/>
  <c r="W1654" i="61"/>
  <c r="V1654" i="61"/>
  <c r="U1654" i="61"/>
  <c r="T1654" i="61"/>
  <c r="S1654" i="61"/>
  <c r="R1654" i="61"/>
  <c r="Q1654" i="61"/>
  <c r="P1654" i="61"/>
  <c r="X1653" i="61"/>
  <c r="W1653" i="61"/>
  <c r="V1653" i="61"/>
  <c r="U1653" i="61"/>
  <c r="T1653" i="61"/>
  <c r="S1653" i="61"/>
  <c r="R1653" i="61"/>
  <c r="Q1653" i="61"/>
  <c r="P1653" i="61"/>
  <c r="X1652" i="61"/>
  <c r="W1652" i="61"/>
  <c r="V1652" i="61"/>
  <c r="U1652" i="61"/>
  <c r="T1652" i="61"/>
  <c r="S1652" i="61"/>
  <c r="R1652" i="61"/>
  <c r="Q1652" i="61"/>
  <c r="P1652" i="61"/>
  <c r="X1651" i="61"/>
  <c r="W1651" i="61"/>
  <c r="V1651" i="61"/>
  <c r="U1651" i="61"/>
  <c r="T1651" i="61"/>
  <c r="S1651" i="61"/>
  <c r="R1651" i="61"/>
  <c r="Q1651" i="61"/>
  <c r="P1651" i="61"/>
  <c r="X1650" i="61"/>
  <c r="W1650" i="61"/>
  <c r="V1650" i="61"/>
  <c r="U1650" i="61"/>
  <c r="T1650" i="61"/>
  <c r="S1650" i="61"/>
  <c r="R1650" i="61"/>
  <c r="Q1650" i="61"/>
  <c r="P1650" i="61"/>
  <c r="X1649" i="61"/>
  <c r="W1649" i="61"/>
  <c r="V1649" i="61"/>
  <c r="U1649" i="61"/>
  <c r="T1649" i="61"/>
  <c r="S1649" i="61"/>
  <c r="R1649" i="61"/>
  <c r="Q1649" i="61"/>
  <c r="P1649" i="61"/>
  <c r="X1648" i="61"/>
  <c r="W1648" i="61"/>
  <c r="V1648" i="61"/>
  <c r="U1648" i="61"/>
  <c r="T1648" i="61"/>
  <c r="S1648" i="61"/>
  <c r="R1648" i="61"/>
  <c r="Q1648" i="61"/>
  <c r="P1648" i="61"/>
  <c r="X1647" i="61"/>
  <c r="W1647" i="61"/>
  <c r="V1647" i="61"/>
  <c r="U1647" i="61"/>
  <c r="T1647" i="61"/>
  <c r="S1647" i="61"/>
  <c r="R1647" i="61"/>
  <c r="Q1647" i="61"/>
  <c r="P1647" i="61"/>
  <c r="X1646" i="61"/>
  <c r="W1646" i="61"/>
  <c r="V1646" i="61"/>
  <c r="U1646" i="61"/>
  <c r="T1646" i="61"/>
  <c r="S1646" i="61"/>
  <c r="R1646" i="61"/>
  <c r="Q1646" i="61"/>
  <c r="P1646" i="61"/>
  <c r="X1645" i="61"/>
  <c r="W1645" i="61"/>
  <c r="V1645" i="61"/>
  <c r="U1645" i="61"/>
  <c r="T1645" i="61"/>
  <c r="S1645" i="61"/>
  <c r="R1645" i="61"/>
  <c r="Q1645" i="61"/>
  <c r="P1645" i="61"/>
  <c r="X1644" i="61"/>
  <c r="W1644" i="61"/>
  <c r="V1644" i="61"/>
  <c r="U1644" i="61"/>
  <c r="T1644" i="61"/>
  <c r="S1644" i="61"/>
  <c r="R1644" i="61"/>
  <c r="Q1644" i="61"/>
  <c r="P1644" i="61"/>
  <c r="X1643" i="61"/>
  <c r="W1643" i="61"/>
  <c r="V1643" i="61"/>
  <c r="U1643" i="61"/>
  <c r="T1643" i="61"/>
  <c r="S1643" i="61"/>
  <c r="R1643" i="61"/>
  <c r="Q1643" i="61"/>
  <c r="P1643" i="61"/>
  <c r="X1642" i="61"/>
  <c r="W1642" i="61"/>
  <c r="V1642" i="61"/>
  <c r="U1642" i="61"/>
  <c r="T1642" i="61"/>
  <c r="S1642" i="61"/>
  <c r="R1642" i="61"/>
  <c r="Q1642" i="61"/>
  <c r="P1642" i="61"/>
  <c r="X1641" i="61"/>
  <c r="W1641" i="61"/>
  <c r="V1641" i="61"/>
  <c r="U1641" i="61"/>
  <c r="T1641" i="61"/>
  <c r="S1641" i="61"/>
  <c r="R1641" i="61"/>
  <c r="Q1641" i="61"/>
  <c r="P1641" i="61"/>
  <c r="X1640" i="61"/>
  <c r="W1640" i="61"/>
  <c r="V1640" i="61"/>
  <c r="U1640" i="61"/>
  <c r="T1640" i="61"/>
  <c r="S1640" i="61"/>
  <c r="R1640" i="61"/>
  <c r="Q1640" i="61"/>
  <c r="P1640" i="61"/>
  <c r="X1639" i="61"/>
  <c r="W1639" i="61"/>
  <c r="V1639" i="61"/>
  <c r="U1639" i="61"/>
  <c r="T1639" i="61"/>
  <c r="S1639" i="61"/>
  <c r="R1639" i="61"/>
  <c r="Q1639" i="61"/>
  <c r="P1639" i="61"/>
  <c r="X1638" i="61"/>
  <c r="W1638" i="61"/>
  <c r="V1638" i="61"/>
  <c r="U1638" i="61"/>
  <c r="T1638" i="61"/>
  <c r="S1638" i="61"/>
  <c r="R1638" i="61"/>
  <c r="Q1638" i="61"/>
  <c r="P1638" i="61"/>
  <c r="X1637" i="61"/>
  <c r="W1637" i="61"/>
  <c r="V1637" i="61"/>
  <c r="U1637" i="61"/>
  <c r="T1637" i="61"/>
  <c r="S1637" i="61"/>
  <c r="R1637" i="61"/>
  <c r="Q1637" i="61"/>
  <c r="P1637" i="61"/>
  <c r="X1636" i="61"/>
  <c r="W1636" i="61"/>
  <c r="V1636" i="61"/>
  <c r="U1636" i="61"/>
  <c r="T1636" i="61"/>
  <c r="S1636" i="61"/>
  <c r="R1636" i="61"/>
  <c r="Q1636" i="61"/>
  <c r="P1636" i="61"/>
  <c r="X1635" i="61"/>
  <c r="W1635" i="61"/>
  <c r="V1635" i="61"/>
  <c r="U1635" i="61"/>
  <c r="T1635" i="61"/>
  <c r="S1635" i="61"/>
  <c r="R1635" i="61"/>
  <c r="Q1635" i="61"/>
  <c r="P1635" i="61"/>
  <c r="X1634" i="61"/>
  <c r="W1634" i="61"/>
  <c r="V1634" i="61"/>
  <c r="U1634" i="61"/>
  <c r="T1634" i="61"/>
  <c r="S1634" i="61"/>
  <c r="R1634" i="61"/>
  <c r="Q1634" i="61"/>
  <c r="P1634" i="61"/>
  <c r="X1633" i="61"/>
  <c r="W1633" i="61"/>
  <c r="V1633" i="61"/>
  <c r="U1633" i="61"/>
  <c r="T1633" i="61"/>
  <c r="S1633" i="61"/>
  <c r="R1633" i="61"/>
  <c r="Q1633" i="61"/>
  <c r="P1633" i="61"/>
  <c r="X1632" i="61"/>
  <c r="W1632" i="61"/>
  <c r="V1632" i="61"/>
  <c r="U1632" i="61"/>
  <c r="T1632" i="61"/>
  <c r="S1632" i="61"/>
  <c r="R1632" i="61"/>
  <c r="Q1632" i="61"/>
  <c r="P1632" i="61"/>
  <c r="X1631" i="61"/>
  <c r="W1631" i="61"/>
  <c r="V1631" i="61"/>
  <c r="U1631" i="61"/>
  <c r="T1631" i="61"/>
  <c r="S1631" i="61"/>
  <c r="R1631" i="61"/>
  <c r="Q1631" i="61"/>
  <c r="P1631" i="61"/>
  <c r="X1630" i="61"/>
  <c r="W1630" i="61"/>
  <c r="V1630" i="61"/>
  <c r="U1630" i="61"/>
  <c r="T1630" i="61"/>
  <c r="S1630" i="61"/>
  <c r="R1630" i="61"/>
  <c r="Q1630" i="61"/>
  <c r="P1630" i="61"/>
  <c r="X1629" i="61"/>
  <c r="W1629" i="61"/>
  <c r="V1629" i="61"/>
  <c r="U1629" i="61"/>
  <c r="T1629" i="61"/>
  <c r="S1629" i="61"/>
  <c r="R1629" i="61"/>
  <c r="Q1629" i="61"/>
  <c r="P1629" i="61"/>
  <c r="X1628" i="61"/>
  <c r="W1628" i="61"/>
  <c r="V1628" i="61"/>
  <c r="U1628" i="61"/>
  <c r="T1628" i="61"/>
  <c r="S1628" i="61"/>
  <c r="R1628" i="61"/>
  <c r="Q1628" i="61"/>
  <c r="P1628" i="61"/>
  <c r="X1627" i="61"/>
  <c r="W1627" i="61"/>
  <c r="V1627" i="61"/>
  <c r="U1627" i="61"/>
  <c r="T1627" i="61"/>
  <c r="S1627" i="61"/>
  <c r="R1627" i="61"/>
  <c r="Q1627" i="61"/>
  <c r="P1627" i="61"/>
  <c r="X1626" i="61"/>
  <c r="W1626" i="61"/>
  <c r="V1626" i="61"/>
  <c r="U1626" i="61"/>
  <c r="T1626" i="61"/>
  <c r="S1626" i="61"/>
  <c r="R1626" i="61"/>
  <c r="Q1626" i="61"/>
  <c r="P1626" i="61"/>
  <c r="X1625" i="61"/>
  <c r="W1625" i="61"/>
  <c r="V1625" i="61"/>
  <c r="U1625" i="61"/>
  <c r="T1625" i="61"/>
  <c r="S1625" i="61"/>
  <c r="R1625" i="61"/>
  <c r="Q1625" i="61"/>
  <c r="P1625" i="61"/>
  <c r="X1624" i="61"/>
  <c r="W1624" i="61"/>
  <c r="V1624" i="61"/>
  <c r="U1624" i="61"/>
  <c r="T1624" i="61"/>
  <c r="S1624" i="61"/>
  <c r="R1624" i="61"/>
  <c r="Q1624" i="61"/>
  <c r="P1624" i="61"/>
  <c r="X1623" i="61"/>
  <c r="W1623" i="61"/>
  <c r="V1623" i="61"/>
  <c r="U1623" i="61"/>
  <c r="T1623" i="61"/>
  <c r="S1623" i="61"/>
  <c r="R1623" i="61"/>
  <c r="Q1623" i="61"/>
  <c r="P1623" i="61"/>
  <c r="X1622" i="61"/>
  <c r="W1622" i="61"/>
  <c r="V1622" i="61"/>
  <c r="U1622" i="61"/>
  <c r="T1622" i="61"/>
  <c r="S1622" i="61"/>
  <c r="R1622" i="61"/>
  <c r="Q1622" i="61"/>
  <c r="P1622" i="61"/>
  <c r="X1621" i="61"/>
  <c r="W1621" i="61"/>
  <c r="V1621" i="61"/>
  <c r="U1621" i="61"/>
  <c r="T1621" i="61"/>
  <c r="S1621" i="61"/>
  <c r="R1621" i="61"/>
  <c r="Q1621" i="61"/>
  <c r="P1621" i="61"/>
  <c r="X1620" i="61"/>
  <c r="W1620" i="61"/>
  <c r="V1620" i="61"/>
  <c r="U1620" i="61"/>
  <c r="T1620" i="61"/>
  <c r="S1620" i="61"/>
  <c r="R1620" i="61"/>
  <c r="Q1620" i="61"/>
  <c r="P1620" i="61"/>
  <c r="X1619" i="61"/>
  <c r="W1619" i="61"/>
  <c r="V1619" i="61"/>
  <c r="U1619" i="61"/>
  <c r="T1619" i="61"/>
  <c r="S1619" i="61"/>
  <c r="R1619" i="61"/>
  <c r="Q1619" i="61"/>
  <c r="P1619" i="61"/>
  <c r="X1618" i="61"/>
  <c r="W1618" i="61"/>
  <c r="V1618" i="61"/>
  <c r="U1618" i="61"/>
  <c r="T1618" i="61"/>
  <c r="S1618" i="61"/>
  <c r="R1618" i="61"/>
  <c r="Q1618" i="61"/>
  <c r="X1617" i="61"/>
  <c r="W1617" i="61"/>
  <c r="V1617" i="61"/>
  <c r="U1617" i="61"/>
  <c r="T1617" i="61"/>
  <c r="S1617" i="61"/>
  <c r="R1617" i="61"/>
  <c r="Q1617" i="61"/>
  <c r="X1616" i="61"/>
  <c r="W1616" i="61"/>
  <c r="V1616" i="61"/>
  <c r="U1616" i="61"/>
  <c r="T1616" i="61"/>
  <c r="S1616" i="61"/>
  <c r="R1616" i="61"/>
  <c r="Q1616" i="61"/>
  <c r="P1616" i="61"/>
  <c r="X1615" i="61"/>
  <c r="W1615" i="61"/>
  <c r="V1615" i="61"/>
  <c r="U1615" i="61"/>
  <c r="T1615" i="61"/>
  <c r="S1615" i="61"/>
  <c r="R1615" i="61"/>
  <c r="Q1615" i="61"/>
  <c r="X1614" i="61"/>
  <c r="W1614" i="61"/>
  <c r="V1614" i="61"/>
  <c r="U1614" i="61"/>
  <c r="T1614" i="61"/>
  <c r="S1614" i="61"/>
  <c r="R1614" i="61"/>
  <c r="Q1614" i="61"/>
  <c r="P1614" i="61"/>
  <c r="X1613" i="61"/>
  <c r="W1613" i="61"/>
  <c r="V1613" i="61"/>
  <c r="U1613" i="61"/>
  <c r="T1613" i="61"/>
  <c r="S1613" i="61"/>
  <c r="R1613" i="61"/>
  <c r="Q1613" i="61"/>
  <c r="P1613" i="61"/>
  <c r="X1612" i="61"/>
  <c r="W1612" i="61"/>
  <c r="V1612" i="61"/>
  <c r="U1612" i="61"/>
  <c r="T1612" i="61"/>
  <c r="S1612" i="61"/>
  <c r="R1612" i="61"/>
  <c r="Q1612" i="61"/>
  <c r="P1612" i="61"/>
  <c r="X1611" i="61"/>
  <c r="W1611" i="61"/>
  <c r="V1611" i="61"/>
  <c r="U1611" i="61"/>
  <c r="T1611" i="61"/>
  <c r="S1611" i="61"/>
  <c r="R1611" i="61"/>
  <c r="Q1611" i="61"/>
  <c r="P1611" i="61"/>
  <c r="X1610" i="61"/>
  <c r="W1610" i="61"/>
  <c r="V1610" i="61"/>
  <c r="U1610" i="61"/>
  <c r="T1610" i="61"/>
  <c r="S1610" i="61"/>
  <c r="R1610" i="61"/>
  <c r="Q1610" i="61"/>
  <c r="P1610" i="61"/>
  <c r="X1609" i="61"/>
  <c r="W1609" i="61"/>
  <c r="V1609" i="61"/>
  <c r="U1609" i="61"/>
  <c r="T1609" i="61"/>
  <c r="S1609" i="61"/>
  <c r="R1609" i="61"/>
  <c r="Q1609" i="61"/>
  <c r="X1608" i="61"/>
  <c r="W1608" i="61"/>
  <c r="V1608" i="61"/>
  <c r="U1608" i="61"/>
  <c r="T1608" i="61"/>
  <c r="S1608" i="61"/>
  <c r="R1608" i="61"/>
  <c r="Q1608" i="61"/>
  <c r="P1608" i="61"/>
  <c r="X1607" i="61"/>
  <c r="W1607" i="61"/>
  <c r="V1607" i="61"/>
  <c r="U1607" i="61"/>
  <c r="T1607" i="61"/>
  <c r="S1607" i="61"/>
  <c r="R1607" i="61"/>
  <c r="Q1607" i="61"/>
  <c r="P1607" i="61"/>
  <c r="X1606" i="61"/>
  <c r="W1606" i="61"/>
  <c r="V1606" i="61"/>
  <c r="U1606" i="61"/>
  <c r="T1606" i="61"/>
  <c r="S1606" i="61"/>
  <c r="R1606" i="61"/>
  <c r="Q1606" i="61"/>
  <c r="P1606" i="61"/>
  <c r="X1605" i="61"/>
  <c r="W1605" i="61"/>
  <c r="V1605" i="61"/>
  <c r="U1605" i="61"/>
  <c r="T1605" i="61"/>
  <c r="S1605" i="61"/>
  <c r="R1605" i="61"/>
  <c r="Q1605" i="61"/>
  <c r="P1605" i="61"/>
  <c r="X1604" i="61"/>
  <c r="W1604" i="61"/>
  <c r="V1604" i="61"/>
  <c r="U1604" i="61"/>
  <c r="T1604" i="61"/>
  <c r="S1604" i="61"/>
  <c r="R1604" i="61"/>
  <c r="Q1604" i="61"/>
  <c r="P1604" i="61"/>
  <c r="X1603" i="61"/>
  <c r="W1603" i="61"/>
  <c r="V1603" i="61"/>
  <c r="U1603" i="61"/>
  <c r="T1603" i="61"/>
  <c r="S1603" i="61"/>
  <c r="R1603" i="61"/>
  <c r="Q1603" i="61"/>
  <c r="P1603" i="61"/>
  <c r="X1602" i="61"/>
  <c r="W1602" i="61"/>
  <c r="V1602" i="61"/>
  <c r="U1602" i="61"/>
  <c r="T1602" i="61"/>
  <c r="S1602" i="61"/>
  <c r="R1602" i="61"/>
  <c r="Q1602" i="61"/>
  <c r="P1602" i="61"/>
  <c r="X1601" i="61"/>
  <c r="W1601" i="61"/>
  <c r="V1601" i="61"/>
  <c r="U1601" i="61"/>
  <c r="T1601" i="61"/>
  <c r="S1601" i="61"/>
  <c r="R1601" i="61"/>
  <c r="Q1601" i="61"/>
  <c r="P1601" i="61"/>
  <c r="X1600" i="61"/>
  <c r="W1600" i="61"/>
  <c r="V1600" i="61"/>
  <c r="U1600" i="61"/>
  <c r="T1600" i="61"/>
  <c r="S1600" i="61"/>
  <c r="R1600" i="61"/>
  <c r="Q1600" i="61"/>
  <c r="P1600" i="61"/>
  <c r="X1599" i="61"/>
  <c r="W1599" i="61"/>
  <c r="V1599" i="61"/>
  <c r="U1599" i="61"/>
  <c r="T1599" i="61"/>
  <c r="S1599" i="61"/>
  <c r="R1599" i="61"/>
  <c r="Q1599" i="61"/>
  <c r="P1599" i="61"/>
  <c r="X1598" i="61"/>
  <c r="W1598" i="61"/>
  <c r="V1598" i="61"/>
  <c r="U1598" i="61"/>
  <c r="T1598" i="61"/>
  <c r="S1598" i="61"/>
  <c r="R1598" i="61"/>
  <c r="Q1598" i="61"/>
  <c r="P1598" i="61"/>
  <c r="X1597" i="61"/>
  <c r="W1597" i="61"/>
  <c r="V1597" i="61"/>
  <c r="U1597" i="61"/>
  <c r="T1597" i="61"/>
  <c r="S1597" i="61"/>
  <c r="R1597" i="61"/>
  <c r="Q1597" i="61"/>
  <c r="P1597" i="61"/>
  <c r="X1596" i="61"/>
  <c r="W1596" i="61"/>
  <c r="V1596" i="61"/>
  <c r="U1596" i="61"/>
  <c r="T1596" i="61"/>
  <c r="S1596" i="61"/>
  <c r="R1596" i="61"/>
  <c r="Q1596" i="61"/>
  <c r="P1596" i="61"/>
  <c r="X1595" i="61"/>
  <c r="W1595" i="61"/>
  <c r="V1595" i="61"/>
  <c r="U1595" i="61"/>
  <c r="T1595" i="61"/>
  <c r="S1595" i="61"/>
  <c r="R1595" i="61"/>
  <c r="Q1595" i="61"/>
  <c r="P1595" i="61"/>
  <c r="X1594" i="61"/>
  <c r="W1594" i="61"/>
  <c r="V1594" i="61"/>
  <c r="U1594" i="61"/>
  <c r="T1594" i="61"/>
  <c r="S1594" i="61"/>
  <c r="R1594" i="61"/>
  <c r="Q1594" i="61"/>
  <c r="P1594" i="61"/>
  <c r="X1593" i="61"/>
  <c r="W1593" i="61"/>
  <c r="V1593" i="61"/>
  <c r="U1593" i="61"/>
  <c r="T1593" i="61"/>
  <c r="S1593" i="61"/>
  <c r="R1593" i="61"/>
  <c r="Q1593" i="61"/>
  <c r="P1593" i="61"/>
  <c r="X1592" i="61"/>
  <c r="W1592" i="61"/>
  <c r="V1592" i="61"/>
  <c r="U1592" i="61"/>
  <c r="T1592" i="61"/>
  <c r="S1592" i="61"/>
  <c r="R1592" i="61"/>
  <c r="Q1592" i="61"/>
  <c r="P1592" i="61"/>
  <c r="X1591" i="61"/>
  <c r="W1591" i="61"/>
  <c r="V1591" i="61"/>
  <c r="U1591" i="61"/>
  <c r="T1591" i="61"/>
  <c r="S1591" i="61"/>
  <c r="R1591" i="61"/>
  <c r="Q1591" i="61"/>
  <c r="P1591" i="61"/>
  <c r="X1590" i="61"/>
  <c r="W1590" i="61"/>
  <c r="V1590" i="61"/>
  <c r="U1590" i="61"/>
  <c r="T1590" i="61"/>
  <c r="S1590" i="61"/>
  <c r="R1590" i="61"/>
  <c r="Q1590" i="61"/>
  <c r="P1590" i="61"/>
  <c r="X1589" i="61"/>
  <c r="W1589" i="61"/>
  <c r="V1589" i="61"/>
  <c r="U1589" i="61"/>
  <c r="T1589" i="61"/>
  <c r="S1589" i="61"/>
  <c r="R1589" i="61"/>
  <c r="Q1589" i="61"/>
  <c r="P1589" i="61"/>
  <c r="X1588" i="61"/>
  <c r="W1588" i="61"/>
  <c r="V1588" i="61"/>
  <c r="U1588" i="61"/>
  <c r="T1588" i="61"/>
  <c r="S1588" i="61"/>
  <c r="R1588" i="61"/>
  <c r="Q1588" i="61"/>
  <c r="P1588" i="61"/>
  <c r="X1587" i="61"/>
  <c r="W1587" i="61"/>
  <c r="V1587" i="61"/>
  <c r="U1587" i="61"/>
  <c r="T1587" i="61"/>
  <c r="S1587" i="61"/>
  <c r="R1587" i="61"/>
  <c r="Q1587" i="61"/>
  <c r="P1587" i="61"/>
  <c r="X1586" i="61"/>
  <c r="W1586" i="61"/>
  <c r="V1586" i="61"/>
  <c r="U1586" i="61"/>
  <c r="T1586" i="61"/>
  <c r="S1586" i="61"/>
  <c r="R1586" i="61"/>
  <c r="Q1586" i="61"/>
  <c r="P1586" i="61"/>
  <c r="X1585" i="61"/>
  <c r="W1585" i="61"/>
  <c r="V1585" i="61"/>
  <c r="U1585" i="61"/>
  <c r="T1585" i="61"/>
  <c r="S1585" i="61"/>
  <c r="R1585" i="61"/>
  <c r="Q1585" i="61"/>
  <c r="P1585" i="61"/>
  <c r="X1584" i="61"/>
  <c r="W1584" i="61"/>
  <c r="V1584" i="61"/>
  <c r="U1584" i="61"/>
  <c r="T1584" i="61"/>
  <c r="S1584" i="61"/>
  <c r="R1584" i="61"/>
  <c r="Q1584" i="61"/>
  <c r="P1584" i="61"/>
  <c r="X1583" i="61"/>
  <c r="W1583" i="61"/>
  <c r="V1583" i="61"/>
  <c r="U1583" i="61"/>
  <c r="T1583" i="61"/>
  <c r="S1583" i="61"/>
  <c r="R1583" i="61"/>
  <c r="Q1583" i="61"/>
  <c r="P1583" i="61"/>
  <c r="X1582" i="61"/>
  <c r="W1582" i="61"/>
  <c r="V1582" i="61"/>
  <c r="U1582" i="61"/>
  <c r="T1582" i="61"/>
  <c r="S1582" i="61"/>
  <c r="R1582" i="61"/>
  <c r="Q1582" i="61"/>
  <c r="P1582" i="61"/>
  <c r="X1581" i="61"/>
  <c r="W1581" i="61"/>
  <c r="V1581" i="61"/>
  <c r="U1581" i="61"/>
  <c r="T1581" i="61"/>
  <c r="S1581" i="61"/>
  <c r="R1581" i="61"/>
  <c r="Q1581" i="61"/>
  <c r="P1581" i="61"/>
  <c r="X1580" i="61"/>
  <c r="W1580" i="61"/>
  <c r="V1580" i="61"/>
  <c r="U1580" i="61"/>
  <c r="T1580" i="61"/>
  <c r="S1580" i="61"/>
  <c r="R1580" i="61"/>
  <c r="Q1580" i="61"/>
  <c r="P1580" i="61"/>
  <c r="X1579" i="61"/>
  <c r="W1579" i="61"/>
  <c r="V1579" i="61"/>
  <c r="U1579" i="61"/>
  <c r="T1579" i="61"/>
  <c r="S1579" i="61"/>
  <c r="R1579" i="61"/>
  <c r="Q1579" i="61"/>
  <c r="P1579" i="61"/>
  <c r="X1578" i="61"/>
  <c r="W1578" i="61"/>
  <c r="V1578" i="61"/>
  <c r="U1578" i="61"/>
  <c r="T1578" i="61"/>
  <c r="S1578" i="61"/>
  <c r="R1578" i="61"/>
  <c r="Q1578" i="61"/>
  <c r="P1578" i="61"/>
  <c r="X1577" i="61"/>
  <c r="W1577" i="61"/>
  <c r="V1577" i="61"/>
  <c r="U1577" i="61"/>
  <c r="T1577" i="61"/>
  <c r="S1577" i="61"/>
  <c r="R1577" i="61"/>
  <c r="Q1577" i="61"/>
  <c r="P1577" i="61"/>
  <c r="X1576" i="61"/>
  <c r="W1576" i="61"/>
  <c r="V1576" i="61"/>
  <c r="U1576" i="61"/>
  <c r="T1576" i="61"/>
  <c r="S1576" i="61"/>
  <c r="R1576" i="61"/>
  <c r="Q1576" i="61"/>
  <c r="P1576" i="61"/>
  <c r="X1575" i="61"/>
  <c r="W1575" i="61"/>
  <c r="V1575" i="61"/>
  <c r="U1575" i="61"/>
  <c r="T1575" i="61"/>
  <c r="S1575" i="61"/>
  <c r="R1575" i="61"/>
  <c r="Q1575" i="61"/>
  <c r="P1575" i="61"/>
  <c r="X1574" i="61"/>
  <c r="W1574" i="61"/>
  <c r="V1574" i="61"/>
  <c r="U1574" i="61"/>
  <c r="T1574" i="61"/>
  <c r="S1574" i="61"/>
  <c r="R1574" i="61"/>
  <c r="Q1574" i="61"/>
  <c r="P1574" i="61"/>
  <c r="X1573" i="61"/>
  <c r="W1573" i="61"/>
  <c r="V1573" i="61"/>
  <c r="U1573" i="61"/>
  <c r="T1573" i="61"/>
  <c r="S1573" i="61"/>
  <c r="R1573" i="61"/>
  <c r="Q1573" i="61"/>
  <c r="P1573" i="61"/>
  <c r="X1572" i="61"/>
  <c r="W1572" i="61"/>
  <c r="V1572" i="61"/>
  <c r="U1572" i="61"/>
  <c r="T1572" i="61"/>
  <c r="S1572" i="61"/>
  <c r="R1572" i="61"/>
  <c r="Q1572" i="61"/>
  <c r="P1572" i="61"/>
  <c r="X1571" i="61"/>
  <c r="W1571" i="61"/>
  <c r="V1571" i="61"/>
  <c r="U1571" i="61"/>
  <c r="T1571" i="61"/>
  <c r="S1571" i="61"/>
  <c r="R1571" i="61"/>
  <c r="Q1571" i="61"/>
  <c r="P1571" i="61"/>
  <c r="X1570" i="61"/>
  <c r="W1570" i="61"/>
  <c r="V1570" i="61"/>
  <c r="U1570" i="61"/>
  <c r="T1570" i="61"/>
  <c r="S1570" i="61"/>
  <c r="R1570" i="61"/>
  <c r="Q1570" i="61"/>
  <c r="P1570" i="61"/>
  <c r="X1569" i="61"/>
  <c r="W1569" i="61"/>
  <c r="V1569" i="61"/>
  <c r="U1569" i="61"/>
  <c r="T1569" i="61"/>
  <c r="S1569" i="61"/>
  <c r="R1569" i="61"/>
  <c r="Q1569" i="61"/>
  <c r="X1568" i="61"/>
  <c r="W1568" i="61"/>
  <c r="V1568" i="61"/>
  <c r="U1568" i="61"/>
  <c r="T1568" i="61"/>
  <c r="S1568" i="61"/>
  <c r="R1568" i="61"/>
  <c r="Q1568" i="61"/>
  <c r="P1568" i="61"/>
  <c r="X1567" i="61"/>
  <c r="W1567" i="61"/>
  <c r="V1567" i="61"/>
  <c r="U1567" i="61"/>
  <c r="T1567" i="61"/>
  <c r="S1567" i="61"/>
  <c r="R1567" i="61"/>
  <c r="Q1567" i="61"/>
  <c r="P1567" i="61"/>
  <c r="X1566" i="61"/>
  <c r="W1566" i="61"/>
  <c r="V1566" i="61"/>
  <c r="U1566" i="61"/>
  <c r="T1566" i="61"/>
  <c r="S1566" i="61"/>
  <c r="R1566" i="61"/>
  <c r="Q1566" i="61"/>
  <c r="P1566" i="61"/>
  <c r="X1565" i="61"/>
  <c r="W1565" i="61"/>
  <c r="V1565" i="61"/>
  <c r="U1565" i="61"/>
  <c r="T1565" i="61"/>
  <c r="S1565" i="61"/>
  <c r="R1565" i="61"/>
  <c r="Q1565" i="61"/>
  <c r="P1565" i="61"/>
  <c r="X1564" i="61"/>
  <c r="W1564" i="61"/>
  <c r="V1564" i="61"/>
  <c r="U1564" i="61"/>
  <c r="T1564" i="61"/>
  <c r="S1564" i="61"/>
  <c r="R1564" i="61"/>
  <c r="Q1564" i="61"/>
  <c r="X1563" i="61"/>
  <c r="W1563" i="61"/>
  <c r="V1563" i="61"/>
  <c r="U1563" i="61"/>
  <c r="T1563" i="61"/>
  <c r="S1563" i="61"/>
  <c r="R1563" i="61"/>
  <c r="Q1563" i="61"/>
  <c r="P1563" i="61"/>
  <c r="X1562" i="61"/>
  <c r="W1562" i="61"/>
  <c r="V1562" i="61"/>
  <c r="U1562" i="61"/>
  <c r="T1562" i="61"/>
  <c r="S1562" i="61"/>
  <c r="R1562" i="61"/>
  <c r="Q1562" i="61"/>
  <c r="P1562" i="61"/>
  <c r="X1561" i="61"/>
  <c r="W1561" i="61"/>
  <c r="V1561" i="61"/>
  <c r="U1561" i="61"/>
  <c r="T1561" i="61"/>
  <c r="S1561" i="61"/>
  <c r="R1561" i="61"/>
  <c r="Q1561" i="61"/>
  <c r="P1561" i="61"/>
  <c r="X1560" i="61"/>
  <c r="W1560" i="61"/>
  <c r="V1560" i="61"/>
  <c r="U1560" i="61"/>
  <c r="T1560" i="61"/>
  <c r="S1560" i="61"/>
  <c r="R1560" i="61"/>
  <c r="Q1560" i="61"/>
  <c r="P1560" i="61"/>
  <c r="X1559" i="61"/>
  <c r="W1559" i="61"/>
  <c r="V1559" i="61"/>
  <c r="U1559" i="61"/>
  <c r="T1559" i="61"/>
  <c r="S1559" i="61"/>
  <c r="R1559" i="61"/>
  <c r="Q1559" i="61"/>
  <c r="P1559" i="61"/>
  <c r="X1558" i="61"/>
  <c r="W1558" i="61"/>
  <c r="V1558" i="61"/>
  <c r="U1558" i="61"/>
  <c r="T1558" i="61"/>
  <c r="S1558" i="61"/>
  <c r="R1558" i="61"/>
  <c r="Q1558" i="61"/>
  <c r="P1558" i="61"/>
  <c r="X1557" i="61"/>
  <c r="W1557" i="61"/>
  <c r="V1557" i="61"/>
  <c r="U1557" i="61"/>
  <c r="T1557" i="61"/>
  <c r="S1557" i="61"/>
  <c r="R1557" i="61"/>
  <c r="Q1557" i="61"/>
  <c r="P1557" i="61"/>
  <c r="X1556" i="61"/>
  <c r="W1556" i="61"/>
  <c r="V1556" i="61"/>
  <c r="U1556" i="61"/>
  <c r="T1556" i="61"/>
  <c r="S1556" i="61"/>
  <c r="R1556" i="61"/>
  <c r="Q1556" i="61"/>
  <c r="P1556" i="61"/>
  <c r="X1555" i="61"/>
  <c r="W1555" i="61"/>
  <c r="V1555" i="61"/>
  <c r="U1555" i="61"/>
  <c r="T1555" i="61"/>
  <c r="S1555" i="61"/>
  <c r="R1555" i="61"/>
  <c r="Q1555" i="61"/>
  <c r="P1555" i="61"/>
  <c r="X1554" i="61"/>
  <c r="W1554" i="61"/>
  <c r="V1554" i="61"/>
  <c r="U1554" i="61"/>
  <c r="T1554" i="61"/>
  <c r="S1554" i="61"/>
  <c r="R1554" i="61"/>
  <c r="Q1554" i="61"/>
  <c r="P1554" i="61"/>
  <c r="X1553" i="61"/>
  <c r="W1553" i="61"/>
  <c r="V1553" i="61"/>
  <c r="U1553" i="61"/>
  <c r="T1553" i="61"/>
  <c r="S1553" i="61"/>
  <c r="R1553" i="61"/>
  <c r="Q1553" i="61"/>
  <c r="P1553" i="61"/>
  <c r="X1552" i="61"/>
  <c r="W1552" i="61"/>
  <c r="V1552" i="61"/>
  <c r="U1552" i="61"/>
  <c r="T1552" i="61"/>
  <c r="S1552" i="61"/>
  <c r="R1552" i="61"/>
  <c r="Q1552" i="61"/>
  <c r="P1552" i="61"/>
  <c r="X1551" i="61"/>
  <c r="W1551" i="61"/>
  <c r="V1551" i="61"/>
  <c r="U1551" i="61"/>
  <c r="T1551" i="61"/>
  <c r="S1551" i="61"/>
  <c r="R1551" i="61"/>
  <c r="Q1551" i="61"/>
  <c r="P1551" i="61"/>
  <c r="X1550" i="61"/>
  <c r="W1550" i="61"/>
  <c r="V1550" i="61"/>
  <c r="U1550" i="61"/>
  <c r="T1550" i="61"/>
  <c r="S1550" i="61"/>
  <c r="R1550" i="61"/>
  <c r="Q1550" i="61"/>
  <c r="P1550" i="61"/>
  <c r="X1549" i="61"/>
  <c r="W1549" i="61"/>
  <c r="V1549" i="61"/>
  <c r="U1549" i="61"/>
  <c r="T1549" i="61"/>
  <c r="S1549" i="61"/>
  <c r="R1549" i="61"/>
  <c r="Q1549" i="61"/>
  <c r="P1549" i="61"/>
  <c r="X1548" i="61"/>
  <c r="W1548" i="61"/>
  <c r="V1548" i="61"/>
  <c r="U1548" i="61"/>
  <c r="T1548" i="61"/>
  <c r="S1548" i="61"/>
  <c r="R1548" i="61"/>
  <c r="Q1548" i="61"/>
  <c r="P1548" i="61"/>
  <c r="X1547" i="61"/>
  <c r="W1547" i="61"/>
  <c r="V1547" i="61"/>
  <c r="U1547" i="61"/>
  <c r="T1547" i="61"/>
  <c r="S1547" i="61"/>
  <c r="R1547" i="61"/>
  <c r="Q1547" i="61"/>
  <c r="P1547" i="61"/>
  <c r="X1546" i="61"/>
  <c r="W1546" i="61"/>
  <c r="V1546" i="61"/>
  <c r="U1546" i="61"/>
  <c r="T1546" i="61"/>
  <c r="S1546" i="61"/>
  <c r="R1546" i="61"/>
  <c r="Q1546" i="61"/>
  <c r="P1546" i="61"/>
  <c r="X1545" i="61"/>
  <c r="W1545" i="61"/>
  <c r="V1545" i="61"/>
  <c r="U1545" i="61"/>
  <c r="T1545" i="61"/>
  <c r="S1545" i="61"/>
  <c r="R1545" i="61"/>
  <c r="Q1545" i="61"/>
  <c r="P1545" i="61"/>
  <c r="X1544" i="61"/>
  <c r="W1544" i="61"/>
  <c r="V1544" i="61"/>
  <c r="U1544" i="61"/>
  <c r="T1544" i="61"/>
  <c r="S1544" i="61"/>
  <c r="R1544" i="61"/>
  <c r="Q1544" i="61"/>
  <c r="P1544" i="61"/>
  <c r="X1543" i="61"/>
  <c r="W1543" i="61"/>
  <c r="V1543" i="61"/>
  <c r="U1543" i="61"/>
  <c r="T1543" i="61"/>
  <c r="S1543" i="61"/>
  <c r="R1543" i="61"/>
  <c r="Q1543" i="61"/>
  <c r="P1543" i="61"/>
  <c r="X1542" i="61"/>
  <c r="W1542" i="61"/>
  <c r="V1542" i="61"/>
  <c r="U1542" i="61"/>
  <c r="T1542" i="61"/>
  <c r="S1542" i="61"/>
  <c r="R1542" i="61"/>
  <c r="Q1542" i="61"/>
  <c r="P1542" i="61"/>
  <c r="X1541" i="61"/>
  <c r="W1541" i="61"/>
  <c r="V1541" i="61"/>
  <c r="U1541" i="61"/>
  <c r="T1541" i="61"/>
  <c r="S1541" i="61"/>
  <c r="R1541" i="61"/>
  <c r="Q1541" i="61"/>
  <c r="P1541" i="61"/>
  <c r="X1540" i="61"/>
  <c r="W1540" i="61"/>
  <c r="V1540" i="61"/>
  <c r="U1540" i="61"/>
  <c r="T1540" i="61"/>
  <c r="S1540" i="61"/>
  <c r="R1540" i="61"/>
  <c r="Q1540" i="61"/>
  <c r="P1540" i="61"/>
  <c r="X1539" i="61"/>
  <c r="W1539" i="61"/>
  <c r="V1539" i="61"/>
  <c r="U1539" i="61"/>
  <c r="T1539" i="61"/>
  <c r="S1539" i="61"/>
  <c r="R1539" i="61"/>
  <c r="Q1539" i="61"/>
  <c r="P1539" i="61"/>
  <c r="X1538" i="61"/>
  <c r="W1538" i="61"/>
  <c r="V1538" i="61"/>
  <c r="U1538" i="61"/>
  <c r="T1538" i="61"/>
  <c r="S1538" i="61"/>
  <c r="R1538" i="61"/>
  <c r="Q1538" i="61"/>
  <c r="P1538" i="61"/>
  <c r="X1537" i="61"/>
  <c r="W1537" i="61"/>
  <c r="V1537" i="61"/>
  <c r="U1537" i="61"/>
  <c r="T1537" i="61"/>
  <c r="S1537" i="61"/>
  <c r="R1537" i="61"/>
  <c r="Q1537" i="61"/>
  <c r="P1537" i="61"/>
  <c r="X1536" i="61"/>
  <c r="W1536" i="61"/>
  <c r="V1536" i="61"/>
  <c r="U1536" i="61"/>
  <c r="T1536" i="61"/>
  <c r="S1536" i="61"/>
  <c r="R1536" i="61"/>
  <c r="Q1536" i="61"/>
  <c r="P1536" i="61"/>
  <c r="X1535" i="61"/>
  <c r="W1535" i="61"/>
  <c r="V1535" i="61"/>
  <c r="U1535" i="61"/>
  <c r="T1535" i="61"/>
  <c r="S1535" i="61"/>
  <c r="R1535" i="61"/>
  <c r="Q1535" i="61"/>
  <c r="P1535" i="61"/>
  <c r="X1534" i="61"/>
  <c r="W1534" i="61"/>
  <c r="V1534" i="61"/>
  <c r="U1534" i="61"/>
  <c r="T1534" i="61"/>
  <c r="S1534" i="61"/>
  <c r="R1534" i="61"/>
  <c r="Q1534" i="61"/>
  <c r="X1533" i="61"/>
  <c r="W1533" i="61"/>
  <c r="V1533" i="61"/>
  <c r="U1533" i="61"/>
  <c r="T1533" i="61"/>
  <c r="S1533" i="61"/>
  <c r="R1533" i="61"/>
  <c r="Q1533" i="61"/>
  <c r="X1532" i="61"/>
  <c r="W1532" i="61"/>
  <c r="V1532" i="61"/>
  <c r="U1532" i="61"/>
  <c r="T1532" i="61"/>
  <c r="S1532" i="61"/>
  <c r="R1532" i="61"/>
  <c r="Q1532" i="61"/>
  <c r="X1531" i="61"/>
  <c r="W1531" i="61"/>
  <c r="V1531" i="61"/>
  <c r="U1531" i="61"/>
  <c r="T1531" i="61"/>
  <c r="S1531" i="61"/>
  <c r="R1531" i="61"/>
  <c r="Q1531" i="61"/>
  <c r="X1530" i="61"/>
  <c r="W1530" i="61"/>
  <c r="V1530" i="61"/>
  <c r="U1530" i="61"/>
  <c r="T1530" i="61"/>
  <c r="S1530" i="61"/>
  <c r="R1530" i="61"/>
  <c r="Q1530" i="61"/>
  <c r="X1529" i="61"/>
  <c r="W1529" i="61"/>
  <c r="V1529" i="61"/>
  <c r="U1529" i="61"/>
  <c r="T1529" i="61"/>
  <c r="S1529" i="61"/>
  <c r="R1529" i="61"/>
  <c r="Q1529" i="61"/>
  <c r="P1529" i="61"/>
  <c r="X1528" i="61"/>
  <c r="W1528" i="61"/>
  <c r="V1528" i="61"/>
  <c r="U1528" i="61"/>
  <c r="T1528" i="61"/>
  <c r="S1528" i="61"/>
  <c r="R1528" i="61"/>
  <c r="Q1528" i="61"/>
  <c r="P1528" i="61"/>
  <c r="X1527" i="61"/>
  <c r="W1527" i="61"/>
  <c r="V1527" i="61"/>
  <c r="U1527" i="61"/>
  <c r="T1527" i="61"/>
  <c r="S1527" i="61"/>
  <c r="R1527" i="61"/>
  <c r="Q1527" i="61"/>
  <c r="X1526" i="61"/>
  <c r="W1526" i="61"/>
  <c r="V1526" i="61"/>
  <c r="U1526" i="61"/>
  <c r="T1526" i="61"/>
  <c r="S1526" i="61"/>
  <c r="R1526" i="61"/>
  <c r="Q1526" i="61"/>
  <c r="P1526" i="61"/>
  <c r="X1525" i="61"/>
  <c r="W1525" i="61"/>
  <c r="V1525" i="61"/>
  <c r="U1525" i="61"/>
  <c r="T1525" i="61"/>
  <c r="S1525" i="61"/>
  <c r="R1525" i="61"/>
  <c r="Q1525" i="61"/>
  <c r="P1525" i="61"/>
  <c r="X1524" i="61"/>
  <c r="W1524" i="61"/>
  <c r="V1524" i="61"/>
  <c r="U1524" i="61"/>
  <c r="T1524" i="61"/>
  <c r="S1524" i="61"/>
  <c r="R1524" i="61"/>
  <c r="Q1524" i="61"/>
  <c r="P1524" i="61"/>
  <c r="X1523" i="61"/>
  <c r="W1523" i="61"/>
  <c r="V1523" i="61"/>
  <c r="U1523" i="61"/>
  <c r="T1523" i="61"/>
  <c r="S1523" i="61"/>
  <c r="R1523" i="61"/>
  <c r="Q1523" i="61"/>
  <c r="X1522" i="61"/>
  <c r="W1522" i="61"/>
  <c r="V1522" i="61"/>
  <c r="U1522" i="61"/>
  <c r="T1522" i="61"/>
  <c r="S1522" i="61"/>
  <c r="R1522" i="61"/>
  <c r="Q1522" i="61"/>
  <c r="P1522" i="61"/>
  <c r="X1521" i="61"/>
  <c r="W1521" i="61"/>
  <c r="V1521" i="61"/>
  <c r="U1521" i="61"/>
  <c r="T1521" i="61"/>
  <c r="S1521" i="61"/>
  <c r="R1521" i="61"/>
  <c r="Q1521" i="61"/>
  <c r="P1521" i="61"/>
  <c r="X1520" i="61"/>
  <c r="W1520" i="61"/>
  <c r="V1520" i="61"/>
  <c r="U1520" i="61"/>
  <c r="T1520" i="61"/>
  <c r="S1520" i="61"/>
  <c r="R1520" i="61"/>
  <c r="Q1520" i="61"/>
  <c r="P1520" i="61"/>
  <c r="X1519" i="61"/>
  <c r="W1519" i="61"/>
  <c r="V1519" i="61"/>
  <c r="U1519" i="61"/>
  <c r="T1519" i="61"/>
  <c r="S1519" i="61"/>
  <c r="R1519" i="61"/>
  <c r="Q1519" i="61"/>
  <c r="P1519" i="61"/>
  <c r="X1518" i="61"/>
  <c r="W1518" i="61"/>
  <c r="V1518" i="61"/>
  <c r="U1518" i="61"/>
  <c r="T1518" i="61"/>
  <c r="S1518" i="61"/>
  <c r="R1518" i="61"/>
  <c r="Q1518" i="61"/>
  <c r="P1518" i="61"/>
  <c r="X1517" i="61"/>
  <c r="W1517" i="61"/>
  <c r="V1517" i="61"/>
  <c r="U1517" i="61"/>
  <c r="T1517" i="61"/>
  <c r="S1517" i="61"/>
  <c r="R1517" i="61"/>
  <c r="Q1517" i="61"/>
  <c r="P1517" i="61"/>
  <c r="X1516" i="61"/>
  <c r="W1516" i="61"/>
  <c r="V1516" i="61"/>
  <c r="U1516" i="61"/>
  <c r="T1516" i="61"/>
  <c r="S1516" i="61"/>
  <c r="R1516" i="61"/>
  <c r="Q1516" i="61"/>
  <c r="P1516" i="61"/>
  <c r="X1515" i="61"/>
  <c r="W1515" i="61"/>
  <c r="V1515" i="61"/>
  <c r="U1515" i="61"/>
  <c r="T1515" i="61"/>
  <c r="S1515" i="61"/>
  <c r="R1515" i="61"/>
  <c r="Q1515" i="61"/>
  <c r="P1515" i="61"/>
  <c r="X1514" i="61"/>
  <c r="W1514" i="61"/>
  <c r="V1514" i="61"/>
  <c r="U1514" i="61"/>
  <c r="T1514" i="61"/>
  <c r="S1514" i="61"/>
  <c r="R1514" i="61"/>
  <c r="Q1514" i="61"/>
  <c r="P1514" i="61"/>
  <c r="X1513" i="61"/>
  <c r="W1513" i="61"/>
  <c r="V1513" i="61"/>
  <c r="U1513" i="61"/>
  <c r="T1513" i="61"/>
  <c r="S1513" i="61"/>
  <c r="R1513" i="61"/>
  <c r="Q1513" i="61"/>
  <c r="P1513" i="61"/>
  <c r="X1512" i="61"/>
  <c r="W1512" i="61"/>
  <c r="V1512" i="61"/>
  <c r="U1512" i="61"/>
  <c r="T1512" i="61"/>
  <c r="S1512" i="61"/>
  <c r="R1512" i="61"/>
  <c r="Q1512" i="61"/>
  <c r="P1512" i="61"/>
  <c r="X1511" i="61"/>
  <c r="W1511" i="61"/>
  <c r="V1511" i="61"/>
  <c r="U1511" i="61"/>
  <c r="T1511" i="61"/>
  <c r="S1511" i="61"/>
  <c r="R1511" i="61"/>
  <c r="Q1511" i="61"/>
  <c r="P1511" i="61"/>
  <c r="X1510" i="61"/>
  <c r="W1510" i="61"/>
  <c r="V1510" i="61"/>
  <c r="U1510" i="61"/>
  <c r="T1510" i="61"/>
  <c r="S1510" i="61"/>
  <c r="R1510" i="61"/>
  <c r="Q1510" i="61"/>
  <c r="P1510" i="61"/>
  <c r="X1509" i="61"/>
  <c r="W1509" i="61"/>
  <c r="V1509" i="61"/>
  <c r="U1509" i="61"/>
  <c r="T1509" i="61"/>
  <c r="S1509" i="61"/>
  <c r="R1509" i="61"/>
  <c r="Q1509" i="61"/>
  <c r="P1509" i="61"/>
  <c r="X1508" i="61"/>
  <c r="W1508" i="61"/>
  <c r="V1508" i="61"/>
  <c r="U1508" i="61"/>
  <c r="T1508" i="61"/>
  <c r="S1508" i="61"/>
  <c r="R1508" i="61"/>
  <c r="Q1508" i="61"/>
  <c r="P1508" i="61"/>
  <c r="X1507" i="61"/>
  <c r="W1507" i="61"/>
  <c r="V1507" i="61"/>
  <c r="U1507" i="61"/>
  <c r="T1507" i="61"/>
  <c r="S1507" i="61"/>
  <c r="R1507" i="61"/>
  <c r="Q1507" i="61"/>
  <c r="P1507" i="61"/>
  <c r="X1506" i="61"/>
  <c r="W1506" i="61"/>
  <c r="V1506" i="61"/>
  <c r="U1506" i="61"/>
  <c r="T1506" i="61"/>
  <c r="S1506" i="61"/>
  <c r="R1506" i="61"/>
  <c r="Q1506" i="61"/>
  <c r="P1506" i="61"/>
  <c r="X1505" i="61"/>
  <c r="W1505" i="61"/>
  <c r="V1505" i="61"/>
  <c r="U1505" i="61"/>
  <c r="T1505" i="61"/>
  <c r="S1505" i="61"/>
  <c r="R1505" i="61"/>
  <c r="Q1505" i="61"/>
  <c r="P1505" i="61"/>
  <c r="X1504" i="61"/>
  <c r="W1504" i="61"/>
  <c r="V1504" i="61"/>
  <c r="U1504" i="61"/>
  <c r="T1504" i="61"/>
  <c r="S1504" i="61"/>
  <c r="R1504" i="61"/>
  <c r="Q1504" i="61"/>
  <c r="P1504" i="61"/>
  <c r="X1503" i="61"/>
  <c r="W1503" i="61"/>
  <c r="V1503" i="61"/>
  <c r="U1503" i="61"/>
  <c r="T1503" i="61"/>
  <c r="S1503" i="61"/>
  <c r="R1503" i="61"/>
  <c r="Q1503" i="61"/>
  <c r="P1503" i="61"/>
  <c r="X1502" i="61"/>
  <c r="W1502" i="61"/>
  <c r="V1502" i="61"/>
  <c r="U1502" i="61"/>
  <c r="T1502" i="61"/>
  <c r="S1502" i="61"/>
  <c r="R1502" i="61"/>
  <c r="Q1502" i="61"/>
  <c r="P1502" i="61"/>
  <c r="X1501" i="61"/>
  <c r="W1501" i="61"/>
  <c r="V1501" i="61"/>
  <c r="U1501" i="61"/>
  <c r="T1501" i="61"/>
  <c r="S1501" i="61"/>
  <c r="R1501" i="61"/>
  <c r="Q1501" i="61"/>
  <c r="P1501" i="61"/>
  <c r="X1500" i="61"/>
  <c r="W1500" i="61"/>
  <c r="V1500" i="61"/>
  <c r="U1500" i="61"/>
  <c r="T1500" i="61"/>
  <c r="S1500" i="61"/>
  <c r="R1500" i="61"/>
  <c r="Q1500" i="61"/>
  <c r="P1500" i="61"/>
  <c r="X1499" i="61"/>
  <c r="W1499" i="61"/>
  <c r="V1499" i="61"/>
  <c r="U1499" i="61"/>
  <c r="T1499" i="61"/>
  <c r="S1499" i="61"/>
  <c r="R1499" i="61"/>
  <c r="Q1499" i="61"/>
  <c r="P1499" i="61"/>
  <c r="X1498" i="61"/>
  <c r="W1498" i="61"/>
  <c r="V1498" i="61"/>
  <c r="U1498" i="61"/>
  <c r="T1498" i="61"/>
  <c r="S1498" i="61"/>
  <c r="R1498" i="61"/>
  <c r="Q1498" i="61"/>
  <c r="P1498" i="61"/>
  <c r="X1497" i="61"/>
  <c r="W1497" i="61"/>
  <c r="V1497" i="61"/>
  <c r="U1497" i="61"/>
  <c r="T1497" i="61"/>
  <c r="S1497" i="61"/>
  <c r="R1497" i="61"/>
  <c r="Q1497" i="61"/>
  <c r="P1497" i="61"/>
  <c r="X1496" i="61"/>
  <c r="W1496" i="61"/>
  <c r="V1496" i="61"/>
  <c r="U1496" i="61"/>
  <c r="T1496" i="61"/>
  <c r="S1496" i="61"/>
  <c r="R1496" i="61"/>
  <c r="Q1496" i="61"/>
  <c r="P1496" i="61"/>
  <c r="X1495" i="61"/>
  <c r="W1495" i="61"/>
  <c r="V1495" i="61"/>
  <c r="U1495" i="61"/>
  <c r="T1495" i="61"/>
  <c r="S1495" i="61"/>
  <c r="R1495" i="61"/>
  <c r="Q1495" i="61"/>
  <c r="P1495" i="61"/>
  <c r="X1494" i="61"/>
  <c r="W1494" i="61"/>
  <c r="V1494" i="61"/>
  <c r="U1494" i="61"/>
  <c r="T1494" i="61"/>
  <c r="S1494" i="61"/>
  <c r="R1494" i="61"/>
  <c r="Q1494" i="61"/>
  <c r="P1494" i="61"/>
  <c r="X1493" i="61"/>
  <c r="W1493" i="61"/>
  <c r="V1493" i="61"/>
  <c r="U1493" i="61"/>
  <c r="T1493" i="61"/>
  <c r="S1493" i="61"/>
  <c r="R1493" i="61"/>
  <c r="Q1493" i="61"/>
  <c r="P1493" i="61"/>
  <c r="X1492" i="61"/>
  <c r="W1492" i="61"/>
  <c r="V1492" i="61"/>
  <c r="U1492" i="61"/>
  <c r="T1492" i="61"/>
  <c r="S1492" i="61"/>
  <c r="R1492" i="61"/>
  <c r="Q1492" i="61"/>
  <c r="P1492" i="61"/>
  <c r="X1491" i="61"/>
  <c r="W1491" i="61"/>
  <c r="V1491" i="61"/>
  <c r="U1491" i="61"/>
  <c r="T1491" i="61"/>
  <c r="S1491" i="61"/>
  <c r="R1491" i="61"/>
  <c r="Q1491" i="61"/>
  <c r="P1491" i="61"/>
  <c r="X1490" i="61"/>
  <c r="W1490" i="61"/>
  <c r="V1490" i="61"/>
  <c r="U1490" i="61"/>
  <c r="T1490" i="61"/>
  <c r="S1490" i="61"/>
  <c r="R1490" i="61"/>
  <c r="Q1490" i="61"/>
  <c r="P1490" i="61"/>
  <c r="X1489" i="61"/>
  <c r="W1489" i="61"/>
  <c r="V1489" i="61"/>
  <c r="U1489" i="61"/>
  <c r="T1489" i="61"/>
  <c r="S1489" i="61"/>
  <c r="R1489" i="61"/>
  <c r="Q1489" i="61"/>
  <c r="P1489" i="61"/>
  <c r="X1488" i="61"/>
  <c r="W1488" i="61"/>
  <c r="V1488" i="61"/>
  <c r="U1488" i="61"/>
  <c r="T1488" i="61"/>
  <c r="S1488" i="61"/>
  <c r="R1488" i="61"/>
  <c r="Q1488" i="61"/>
  <c r="P1488" i="61"/>
  <c r="X1487" i="61"/>
  <c r="W1487" i="61"/>
  <c r="V1487" i="61"/>
  <c r="U1487" i="61"/>
  <c r="T1487" i="61"/>
  <c r="S1487" i="61"/>
  <c r="R1487" i="61"/>
  <c r="Q1487" i="61"/>
  <c r="P1487" i="61"/>
  <c r="X1486" i="61"/>
  <c r="W1486" i="61"/>
  <c r="V1486" i="61"/>
  <c r="U1486" i="61"/>
  <c r="T1486" i="61"/>
  <c r="S1486" i="61"/>
  <c r="R1486" i="61"/>
  <c r="Q1486" i="61"/>
  <c r="P1486" i="61"/>
  <c r="X1485" i="61"/>
  <c r="W1485" i="61"/>
  <c r="V1485" i="61"/>
  <c r="U1485" i="61"/>
  <c r="T1485" i="61"/>
  <c r="S1485" i="61"/>
  <c r="R1485" i="61"/>
  <c r="Q1485" i="61"/>
  <c r="P1485" i="61"/>
  <c r="X1484" i="61"/>
  <c r="W1484" i="61"/>
  <c r="V1484" i="61"/>
  <c r="U1484" i="61"/>
  <c r="T1484" i="61"/>
  <c r="S1484" i="61"/>
  <c r="R1484" i="61"/>
  <c r="Q1484" i="61"/>
  <c r="P1484" i="61"/>
  <c r="X1483" i="61"/>
  <c r="W1483" i="61"/>
  <c r="V1483" i="61"/>
  <c r="U1483" i="61"/>
  <c r="T1483" i="61"/>
  <c r="S1483" i="61"/>
  <c r="R1483" i="61"/>
  <c r="Q1483" i="61"/>
  <c r="P1483" i="61"/>
  <c r="X1482" i="61"/>
  <c r="W1482" i="61"/>
  <c r="V1482" i="61"/>
  <c r="U1482" i="61"/>
  <c r="T1482" i="61"/>
  <c r="S1482" i="61"/>
  <c r="R1482" i="61"/>
  <c r="Q1482" i="61"/>
  <c r="P1482" i="61"/>
  <c r="X1481" i="61"/>
  <c r="W1481" i="61"/>
  <c r="V1481" i="61"/>
  <c r="U1481" i="61"/>
  <c r="T1481" i="61"/>
  <c r="S1481" i="61"/>
  <c r="R1481" i="61"/>
  <c r="Q1481" i="61"/>
  <c r="P1481" i="61"/>
  <c r="X1480" i="61"/>
  <c r="W1480" i="61"/>
  <c r="V1480" i="61"/>
  <c r="U1480" i="61"/>
  <c r="T1480" i="61"/>
  <c r="S1480" i="61"/>
  <c r="R1480" i="61"/>
  <c r="Q1480" i="61"/>
  <c r="P1480" i="61"/>
  <c r="X1479" i="61"/>
  <c r="W1479" i="61"/>
  <c r="V1479" i="61"/>
  <c r="U1479" i="61"/>
  <c r="T1479" i="61"/>
  <c r="S1479" i="61"/>
  <c r="R1479" i="61"/>
  <c r="Q1479" i="61"/>
  <c r="P1479" i="61"/>
  <c r="X1478" i="61"/>
  <c r="W1478" i="61"/>
  <c r="V1478" i="61"/>
  <c r="U1478" i="61"/>
  <c r="T1478" i="61"/>
  <c r="S1478" i="61"/>
  <c r="R1478" i="61"/>
  <c r="Q1478" i="61"/>
  <c r="P1478" i="61"/>
  <c r="X1477" i="61"/>
  <c r="W1477" i="61"/>
  <c r="V1477" i="61"/>
  <c r="U1477" i="61"/>
  <c r="T1477" i="61"/>
  <c r="S1477" i="61"/>
  <c r="R1477" i="61"/>
  <c r="Q1477" i="61"/>
  <c r="P1477" i="61"/>
  <c r="X1476" i="61"/>
  <c r="W1476" i="61"/>
  <c r="V1476" i="61"/>
  <c r="U1476" i="61"/>
  <c r="T1476" i="61"/>
  <c r="S1476" i="61"/>
  <c r="R1476" i="61"/>
  <c r="Q1476" i="61"/>
  <c r="P1476" i="61"/>
  <c r="X1475" i="61"/>
  <c r="W1475" i="61"/>
  <c r="V1475" i="61"/>
  <c r="U1475" i="61"/>
  <c r="T1475" i="61"/>
  <c r="S1475" i="61"/>
  <c r="R1475" i="61"/>
  <c r="Q1475" i="61"/>
  <c r="P1475" i="61"/>
  <c r="X1474" i="61"/>
  <c r="W1474" i="61"/>
  <c r="V1474" i="61"/>
  <c r="U1474" i="61"/>
  <c r="T1474" i="61"/>
  <c r="S1474" i="61"/>
  <c r="R1474" i="61"/>
  <c r="Q1474" i="61"/>
  <c r="P1474" i="61"/>
  <c r="X1473" i="61"/>
  <c r="W1473" i="61"/>
  <c r="V1473" i="61"/>
  <c r="U1473" i="61"/>
  <c r="T1473" i="61"/>
  <c r="S1473" i="61"/>
  <c r="R1473" i="61"/>
  <c r="Q1473" i="61"/>
  <c r="P1473" i="61"/>
  <c r="X1472" i="61"/>
  <c r="W1472" i="61"/>
  <c r="V1472" i="61"/>
  <c r="U1472" i="61"/>
  <c r="T1472" i="61"/>
  <c r="S1472" i="61"/>
  <c r="R1472" i="61"/>
  <c r="Q1472" i="61"/>
  <c r="P1472" i="61"/>
  <c r="X1471" i="61"/>
  <c r="W1471" i="61"/>
  <c r="V1471" i="61"/>
  <c r="U1471" i="61"/>
  <c r="T1471" i="61"/>
  <c r="S1471" i="61"/>
  <c r="R1471" i="61"/>
  <c r="Q1471" i="61"/>
  <c r="P1471" i="61"/>
  <c r="X1470" i="61"/>
  <c r="W1470" i="61"/>
  <c r="V1470" i="61"/>
  <c r="U1470" i="61"/>
  <c r="T1470" i="61"/>
  <c r="S1470" i="61"/>
  <c r="R1470" i="61"/>
  <c r="Q1470" i="61"/>
  <c r="P1470" i="61"/>
  <c r="X1469" i="61"/>
  <c r="W1469" i="61"/>
  <c r="V1469" i="61"/>
  <c r="U1469" i="61"/>
  <c r="T1469" i="61"/>
  <c r="S1469" i="61"/>
  <c r="R1469" i="61"/>
  <c r="Q1469" i="61"/>
  <c r="P1469" i="61"/>
  <c r="X1468" i="61"/>
  <c r="W1468" i="61"/>
  <c r="V1468" i="61"/>
  <c r="U1468" i="61"/>
  <c r="T1468" i="61"/>
  <c r="S1468" i="61"/>
  <c r="R1468" i="61"/>
  <c r="Q1468" i="61"/>
  <c r="P1468" i="61"/>
  <c r="X1467" i="61"/>
  <c r="W1467" i="61"/>
  <c r="V1467" i="61"/>
  <c r="U1467" i="61"/>
  <c r="T1467" i="61"/>
  <c r="S1467" i="61"/>
  <c r="R1467" i="61"/>
  <c r="Q1467" i="61"/>
  <c r="P1467" i="61"/>
  <c r="X1466" i="61"/>
  <c r="W1466" i="61"/>
  <c r="V1466" i="61"/>
  <c r="U1466" i="61"/>
  <c r="T1466" i="61"/>
  <c r="S1466" i="61"/>
  <c r="R1466" i="61"/>
  <c r="Q1466" i="61"/>
  <c r="P1466" i="61"/>
  <c r="X1465" i="61"/>
  <c r="W1465" i="61"/>
  <c r="V1465" i="61"/>
  <c r="U1465" i="61"/>
  <c r="T1465" i="61"/>
  <c r="S1465" i="61"/>
  <c r="R1465" i="61"/>
  <c r="Q1465" i="61"/>
  <c r="P1465" i="61"/>
  <c r="X1464" i="61"/>
  <c r="W1464" i="61"/>
  <c r="V1464" i="61"/>
  <c r="U1464" i="61"/>
  <c r="T1464" i="61"/>
  <c r="S1464" i="61"/>
  <c r="R1464" i="61"/>
  <c r="Q1464" i="61"/>
  <c r="P1464" i="61"/>
  <c r="X1463" i="61"/>
  <c r="W1463" i="61"/>
  <c r="V1463" i="61"/>
  <c r="U1463" i="61"/>
  <c r="T1463" i="61"/>
  <c r="S1463" i="61"/>
  <c r="R1463" i="61"/>
  <c r="Q1463" i="61"/>
  <c r="P1463" i="61"/>
  <c r="X1462" i="61"/>
  <c r="W1462" i="61"/>
  <c r="V1462" i="61"/>
  <c r="U1462" i="61"/>
  <c r="T1462" i="61"/>
  <c r="S1462" i="61"/>
  <c r="R1462" i="61"/>
  <c r="Q1462" i="61"/>
  <c r="P1462" i="61"/>
  <c r="X1461" i="61"/>
  <c r="W1461" i="61"/>
  <c r="V1461" i="61"/>
  <c r="U1461" i="61"/>
  <c r="T1461" i="61"/>
  <c r="S1461" i="61"/>
  <c r="R1461" i="61"/>
  <c r="Q1461" i="61"/>
  <c r="P1461" i="61"/>
  <c r="X1460" i="61"/>
  <c r="W1460" i="61"/>
  <c r="V1460" i="61"/>
  <c r="U1460" i="61"/>
  <c r="T1460" i="61"/>
  <c r="S1460" i="61"/>
  <c r="R1460" i="61"/>
  <c r="Q1460" i="61"/>
  <c r="P1460" i="61"/>
  <c r="X1459" i="61"/>
  <c r="W1459" i="61"/>
  <c r="V1459" i="61"/>
  <c r="U1459" i="61"/>
  <c r="T1459" i="61"/>
  <c r="S1459" i="61"/>
  <c r="R1459" i="61"/>
  <c r="Q1459" i="61"/>
  <c r="P1459" i="61"/>
  <c r="X1458" i="61"/>
  <c r="W1458" i="61"/>
  <c r="V1458" i="61"/>
  <c r="U1458" i="61"/>
  <c r="T1458" i="61"/>
  <c r="S1458" i="61"/>
  <c r="R1458" i="61"/>
  <c r="Q1458" i="61"/>
  <c r="P1458" i="61"/>
  <c r="X1457" i="61"/>
  <c r="W1457" i="61"/>
  <c r="V1457" i="61"/>
  <c r="U1457" i="61"/>
  <c r="T1457" i="61"/>
  <c r="S1457" i="61"/>
  <c r="R1457" i="61"/>
  <c r="Q1457" i="61"/>
  <c r="P1457" i="61"/>
  <c r="X1456" i="61"/>
  <c r="W1456" i="61"/>
  <c r="V1456" i="61"/>
  <c r="U1456" i="61"/>
  <c r="T1456" i="61"/>
  <c r="S1456" i="61"/>
  <c r="R1456" i="61"/>
  <c r="Q1456" i="61"/>
  <c r="P1456" i="61"/>
  <c r="X1455" i="61"/>
  <c r="W1455" i="61"/>
  <c r="V1455" i="61"/>
  <c r="U1455" i="61"/>
  <c r="T1455" i="61"/>
  <c r="S1455" i="61"/>
  <c r="R1455" i="61"/>
  <c r="Q1455" i="61"/>
  <c r="P1455" i="61"/>
  <c r="X1454" i="61"/>
  <c r="W1454" i="61"/>
  <c r="V1454" i="61"/>
  <c r="U1454" i="61"/>
  <c r="T1454" i="61"/>
  <c r="S1454" i="61"/>
  <c r="R1454" i="61"/>
  <c r="Q1454" i="61"/>
  <c r="P1454" i="61"/>
  <c r="X1453" i="61"/>
  <c r="W1453" i="61"/>
  <c r="V1453" i="61"/>
  <c r="U1453" i="61"/>
  <c r="T1453" i="61"/>
  <c r="S1453" i="61"/>
  <c r="R1453" i="61"/>
  <c r="Q1453" i="61"/>
  <c r="P1453" i="61"/>
  <c r="X1452" i="61"/>
  <c r="W1452" i="61"/>
  <c r="V1452" i="61"/>
  <c r="U1452" i="61"/>
  <c r="T1452" i="61"/>
  <c r="S1452" i="61"/>
  <c r="R1452" i="61"/>
  <c r="Q1452" i="61"/>
  <c r="P1452" i="61"/>
  <c r="X1451" i="61"/>
  <c r="W1451" i="61"/>
  <c r="V1451" i="61"/>
  <c r="U1451" i="61"/>
  <c r="T1451" i="61"/>
  <c r="S1451" i="61"/>
  <c r="R1451" i="61"/>
  <c r="Q1451" i="61"/>
  <c r="P1451" i="61"/>
  <c r="X1450" i="61"/>
  <c r="W1450" i="61"/>
  <c r="V1450" i="61"/>
  <c r="U1450" i="61"/>
  <c r="T1450" i="61"/>
  <c r="S1450" i="61"/>
  <c r="R1450" i="61"/>
  <c r="Q1450" i="61"/>
  <c r="P1450" i="61"/>
  <c r="X1449" i="61"/>
  <c r="W1449" i="61"/>
  <c r="V1449" i="61"/>
  <c r="U1449" i="61"/>
  <c r="T1449" i="61"/>
  <c r="S1449" i="61"/>
  <c r="R1449" i="61"/>
  <c r="Q1449" i="61"/>
  <c r="P1449" i="61"/>
  <c r="X1448" i="61"/>
  <c r="W1448" i="61"/>
  <c r="V1448" i="61"/>
  <c r="U1448" i="61"/>
  <c r="T1448" i="61"/>
  <c r="S1448" i="61"/>
  <c r="R1448" i="61"/>
  <c r="Q1448" i="61"/>
  <c r="P1448" i="61"/>
  <c r="X1447" i="61"/>
  <c r="W1447" i="61"/>
  <c r="V1447" i="61"/>
  <c r="U1447" i="61"/>
  <c r="T1447" i="61"/>
  <c r="S1447" i="61"/>
  <c r="R1447" i="61"/>
  <c r="Q1447" i="61"/>
  <c r="P1447" i="61"/>
  <c r="X1446" i="61"/>
  <c r="W1446" i="61"/>
  <c r="V1446" i="61"/>
  <c r="U1446" i="61"/>
  <c r="T1446" i="61"/>
  <c r="S1446" i="61"/>
  <c r="R1446" i="61"/>
  <c r="Q1446" i="61"/>
  <c r="P1446" i="61"/>
  <c r="X1445" i="61"/>
  <c r="W1445" i="61"/>
  <c r="V1445" i="61"/>
  <c r="U1445" i="61"/>
  <c r="T1445" i="61"/>
  <c r="S1445" i="61"/>
  <c r="R1445" i="61"/>
  <c r="Q1445" i="61"/>
  <c r="P1445" i="61"/>
  <c r="X1444" i="61"/>
  <c r="W1444" i="61"/>
  <c r="V1444" i="61"/>
  <c r="U1444" i="61"/>
  <c r="T1444" i="61"/>
  <c r="S1444" i="61"/>
  <c r="R1444" i="61"/>
  <c r="Q1444" i="61"/>
  <c r="P1444" i="61"/>
  <c r="X1443" i="61"/>
  <c r="W1443" i="61"/>
  <c r="V1443" i="61"/>
  <c r="U1443" i="61"/>
  <c r="T1443" i="61"/>
  <c r="S1443" i="61"/>
  <c r="R1443" i="61"/>
  <c r="Q1443" i="61"/>
  <c r="P1443" i="61"/>
  <c r="X1442" i="61"/>
  <c r="W1442" i="61"/>
  <c r="V1442" i="61"/>
  <c r="U1442" i="61"/>
  <c r="T1442" i="61"/>
  <c r="S1442" i="61"/>
  <c r="R1442" i="61"/>
  <c r="Q1442" i="61"/>
  <c r="P1442" i="61"/>
  <c r="X1441" i="61"/>
  <c r="W1441" i="61"/>
  <c r="V1441" i="61"/>
  <c r="U1441" i="61"/>
  <c r="T1441" i="61"/>
  <c r="S1441" i="61"/>
  <c r="R1441" i="61"/>
  <c r="Q1441" i="61"/>
  <c r="P1441" i="61"/>
  <c r="X1440" i="61"/>
  <c r="W1440" i="61"/>
  <c r="V1440" i="61"/>
  <c r="U1440" i="61"/>
  <c r="T1440" i="61"/>
  <c r="S1440" i="61"/>
  <c r="R1440" i="61"/>
  <c r="Q1440" i="61"/>
  <c r="P1440" i="61"/>
  <c r="X1439" i="61"/>
  <c r="W1439" i="61"/>
  <c r="V1439" i="61"/>
  <c r="U1439" i="61"/>
  <c r="T1439" i="61"/>
  <c r="S1439" i="61"/>
  <c r="R1439" i="61"/>
  <c r="Q1439" i="61"/>
  <c r="P1439" i="61"/>
  <c r="X1438" i="61"/>
  <c r="W1438" i="61"/>
  <c r="V1438" i="61"/>
  <c r="U1438" i="61"/>
  <c r="T1438" i="61"/>
  <c r="S1438" i="61"/>
  <c r="R1438" i="61"/>
  <c r="Q1438" i="61"/>
  <c r="P1438" i="61"/>
  <c r="X1437" i="61"/>
  <c r="W1437" i="61"/>
  <c r="V1437" i="61"/>
  <c r="U1437" i="61"/>
  <c r="T1437" i="61"/>
  <c r="S1437" i="61"/>
  <c r="R1437" i="61"/>
  <c r="Q1437" i="61"/>
  <c r="P1437" i="61"/>
  <c r="X1436" i="61"/>
  <c r="W1436" i="61"/>
  <c r="V1436" i="61"/>
  <c r="U1436" i="61"/>
  <c r="T1436" i="61"/>
  <c r="S1436" i="61"/>
  <c r="R1436" i="61"/>
  <c r="Q1436" i="61"/>
  <c r="P1436" i="61"/>
  <c r="X1435" i="61"/>
  <c r="W1435" i="61"/>
  <c r="V1435" i="61"/>
  <c r="U1435" i="61"/>
  <c r="T1435" i="61"/>
  <c r="S1435" i="61"/>
  <c r="R1435" i="61"/>
  <c r="Q1435" i="61"/>
  <c r="P1435" i="61"/>
  <c r="X1434" i="61"/>
  <c r="W1434" i="61"/>
  <c r="V1434" i="61"/>
  <c r="U1434" i="61"/>
  <c r="T1434" i="61"/>
  <c r="S1434" i="61"/>
  <c r="R1434" i="61"/>
  <c r="Q1434" i="61"/>
  <c r="X1433" i="61"/>
  <c r="W1433" i="61"/>
  <c r="V1433" i="61"/>
  <c r="U1433" i="61"/>
  <c r="T1433" i="61"/>
  <c r="S1433" i="61"/>
  <c r="R1433" i="61"/>
  <c r="Q1433" i="61"/>
  <c r="P1433" i="61"/>
  <c r="X1432" i="61"/>
  <c r="W1432" i="61"/>
  <c r="V1432" i="61"/>
  <c r="U1432" i="61"/>
  <c r="T1432" i="61"/>
  <c r="S1432" i="61"/>
  <c r="R1432" i="61"/>
  <c r="Q1432" i="61"/>
  <c r="P1432" i="61"/>
  <c r="X1431" i="61"/>
  <c r="W1431" i="61"/>
  <c r="V1431" i="61"/>
  <c r="U1431" i="61"/>
  <c r="T1431" i="61"/>
  <c r="S1431" i="61"/>
  <c r="R1431" i="61"/>
  <c r="Q1431" i="61"/>
  <c r="P1431" i="61"/>
  <c r="X1430" i="61"/>
  <c r="W1430" i="61"/>
  <c r="V1430" i="61"/>
  <c r="U1430" i="61"/>
  <c r="T1430" i="61"/>
  <c r="S1430" i="61"/>
  <c r="R1430" i="61"/>
  <c r="Q1430" i="61"/>
  <c r="P1430" i="61"/>
  <c r="X1429" i="61"/>
  <c r="W1429" i="61"/>
  <c r="V1429" i="61"/>
  <c r="U1429" i="61"/>
  <c r="T1429" i="61"/>
  <c r="S1429" i="61"/>
  <c r="R1429" i="61"/>
  <c r="Q1429" i="61"/>
  <c r="P1429" i="61"/>
  <c r="X1428" i="61"/>
  <c r="W1428" i="61"/>
  <c r="V1428" i="61"/>
  <c r="U1428" i="61"/>
  <c r="T1428" i="61"/>
  <c r="S1428" i="61"/>
  <c r="R1428" i="61"/>
  <c r="Q1428" i="61"/>
  <c r="P1428" i="61"/>
  <c r="X1427" i="61"/>
  <c r="W1427" i="61"/>
  <c r="V1427" i="61"/>
  <c r="U1427" i="61"/>
  <c r="T1427" i="61"/>
  <c r="S1427" i="61"/>
  <c r="R1427" i="61"/>
  <c r="Q1427" i="61"/>
  <c r="P1427" i="61"/>
  <c r="X1426" i="61"/>
  <c r="W1426" i="61"/>
  <c r="V1426" i="61"/>
  <c r="U1426" i="61"/>
  <c r="T1426" i="61"/>
  <c r="S1426" i="61"/>
  <c r="R1426" i="61"/>
  <c r="Q1426" i="61"/>
  <c r="P1426" i="61"/>
  <c r="X1425" i="61"/>
  <c r="W1425" i="61"/>
  <c r="V1425" i="61"/>
  <c r="U1425" i="61"/>
  <c r="T1425" i="61"/>
  <c r="S1425" i="61"/>
  <c r="R1425" i="61"/>
  <c r="Q1425" i="61"/>
  <c r="P1425" i="61"/>
  <c r="X1424" i="61"/>
  <c r="W1424" i="61"/>
  <c r="V1424" i="61"/>
  <c r="U1424" i="61"/>
  <c r="T1424" i="61"/>
  <c r="S1424" i="61"/>
  <c r="R1424" i="61"/>
  <c r="Q1424" i="61"/>
  <c r="P1424" i="61"/>
  <c r="X1423" i="61"/>
  <c r="W1423" i="61"/>
  <c r="V1423" i="61"/>
  <c r="U1423" i="61"/>
  <c r="T1423" i="61"/>
  <c r="S1423" i="61"/>
  <c r="R1423" i="61"/>
  <c r="Q1423" i="61"/>
  <c r="P1423" i="61"/>
  <c r="X1422" i="61"/>
  <c r="W1422" i="61"/>
  <c r="V1422" i="61"/>
  <c r="U1422" i="61"/>
  <c r="T1422" i="61"/>
  <c r="S1422" i="61"/>
  <c r="R1422" i="61"/>
  <c r="Q1422" i="61"/>
  <c r="P1422" i="61"/>
  <c r="X1421" i="61"/>
  <c r="W1421" i="61"/>
  <c r="V1421" i="61"/>
  <c r="U1421" i="61"/>
  <c r="T1421" i="61"/>
  <c r="S1421" i="61"/>
  <c r="R1421" i="61"/>
  <c r="Q1421" i="61"/>
  <c r="P1421" i="61"/>
  <c r="X1420" i="61"/>
  <c r="W1420" i="61"/>
  <c r="V1420" i="61"/>
  <c r="U1420" i="61"/>
  <c r="T1420" i="61"/>
  <c r="S1420" i="61"/>
  <c r="R1420" i="61"/>
  <c r="Q1420" i="61"/>
  <c r="P1420" i="61"/>
  <c r="X1419" i="61"/>
  <c r="W1419" i="61"/>
  <c r="V1419" i="61"/>
  <c r="U1419" i="61"/>
  <c r="T1419" i="61"/>
  <c r="S1419" i="61"/>
  <c r="R1419" i="61"/>
  <c r="Q1419" i="61"/>
  <c r="P1419" i="61"/>
  <c r="X1418" i="61"/>
  <c r="W1418" i="61"/>
  <c r="V1418" i="61"/>
  <c r="U1418" i="61"/>
  <c r="T1418" i="61"/>
  <c r="S1418" i="61"/>
  <c r="R1418" i="61"/>
  <c r="Q1418" i="61"/>
  <c r="P1418" i="61"/>
  <c r="X1417" i="61"/>
  <c r="W1417" i="61"/>
  <c r="V1417" i="61"/>
  <c r="U1417" i="61"/>
  <c r="T1417" i="61"/>
  <c r="S1417" i="61"/>
  <c r="R1417" i="61"/>
  <c r="Q1417" i="61"/>
  <c r="P1417" i="61"/>
  <c r="X1416" i="61"/>
  <c r="W1416" i="61"/>
  <c r="V1416" i="61"/>
  <c r="U1416" i="61"/>
  <c r="T1416" i="61"/>
  <c r="S1416" i="61"/>
  <c r="R1416" i="61"/>
  <c r="Q1416" i="61"/>
  <c r="P1416" i="61"/>
  <c r="X1415" i="61"/>
  <c r="W1415" i="61"/>
  <c r="V1415" i="61"/>
  <c r="U1415" i="61"/>
  <c r="T1415" i="61"/>
  <c r="S1415" i="61"/>
  <c r="R1415" i="61"/>
  <c r="Q1415" i="61"/>
  <c r="P1415" i="61"/>
  <c r="X1414" i="61"/>
  <c r="W1414" i="61"/>
  <c r="V1414" i="61"/>
  <c r="U1414" i="61"/>
  <c r="T1414" i="61"/>
  <c r="S1414" i="61"/>
  <c r="R1414" i="61"/>
  <c r="Q1414" i="61"/>
  <c r="P1414" i="61"/>
  <c r="X1413" i="61"/>
  <c r="W1413" i="61"/>
  <c r="V1413" i="61"/>
  <c r="U1413" i="61"/>
  <c r="T1413" i="61"/>
  <c r="S1413" i="61"/>
  <c r="R1413" i="61"/>
  <c r="Q1413" i="61"/>
  <c r="P1413" i="61"/>
  <c r="X1412" i="61"/>
  <c r="W1412" i="61"/>
  <c r="V1412" i="61"/>
  <c r="U1412" i="61"/>
  <c r="T1412" i="61"/>
  <c r="S1412" i="61"/>
  <c r="R1412" i="61"/>
  <c r="Q1412" i="61"/>
  <c r="X1411" i="61"/>
  <c r="W1411" i="61"/>
  <c r="V1411" i="61"/>
  <c r="U1411" i="61"/>
  <c r="T1411" i="61"/>
  <c r="S1411" i="61"/>
  <c r="R1411" i="61"/>
  <c r="Q1411" i="61"/>
  <c r="P1411" i="61"/>
  <c r="X1410" i="61"/>
  <c r="W1410" i="61"/>
  <c r="V1410" i="61"/>
  <c r="U1410" i="61"/>
  <c r="T1410" i="61"/>
  <c r="S1410" i="61"/>
  <c r="R1410" i="61"/>
  <c r="Q1410" i="61"/>
  <c r="P1410" i="61"/>
  <c r="X1409" i="61"/>
  <c r="W1409" i="61"/>
  <c r="V1409" i="61"/>
  <c r="U1409" i="61"/>
  <c r="T1409" i="61"/>
  <c r="S1409" i="61"/>
  <c r="R1409" i="61"/>
  <c r="Q1409" i="61"/>
  <c r="P1409" i="61"/>
  <c r="X1408" i="61"/>
  <c r="W1408" i="61"/>
  <c r="V1408" i="61"/>
  <c r="U1408" i="61"/>
  <c r="T1408" i="61"/>
  <c r="S1408" i="61"/>
  <c r="R1408" i="61"/>
  <c r="Q1408" i="61"/>
  <c r="P1408" i="61"/>
  <c r="X1407" i="61"/>
  <c r="W1407" i="61"/>
  <c r="V1407" i="61"/>
  <c r="U1407" i="61"/>
  <c r="T1407" i="61"/>
  <c r="S1407" i="61"/>
  <c r="R1407" i="61"/>
  <c r="Q1407" i="61"/>
  <c r="P1407" i="61"/>
  <c r="X1406" i="61"/>
  <c r="W1406" i="61"/>
  <c r="V1406" i="61"/>
  <c r="U1406" i="61"/>
  <c r="T1406" i="61"/>
  <c r="S1406" i="61"/>
  <c r="R1406" i="61"/>
  <c r="Q1406" i="61"/>
  <c r="P1406" i="61"/>
  <c r="X1405" i="61"/>
  <c r="W1405" i="61"/>
  <c r="V1405" i="61"/>
  <c r="U1405" i="61"/>
  <c r="T1405" i="61"/>
  <c r="S1405" i="61"/>
  <c r="R1405" i="61"/>
  <c r="Q1405" i="61"/>
  <c r="P1405" i="61"/>
  <c r="X1404" i="61"/>
  <c r="W1404" i="61"/>
  <c r="V1404" i="61"/>
  <c r="U1404" i="61"/>
  <c r="T1404" i="61"/>
  <c r="S1404" i="61"/>
  <c r="R1404" i="61"/>
  <c r="Q1404" i="61"/>
  <c r="X1403" i="61"/>
  <c r="W1403" i="61"/>
  <c r="V1403" i="61"/>
  <c r="U1403" i="61"/>
  <c r="T1403" i="61"/>
  <c r="S1403" i="61"/>
  <c r="R1403" i="61"/>
  <c r="Q1403" i="61"/>
  <c r="P1403" i="61"/>
  <c r="X1402" i="61"/>
  <c r="W1402" i="61"/>
  <c r="V1402" i="61"/>
  <c r="U1402" i="61"/>
  <c r="T1402" i="61"/>
  <c r="S1402" i="61"/>
  <c r="R1402" i="61"/>
  <c r="Q1402" i="61"/>
  <c r="P1402" i="61"/>
  <c r="X1401" i="61"/>
  <c r="W1401" i="61"/>
  <c r="V1401" i="61"/>
  <c r="U1401" i="61"/>
  <c r="T1401" i="61"/>
  <c r="S1401" i="61"/>
  <c r="R1401" i="61"/>
  <c r="Q1401" i="61"/>
  <c r="P1401" i="61"/>
  <c r="X1400" i="61"/>
  <c r="W1400" i="61"/>
  <c r="V1400" i="61"/>
  <c r="U1400" i="61"/>
  <c r="T1400" i="61"/>
  <c r="S1400" i="61"/>
  <c r="R1400" i="61"/>
  <c r="Q1400" i="61"/>
  <c r="P1400" i="61"/>
  <c r="X1399" i="61"/>
  <c r="W1399" i="61"/>
  <c r="V1399" i="61"/>
  <c r="U1399" i="61"/>
  <c r="T1399" i="61"/>
  <c r="S1399" i="61"/>
  <c r="R1399" i="61"/>
  <c r="Q1399" i="61"/>
  <c r="P1399" i="61"/>
  <c r="X1398" i="61"/>
  <c r="W1398" i="61"/>
  <c r="V1398" i="61"/>
  <c r="U1398" i="61"/>
  <c r="T1398" i="61"/>
  <c r="S1398" i="61"/>
  <c r="R1398" i="61"/>
  <c r="Q1398" i="61"/>
  <c r="P1398" i="61"/>
  <c r="X1397" i="61"/>
  <c r="W1397" i="61"/>
  <c r="V1397" i="61"/>
  <c r="U1397" i="61"/>
  <c r="T1397" i="61"/>
  <c r="S1397" i="61"/>
  <c r="R1397" i="61"/>
  <c r="Q1397" i="61"/>
  <c r="P1397" i="61"/>
  <c r="X1396" i="61"/>
  <c r="W1396" i="61"/>
  <c r="V1396" i="61"/>
  <c r="U1396" i="61"/>
  <c r="T1396" i="61"/>
  <c r="S1396" i="61"/>
  <c r="R1396" i="61"/>
  <c r="Q1396" i="61"/>
  <c r="P1396" i="61"/>
  <c r="X1395" i="61"/>
  <c r="W1395" i="61"/>
  <c r="V1395" i="61"/>
  <c r="U1395" i="61"/>
  <c r="T1395" i="61"/>
  <c r="S1395" i="61"/>
  <c r="R1395" i="61"/>
  <c r="Q1395" i="61"/>
  <c r="P1395" i="61"/>
  <c r="X1394" i="61"/>
  <c r="W1394" i="61"/>
  <c r="V1394" i="61"/>
  <c r="U1394" i="61"/>
  <c r="T1394" i="61"/>
  <c r="S1394" i="61"/>
  <c r="R1394" i="61"/>
  <c r="Q1394" i="61"/>
  <c r="P1394" i="61"/>
  <c r="X1393" i="61"/>
  <c r="W1393" i="61"/>
  <c r="V1393" i="61"/>
  <c r="U1393" i="61"/>
  <c r="T1393" i="61"/>
  <c r="S1393" i="61"/>
  <c r="R1393" i="61"/>
  <c r="Q1393" i="61"/>
  <c r="X1392" i="61"/>
  <c r="W1392" i="61"/>
  <c r="V1392" i="61"/>
  <c r="U1392" i="61"/>
  <c r="T1392" i="61"/>
  <c r="S1392" i="61"/>
  <c r="R1392" i="61"/>
  <c r="Q1392" i="61"/>
  <c r="P1392" i="61"/>
  <c r="X1391" i="61"/>
  <c r="W1391" i="61"/>
  <c r="V1391" i="61"/>
  <c r="U1391" i="61"/>
  <c r="T1391" i="61"/>
  <c r="S1391" i="61"/>
  <c r="R1391" i="61"/>
  <c r="Q1391" i="61"/>
  <c r="P1391" i="61"/>
  <c r="X1390" i="61"/>
  <c r="W1390" i="61"/>
  <c r="V1390" i="61"/>
  <c r="U1390" i="61"/>
  <c r="T1390" i="61"/>
  <c r="S1390" i="61"/>
  <c r="R1390" i="61"/>
  <c r="Q1390" i="61"/>
  <c r="P1390" i="61"/>
  <c r="X1389" i="61"/>
  <c r="W1389" i="61"/>
  <c r="V1389" i="61"/>
  <c r="U1389" i="61"/>
  <c r="T1389" i="61"/>
  <c r="S1389" i="61"/>
  <c r="R1389" i="61"/>
  <c r="Q1389" i="61"/>
  <c r="P1389" i="61"/>
  <c r="X1388" i="61"/>
  <c r="W1388" i="61"/>
  <c r="V1388" i="61"/>
  <c r="U1388" i="61"/>
  <c r="T1388" i="61"/>
  <c r="S1388" i="61"/>
  <c r="R1388" i="61"/>
  <c r="Q1388" i="61"/>
  <c r="X1387" i="61"/>
  <c r="W1387" i="61"/>
  <c r="V1387" i="61"/>
  <c r="U1387" i="61"/>
  <c r="T1387" i="61"/>
  <c r="S1387" i="61"/>
  <c r="R1387" i="61"/>
  <c r="Q1387" i="61"/>
  <c r="X1386" i="61"/>
  <c r="W1386" i="61"/>
  <c r="V1386" i="61"/>
  <c r="U1386" i="61"/>
  <c r="T1386" i="61"/>
  <c r="S1386" i="61"/>
  <c r="R1386" i="61"/>
  <c r="Q1386" i="61"/>
  <c r="P1386" i="61"/>
  <c r="X1385" i="61"/>
  <c r="W1385" i="61"/>
  <c r="V1385" i="61"/>
  <c r="U1385" i="61"/>
  <c r="T1385" i="61"/>
  <c r="S1385" i="61"/>
  <c r="R1385" i="61"/>
  <c r="Q1385" i="61"/>
  <c r="X1384" i="61"/>
  <c r="W1384" i="61"/>
  <c r="V1384" i="61"/>
  <c r="U1384" i="61"/>
  <c r="T1384" i="61"/>
  <c r="S1384" i="61"/>
  <c r="R1384" i="61"/>
  <c r="Q1384" i="61"/>
  <c r="X1383" i="61"/>
  <c r="W1383" i="61"/>
  <c r="V1383" i="61"/>
  <c r="U1383" i="61"/>
  <c r="T1383" i="61"/>
  <c r="S1383" i="61"/>
  <c r="R1383" i="61"/>
  <c r="Q1383" i="61"/>
  <c r="P1383" i="61"/>
  <c r="X1382" i="61"/>
  <c r="W1382" i="61"/>
  <c r="V1382" i="61"/>
  <c r="U1382" i="61"/>
  <c r="T1382" i="61"/>
  <c r="S1382" i="61"/>
  <c r="R1382" i="61"/>
  <c r="Q1382" i="61"/>
  <c r="P1382" i="61"/>
  <c r="X1381" i="61"/>
  <c r="W1381" i="61"/>
  <c r="V1381" i="61"/>
  <c r="U1381" i="61"/>
  <c r="T1381" i="61"/>
  <c r="S1381" i="61"/>
  <c r="R1381" i="61"/>
  <c r="Q1381" i="61"/>
  <c r="P1381" i="61"/>
  <c r="X1380" i="61"/>
  <c r="W1380" i="61"/>
  <c r="V1380" i="61"/>
  <c r="U1380" i="61"/>
  <c r="T1380" i="61"/>
  <c r="S1380" i="61"/>
  <c r="R1380" i="61"/>
  <c r="Q1380" i="61"/>
  <c r="P1380" i="61"/>
  <c r="X1379" i="61"/>
  <c r="W1379" i="61"/>
  <c r="V1379" i="61"/>
  <c r="U1379" i="61"/>
  <c r="T1379" i="61"/>
  <c r="S1379" i="61"/>
  <c r="R1379" i="61"/>
  <c r="Q1379" i="61"/>
  <c r="P1379" i="61"/>
  <c r="X1378" i="61"/>
  <c r="W1378" i="61"/>
  <c r="V1378" i="61"/>
  <c r="U1378" i="61"/>
  <c r="T1378" i="61"/>
  <c r="S1378" i="61"/>
  <c r="R1378" i="61"/>
  <c r="Q1378" i="61"/>
  <c r="P1378" i="61"/>
  <c r="X1377" i="61"/>
  <c r="W1377" i="61"/>
  <c r="V1377" i="61"/>
  <c r="U1377" i="61"/>
  <c r="T1377" i="61"/>
  <c r="S1377" i="61"/>
  <c r="R1377" i="61"/>
  <c r="Q1377" i="61"/>
  <c r="P1377" i="61"/>
  <c r="X1376" i="61"/>
  <c r="W1376" i="61"/>
  <c r="V1376" i="61"/>
  <c r="U1376" i="61"/>
  <c r="T1376" i="61"/>
  <c r="S1376" i="61"/>
  <c r="R1376" i="61"/>
  <c r="Q1376" i="61"/>
  <c r="P1376" i="61"/>
  <c r="X1375" i="61"/>
  <c r="W1375" i="61"/>
  <c r="V1375" i="61"/>
  <c r="U1375" i="61"/>
  <c r="T1375" i="61"/>
  <c r="S1375" i="61"/>
  <c r="R1375" i="61"/>
  <c r="Q1375" i="61"/>
  <c r="P1375" i="61"/>
  <c r="X1374" i="61"/>
  <c r="W1374" i="61"/>
  <c r="V1374" i="61"/>
  <c r="U1374" i="61"/>
  <c r="T1374" i="61"/>
  <c r="S1374" i="61"/>
  <c r="R1374" i="61"/>
  <c r="Q1374" i="61"/>
  <c r="P1374" i="61"/>
  <c r="X1373" i="61"/>
  <c r="W1373" i="61"/>
  <c r="V1373" i="61"/>
  <c r="U1373" i="61"/>
  <c r="T1373" i="61"/>
  <c r="S1373" i="61"/>
  <c r="R1373" i="61"/>
  <c r="Q1373" i="61"/>
  <c r="X1372" i="61"/>
  <c r="W1372" i="61"/>
  <c r="V1372" i="61"/>
  <c r="U1372" i="61"/>
  <c r="T1372" i="61"/>
  <c r="S1372" i="61"/>
  <c r="R1372" i="61"/>
  <c r="Q1372" i="61"/>
  <c r="X1371" i="61"/>
  <c r="W1371" i="61"/>
  <c r="V1371" i="61"/>
  <c r="U1371" i="61"/>
  <c r="T1371" i="61"/>
  <c r="S1371" i="61"/>
  <c r="R1371" i="61"/>
  <c r="Q1371" i="61"/>
  <c r="X1370" i="61"/>
  <c r="W1370" i="61"/>
  <c r="V1370" i="61"/>
  <c r="U1370" i="61"/>
  <c r="T1370" i="61"/>
  <c r="S1370" i="61"/>
  <c r="R1370" i="61"/>
  <c r="Q1370" i="61"/>
  <c r="P1370" i="61"/>
  <c r="X1369" i="61"/>
  <c r="W1369" i="61"/>
  <c r="V1369" i="61"/>
  <c r="U1369" i="61"/>
  <c r="T1369" i="61"/>
  <c r="S1369" i="61"/>
  <c r="R1369" i="61"/>
  <c r="Q1369" i="61"/>
  <c r="P1369" i="61"/>
  <c r="X1368" i="61"/>
  <c r="W1368" i="61"/>
  <c r="V1368" i="61"/>
  <c r="U1368" i="61"/>
  <c r="T1368" i="61"/>
  <c r="S1368" i="61"/>
  <c r="R1368" i="61"/>
  <c r="Q1368" i="61"/>
  <c r="P1368" i="61"/>
  <c r="X1367" i="61"/>
  <c r="W1367" i="61"/>
  <c r="V1367" i="61"/>
  <c r="U1367" i="61"/>
  <c r="T1367" i="61"/>
  <c r="S1367" i="61"/>
  <c r="R1367" i="61"/>
  <c r="Q1367" i="61"/>
  <c r="P1367" i="61"/>
  <c r="X1366" i="61"/>
  <c r="W1366" i="61"/>
  <c r="V1366" i="61"/>
  <c r="U1366" i="61"/>
  <c r="T1366" i="61"/>
  <c r="S1366" i="61"/>
  <c r="R1366" i="61"/>
  <c r="Q1366" i="61"/>
  <c r="X1365" i="61"/>
  <c r="W1365" i="61"/>
  <c r="V1365" i="61"/>
  <c r="U1365" i="61"/>
  <c r="T1365" i="61"/>
  <c r="S1365" i="61"/>
  <c r="R1365" i="61"/>
  <c r="Q1365" i="61"/>
  <c r="X1364" i="61"/>
  <c r="W1364" i="61"/>
  <c r="V1364" i="61"/>
  <c r="U1364" i="61"/>
  <c r="T1364" i="61"/>
  <c r="S1364" i="61"/>
  <c r="R1364" i="61"/>
  <c r="Q1364" i="61"/>
  <c r="P1364" i="61"/>
  <c r="X1363" i="61"/>
  <c r="W1363" i="61"/>
  <c r="V1363" i="61"/>
  <c r="U1363" i="61"/>
  <c r="T1363" i="61"/>
  <c r="S1363" i="61"/>
  <c r="R1363" i="61"/>
  <c r="Q1363" i="61"/>
  <c r="X1362" i="61"/>
  <c r="W1362" i="61"/>
  <c r="V1362" i="61"/>
  <c r="U1362" i="61"/>
  <c r="T1362" i="61"/>
  <c r="S1362" i="61"/>
  <c r="R1362" i="61"/>
  <c r="Q1362" i="61"/>
  <c r="P1362" i="61"/>
  <c r="X1361" i="61"/>
  <c r="W1361" i="61"/>
  <c r="V1361" i="61"/>
  <c r="U1361" i="61"/>
  <c r="T1361" i="61"/>
  <c r="S1361" i="61"/>
  <c r="R1361" i="61"/>
  <c r="Q1361" i="61"/>
  <c r="P1361" i="61"/>
  <c r="X1360" i="61"/>
  <c r="W1360" i="61"/>
  <c r="V1360" i="61"/>
  <c r="U1360" i="61"/>
  <c r="T1360" i="61"/>
  <c r="S1360" i="61"/>
  <c r="R1360" i="61"/>
  <c r="Q1360" i="61"/>
  <c r="P1360" i="61"/>
  <c r="X1359" i="61"/>
  <c r="W1359" i="61"/>
  <c r="V1359" i="61"/>
  <c r="U1359" i="61"/>
  <c r="T1359" i="61"/>
  <c r="S1359" i="61"/>
  <c r="R1359" i="61"/>
  <c r="Q1359" i="61"/>
  <c r="P1359" i="61"/>
  <c r="X1358" i="61"/>
  <c r="W1358" i="61"/>
  <c r="V1358" i="61"/>
  <c r="U1358" i="61"/>
  <c r="T1358" i="61"/>
  <c r="S1358" i="61"/>
  <c r="R1358" i="61"/>
  <c r="Q1358" i="61"/>
  <c r="P1358" i="61"/>
  <c r="X1357" i="61"/>
  <c r="W1357" i="61"/>
  <c r="V1357" i="61"/>
  <c r="U1357" i="61"/>
  <c r="T1357" i="61"/>
  <c r="S1357" i="61"/>
  <c r="R1357" i="61"/>
  <c r="Q1357" i="61"/>
  <c r="P1357" i="61"/>
  <c r="X1356" i="61"/>
  <c r="W1356" i="61"/>
  <c r="V1356" i="61"/>
  <c r="U1356" i="61"/>
  <c r="T1356" i="61"/>
  <c r="S1356" i="61"/>
  <c r="R1356" i="61"/>
  <c r="Q1356" i="61"/>
  <c r="P1356" i="61"/>
  <c r="X1355" i="61"/>
  <c r="W1355" i="61"/>
  <c r="V1355" i="61"/>
  <c r="U1355" i="61"/>
  <c r="T1355" i="61"/>
  <c r="S1355" i="61"/>
  <c r="R1355" i="61"/>
  <c r="Q1355" i="61"/>
  <c r="P1355" i="61"/>
  <c r="X1354" i="61"/>
  <c r="W1354" i="61"/>
  <c r="V1354" i="61"/>
  <c r="U1354" i="61"/>
  <c r="T1354" i="61"/>
  <c r="S1354" i="61"/>
  <c r="R1354" i="61"/>
  <c r="Q1354" i="61"/>
  <c r="P1354" i="61"/>
  <c r="X1353" i="61"/>
  <c r="W1353" i="61"/>
  <c r="V1353" i="61"/>
  <c r="U1353" i="61"/>
  <c r="T1353" i="61"/>
  <c r="S1353" i="61"/>
  <c r="R1353" i="61"/>
  <c r="Q1353" i="61"/>
  <c r="P1353" i="61"/>
  <c r="X1352" i="61"/>
  <c r="W1352" i="61"/>
  <c r="V1352" i="61"/>
  <c r="U1352" i="61"/>
  <c r="T1352" i="61"/>
  <c r="S1352" i="61"/>
  <c r="R1352" i="61"/>
  <c r="Q1352" i="61"/>
  <c r="P1352" i="61"/>
  <c r="X1351" i="61"/>
  <c r="W1351" i="61"/>
  <c r="V1351" i="61"/>
  <c r="U1351" i="61"/>
  <c r="T1351" i="61"/>
  <c r="S1351" i="61"/>
  <c r="R1351" i="61"/>
  <c r="Q1351" i="61"/>
  <c r="P1351" i="61"/>
  <c r="X1350" i="61"/>
  <c r="W1350" i="61"/>
  <c r="V1350" i="61"/>
  <c r="U1350" i="61"/>
  <c r="T1350" i="61"/>
  <c r="S1350" i="61"/>
  <c r="R1350" i="61"/>
  <c r="Q1350" i="61"/>
  <c r="P1350" i="61"/>
  <c r="X1349" i="61"/>
  <c r="W1349" i="61"/>
  <c r="V1349" i="61"/>
  <c r="U1349" i="61"/>
  <c r="T1349" i="61"/>
  <c r="S1349" i="61"/>
  <c r="R1349" i="61"/>
  <c r="Q1349" i="61"/>
  <c r="P1349" i="61"/>
  <c r="X1348" i="61"/>
  <c r="W1348" i="61"/>
  <c r="V1348" i="61"/>
  <c r="U1348" i="61"/>
  <c r="T1348" i="61"/>
  <c r="S1348" i="61"/>
  <c r="R1348" i="61"/>
  <c r="Q1348" i="61"/>
  <c r="P1348" i="61"/>
  <c r="X1347" i="61"/>
  <c r="W1347" i="61"/>
  <c r="V1347" i="61"/>
  <c r="U1347" i="61"/>
  <c r="T1347" i="61"/>
  <c r="S1347" i="61"/>
  <c r="R1347" i="61"/>
  <c r="Q1347" i="61"/>
  <c r="P1347" i="61"/>
  <c r="X1346" i="61"/>
  <c r="W1346" i="61"/>
  <c r="V1346" i="61"/>
  <c r="U1346" i="61"/>
  <c r="T1346" i="61"/>
  <c r="S1346" i="61"/>
  <c r="R1346" i="61"/>
  <c r="Q1346" i="61"/>
  <c r="P1346" i="61"/>
  <c r="X1345" i="61"/>
  <c r="W1345" i="61"/>
  <c r="V1345" i="61"/>
  <c r="U1345" i="61"/>
  <c r="T1345" i="61"/>
  <c r="S1345" i="61"/>
  <c r="R1345" i="61"/>
  <c r="Q1345" i="61"/>
  <c r="P1345" i="61"/>
  <c r="X1344" i="61"/>
  <c r="W1344" i="61"/>
  <c r="V1344" i="61"/>
  <c r="U1344" i="61"/>
  <c r="T1344" i="61"/>
  <c r="S1344" i="61"/>
  <c r="R1344" i="61"/>
  <c r="Q1344" i="61"/>
  <c r="P1344" i="61"/>
  <c r="X1343" i="61"/>
  <c r="W1343" i="61"/>
  <c r="V1343" i="61"/>
  <c r="U1343" i="61"/>
  <c r="T1343" i="61"/>
  <c r="S1343" i="61"/>
  <c r="R1343" i="61"/>
  <c r="Q1343" i="61"/>
  <c r="P1343" i="61"/>
  <c r="X1342" i="61"/>
  <c r="W1342" i="61"/>
  <c r="V1342" i="61"/>
  <c r="U1342" i="61"/>
  <c r="T1342" i="61"/>
  <c r="S1342" i="61"/>
  <c r="R1342" i="61"/>
  <c r="Q1342" i="61"/>
  <c r="P1342" i="61"/>
  <c r="X1341" i="61"/>
  <c r="W1341" i="61"/>
  <c r="V1341" i="61"/>
  <c r="U1341" i="61"/>
  <c r="T1341" i="61"/>
  <c r="S1341" i="61"/>
  <c r="R1341" i="61"/>
  <c r="Q1341" i="61"/>
  <c r="P1341" i="61"/>
  <c r="X1340" i="61"/>
  <c r="W1340" i="61"/>
  <c r="V1340" i="61"/>
  <c r="U1340" i="61"/>
  <c r="T1340" i="61"/>
  <c r="S1340" i="61"/>
  <c r="R1340" i="61"/>
  <c r="Q1340" i="61"/>
  <c r="P1340" i="61"/>
  <c r="X1339" i="61"/>
  <c r="W1339" i="61"/>
  <c r="V1339" i="61"/>
  <c r="U1339" i="61"/>
  <c r="T1339" i="61"/>
  <c r="S1339" i="61"/>
  <c r="R1339" i="61"/>
  <c r="Q1339" i="61"/>
  <c r="P1339" i="61"/>
  <c r="X1338" i="61"/>
  <c r="W1338" i="61"/>
  <c r="V1338" i="61"/>
  <c r="U1338" i="61"/>
  <c r="T1338" i="61"/>
  <c r="S1338" i="61"/>
  <c r="R1338" i="61"/>
  <c r="Q1338" i="61"/>
  <c r="P1338" i="61"/>
  <c r="X1337" i="61"/>
  <c r="W1337" i="61"/>
  <c r="V1337" i="61"/>
  <c r="U1337" i="61"/>
  <c r="T1337" i="61"/>
  <c r="S1337" i="61"/>
  <c r="R1337" i="61"/>
  <c r="Q1337" i="61"/>
  <c r="P1337" i="61"/>
  <c r="X1336" i="61"/>
  <c r="W1336" i="61"/>
  <c r="V1336" i="61"/>
  <c r="U1336" i="61"/>
  <c r="T1336" i="61"/>
  <c r="S1336" i="61"/>
  <c r="R1336" i="61"/>
  <c r="Q1336" i="61"/>
  <c r="P1336" i="61"/>
  <c r="X1335" i="61"/>
  <c r="W1335" i="61"/>
  <c r="V1335" i="61"/>
  <c r="U1335" i="61"/>
  <c r="T1335" i="61"/>
  <c r="S1335" i="61"/>
  <c r="R1335" i="61"/>
  <c r="Q1335" i="61"/>
  <c r="P1335" i="61"/>
  <c r="X1334" i="61"/>
  <c r="W1334" i="61"/>
  <c r="V1334" i="61"/>
  <c r="U1334" i="61"/>
  <c r="T1334" i="61"/>
  <c r="S1334" i="61"/>
  <c r="R1334" i="61"/>
  <c r="Q1334" i="61"/>
  <c r="P1334" i="61"/>
  <c r="X1333" i="61"/>
  <c r="W1333" i="61"/>
  <c r="V1333" i="61"/>
  <c r="U1333" i="61"/>
  <c r="T1333" i="61"/>
  <c r="S1333" i="61"/>
  <c r="R1333" i="61"/>
  <c r="Q1333" i="61"/>
  <c r="P1333" i="61"/>
  <c r="X1332" i="61"/>
  <c r="W1332" i="61"/>
  <c r="V1332" i="61"/>
  <c r="U1332" i="61"/>
  <c r="T1332" i="61"/>
  <c r="S1332" i="61"/>
  <c r="R1332" i="61"/>
  <c r="Q1332" i="61"/>
  <c r="P1332" i="61"/>
  <c r="X1331" i="61"/>
  <c r="W1331" i="61"/>
  <c r="V1331" i="61"/>
  <c r="U1331" i="61"/>
  <c r="T1331" i="61"/>
  <c r="S1331" i="61"/>
  <c r="R1331" i="61"/>
  <c r="Q1331" i="61"/>
  <c r="P1331" i="61"/>
  <c r="X1330" i="61"/>
  <c r="W1330" i="61"/>
  <c r="V1330" i="61"/>
  <c r="U1330" i="61"/>
  <c r="T1330" i="61"/>
  <c r="S1330" i="61"/>
  <c r="R1330" i="61"/>
  <c r="Q1330" i="61"/>
  <c r="P1330" i="61"/>
  <c r="X1329" i="61"/>
  <c r="W1329" i="61"/>
  <c r="V1329" i="61"/>
  <c r="U1329" i="61"/>
  <c r="T1329" i="61"/>
  <c r="S1329" i="61"/>
  <c r="R1329" i="61"/>
  <c r="Q1329" i="61"/>
  <c r="P1329" i="61"/>
  <c r="X1328" i="61"/>
  <c r="W1328" i="61"/>
  <c r="V1328" i="61"/>
  <c r="U1328" i="61"/>
  <c r="T1328" i="61"/>
  <c r="S1328" i="61"/>
  <c r="R1328" i="61"/>
  <c r="Q1328" i="61"/>
  <c r="P1328" i="61"/>
  <c r="X1327" i="61"/>
  <c r="W1327" i="61"/>
  <c r="V1327" i="61"/>
  <c r="U1327" i="61"/>
  <c r="T1327" i="61"/>
  <c r="S1327" i="61"/>
  <c r="R1327" i="61"/>
  <c r="Q1327" i="61"/>
  <c r="P1327" i="61"/>
  <c r="X1326" i="61"/>
  <c r="W1326" i="61"/>
  <c r="V1326" i="61"/>
  <c r="U1326" i="61"/>
  <c r="T1326" i="61"/>
  <c r="S1326" i="61"/>
  <c r="R1326" i="61"/>
  <c r="Q1326" i="61"/>
  <c r="P1326" i="61"/>
  <c r="X1325" i="61"/>
  <c r="W1325" i="61"/>
  <c r="V1325" i="61"/>
  <c r="U1325" i="61"/>
  <c r="T1325" i="61"/>
  <c r="S1325" i="61"/>
  <c r="R1325" i="61"/>
  <c r="Q1325" i="61"/>
  <c r="P1325" i="61"/>
  <c r="X1324" i="61"/>
  <c r="W1324" i="61"/>
  <c r="V1324" i="61"/>
  <c r="U1324" i="61"/>
  <c r="T1324" i="61"/>
  <c r="S1324" i="61"/>
  <c r="R1324" i="61"/>
  <c r="Q1324" i="61"/>
  <c r="P1324" i="61"/>
  <c r="X1323" i="61"/>
  <c r="W1323" i="61"/>
  <c r="V1323" i="61"/>
  <c r="U1323" i="61"/>
  <c r="T1323" i="61"/>
  <c r="S1323" i="61"/>
  <c r="R1323" i="61"/>
  <c r="Q1323" i="61"/>
  <c r="P1323" i="61"/>
  <c r="X1322" i="61"/>
  <c r="W1322" i="61"/>
  <c r="V1322" i="61"/>
  <c r="U1322" i="61"/>
  <c r="T1322" i="61"/>
  <c r="S1322" i="61"/>
  <c r="R1322" i="61"/>
  <c r="Q1322" i="61"/>
  <c r="P1322" i="61"/>
  <c r="X1321" i="61"/>
  <c r="W1321" i="61"/>
  <c r="V1321" i="61"/>
  <c r="U1321" i="61"/>
  <c r="T1321" i="61"/>
  <c r="S1321" i="61"/>
  <c r="R1321" i="61"/>
  <c r="Q1321" i="61"/>
  <c r="P1321" i="61"/>
  <c r="X1320" i="61"/>
  <c r="W1320" i="61"/>
  <c r="V1320" i="61"/>
  <c r="U1320" i="61"/>
  <c r="T1320" i="61"/>
  <c r="S1320" i="61"/>
  <c r="R1320" i="61"/>
  <c r="Q1320" i="61"/>
  <c r="P1320" i="61"/>
  <c r="X1319" i="61"/>
  <c r="W1319" i="61"/>
  <c r="V1319" i="61"/>
  <c r="U1319" i="61"/>
  <c r="T1319" i="61"/>
  <c r="S1319" i="61"/>
  <c r="R1319" i="61"/>
  <c r="Q1319" i="61"/>
  <c r="P1319" i="61"/>
  <c r="X1318" i="61"/>
  <c r="W1318" i="61"/>
  <c r="V1318" i="61"/>
  <c r="U1318" i="61"/>
  <c r="T1318" i="61"/>
  <c r="S1318" i="61"/>
  <c r="R1318" i="61"/>
  <c r="Q1318" i="61"/>
  <c r="P1318" i="61"/>
  <c r="X1317" i="61"/>
  <c r="W1317" i="61"/>
  <c r="V1317" i="61"/>
  <c r="U1317" i="61"/>
  <c r="T1317" i="61"/>
  <c r="S1317" i="61"/>
  <c r="R1317" i="61"/>
  <c r="Q1317" i="61"/>
  <c r="P1317" i="61"/>
  <c r="X1316" i="61"/>
  <c r="W1316" i="61"/>
  <c r="V1316" i="61"/>
  <c r="U1316" i="61"/>
  <c r="T1316" i="61"/>
  <c r="S1316" i="61"/>
  <c r="R1316" i="61"/>
  <c r="Q1316" i="61"/>
  <c r="P1316" i="61"/>
  <c r="X1315" i="61"/>
  <c r="W1315" i="61"/>
  <c r="V1315" i="61"/>
  <c r="U1315" i="61"/>
  <c r="T1315" i="61"/>
  <c r="S1315" i="61"/>
  <c r="R1315" i="61"/>
  <c r="Q1315" i="61"/>
  <c r="P1315" i="61"/>
  <c r="X1314" i="61"/>
  <c r="W1314" i="61"/>
  <c r="V1314" i="61"/>
  <c r="U1314" i="61"/>
  <c r="T1314" i="61"/>
  <c r="S1314" i="61"/>
  <c r="R1314" i="61"/>
  <c r="Q1314" i="61"/>
  <c r="P1314" i="61"/>
  <c r="X1313" i="61"/>
  <c r="W1313" i="61"/>
  <c r="V1313" i="61"/>
  <c r="U1313" i="61"/>
  <c r="T1313" i="61"/>
  <c r="S1313" i="61"/>
  <c r="R1313" i="61"/>
  <c r="Q1313" i="61"/>
  <c r="P1313" i="61"/>
  <c r="X1312" i="61"/>
  <c r="W1312" i="61"/>
  <c r="V1312" i="61"/>
  <c r="U1312" i="61"/>
  <c r="T1312" i="61"/>
  <c r="S1312" i="61"/>
  <c r="R1312" i="61"/>
  <c r="Q1312" i="61"/>
  <c r="P1312" i="61"/>
  <c r="X1311" i="61"/>
  <c r="W1311" i="61"/>
  <c r="V1311" i="61"/>
  <c r="U1311" i="61"/>
  <c r="T1311" i="61"/>
  <c r="S1311" i="61"/>
  <c r="R1311" i="61"/>
  <c r="Q1311" i="61"/>
  <c r="P1311" i="61"/>
  <c r="X1310" i="61"/>
  <c r="W1310" i="61"/>
  <c r="V1310" i="61"/>
  <c r="U1310" i="61"/>
  <c r="T1310" i="61"/>
  <c r="S1310" i="61"/>
  <c r="R1310" i="61"/>
  <c r="Q1310" i="61"/>
  <c r="P1310" i="61"/>
  <c r="X1309" i="61"/>
  <c r="W1309" i="61"/>
  <c r="V1309" i="61"/>
  <c r="U1309" i="61"/>
  <c r="T1309" i="61"/>
  <c r="S1309" i="61"/>
  <c r="R1309" i="61"/>
  <c r="Q1309" i="61"/>
  <c r="P1309" i="61"/>
  <c r="X1308" i="61"/>
  <c r="W1308" i="61"/>
  <c r="V1308" i="61"/>
  <c r="U1308" i="61"/>
  <c r="T1308" i="61"/>
  <c r="S1308" i="61"/>
  <c r="R1308" i="61"/>
  <c r="Q1308" i="61"/>
  <c r="P1308" i="61"/>
  <c r="X1307" i="61"/>
  <c r="W1307" i="61"/>
  <c r="V1307" i="61"/>
  <c r="U1307" i="61"/>
  <c r="T1307" i="61"/>
  <c r="S1307" i="61"/>
  <c r="R1307" i="61"/>
  <c r="Q1307" i="61"/>
  <c r="P1307" i="61"/>
  <c r="X1306" i="61"/>
  <c r="W1306" i="61"/>
  <c r="V1306" i="61"/>
  <c r="U1306" i="61"/>
  <c r="T1306" i="61"/>
  <c r="S1306" i="61"/>
  <c r="R1306" i="61"/>
  <c r="Q1306" i="61"/>
  <c r="P1306" i="61"/>
  <c r="X1305" i="61"/>
  <c r="W1305" i="61"/>
  <c r="V1305" i="61"/>
  <c r="U1305" i="61"/>
  <c r="T1305" i="61"/>
  <c r="S1305" i="61"/>
  <c r="R1305" i="61"/>
  <c r="Q1305" i="61"/>
  <c r="P1305" i="61"/>
  <c r="X1304" i="61"/>
  <c r="W1304" i="61"/>
  <c r="V1304" i="61"/>
  <c r="U1304" i="61"/>
  <c r="T1304" i="61"/>
  <c r="S1304" i="61"/>
  <c r="R1304" i="61"/>
  <c r="Q1304" i="61"/>
  <c r="X1303" i="61"/>
  <c r="W1303" i="61"/>
  <c r="V1303" i="61"/>
  <c r="U1303" i="61"/>
  <c r="T1303" i="61"/>
  <c r="S1303" i="61"/>
  <c r="R1303" i="61"/>
  <c r="Q1303" i="61"/>
  <c r="P1303" i="61"/>
  <c r="X1302" i="61"/>
  <c r="W1302" i="61"/>
  <c r="V1302" i="61"/>
  <c r="U1302" i="61"/>
  <c r="T1302" i="61"/>
  <c r="S1302" i="61"/>
  <c r="R1302" i="61"/>
  <c r="Q1302" i="61"/>
  <c r="P1302" i="61"/>
  <c r="X1301" i="61"/>
  <c r="W1301" i="61"/>
  <c r="V1301" i="61"/>
  <c r="U1301" i="61"/>
  <c r="T1301" i="61"/>
  <c r="S1301" i="61"/>
  <c r="R1301" i="61"/>
  <c r="Q1301" i="61"/>
  <c r="P1301" i="61"/>
  <c r="X1300" i="61"/>
  <c r="W1300" i="61"/>
  <c r="V1300" i="61"/>
  <c r="U1300" i="61"/>
  <c r="T1300" i="61"/>
  <c r="S1300" i="61"/>
  <c r="R1300" i="61"/>
  <c r="Q1300" i="61"/>
  <c r="P1300" i="61"/>
  <c r="X1299" i="61"/>
  <c r="W1299" i="61"/>
  <c r="V1299" i="61"/>
  <c r="U1299" i="61"/>
  <c r="T1299" i="61"/>
  <c r="S1299" i="61"/>
  <c r="R1299" i="61"/>
  <c r="Q1299" i="61"/>
  <c r="P1299" i="61"/>
  <c r="X1298" i="61"/>
  <c r="W1298" i="61"/>
  <c r="V1298" i="61"/>
  <c r="U1298" i="61"/>
  <c r="T1298" i="61"/>
  <c r="S1298" i="61"/>
  <c r="R1298" i="61"/>
  <c r="Q1298" i="61"/>
  <c r="P1298" i="61"/>
  <c r="X1297" i="61"/>
  <c r="W1297" i="61"/>
  <c r="V1297" i="61"/>
  <c r="U1297" i="61"/>
  <c r="T1297" i="61"/>
  <c r="S1297" i="61"/>
  <c r="R1297" i="61"/>
  <c r="Q1297" i="61"/>
  <c r="P1297" i="61"/>
  <c r="X1296" i="61"/>
  <c r="W1296" i="61"/>
  <c r="V1296" i="61"/>
  <c r="U1296" i="61"/>
  <c r="T1296" i="61"/>
  <c r="S1296" i="61"/>
  <c r="R1296" i="61"/>
  <c r="Q1296" i="61"/>
  <c r="P1296" i="61"/>
  <c r="X1295" i="61"/>
  <c r="W1295" i="61"/>
  <c r="V1295" i="61"/>
  <c r="U1295" i="61"/>
  <c r="T1295" i="61"/>
  <c r="S1295" i="61"/>
  <c r="R1295" i="61"/>
  <c r="Q1295" i="61"/>
  <c r="P1295" i="61"/>
  <c r="X1294" i="61"/>
  <c r="W1294" i="61"/>
  <c r="V1294" i="61"/>
  <c r="U1294" i="61"/>
  <c r="T1294" i="61"/>
  <c r="S1294" i="61"/>
  <c r="R1294" i="61"/>
  <c r="Q1294" i="61"/>
  <c r="P1294" i="61"/>
  <c r="X1293" i="61"/>
  <c r="W1293" i="61"/>
  <c r="V1293" i="61"/>
  <c r="U1293" i="61"/>
  <c r="T1293" i="61"/>
  <c r="S1293" i="61"/>
  <c r="R1293" i="61"/>
  <c r="Q1293" i="61"/>
  <c r="P1293" i="61"/>
  <c r="X1292" i="61"/>
  <c r="W1292" i="61"/>
  <c r="V1292" i="61"/>
  <c r="U1292" i="61"/>
  <c r="T1292" i="61"/>
  <c r="S1292" i="61"/>
  <c r="R1292" i="61"/>
  <c r="Q1292" i="61"/>
  <c r="P1292" i="61"/>
  <c r="X1291" i="61"/>
  <c r="W1291" i="61"/>
  <c r="V1291" i="61"/>
  <c r="U1291" i="61"/>
  <c r="T1291" i="61"/>
  <c r="S1291" i="61"/>
  <c r="R1291" i="61"/>
  <c r="Q1291" i="61"/>
  <c r="P1291" i="61"/>
  <c r="X1290" i="61"/>
  <c r="W1290" i="61"/>
  <c r="V1290" i="61"/>
  <c r="U1290" i="61"/>
  <c r="T1290" i="61"/>
  <c r="S1290" i="61"/>
  <c r="R1290" i="61"/>
  <c r="Q1290" i="61"/>
  <c r="P1290" i="61"/>
  <c r="X1289" i="61"/>
  <c r="W1289" i="61"/>
  <c r="V1289" i="61"/>
  <c r="U1289" i="61"/>
  <c r="T1289" i="61"/>
  <c r="S1289" i="61"/>
  <c r="R1289" i="61"/>
  <c r="Q1289" i="61"/>
  <c r="P1289" i="61"/>
  <c r="X1288" i="61"/>
  <c r="W1288" i="61"/>
  <c r="V1288" i="61"/>
  <c r="U1288" i="61"/>
  <c r="T1288" i="61"/>
  <c r="S1288" i="61"/>
  <c r="R1288" i="61"/>
  <c r="Q1288" i="61"/>
  <c r="P1288" i="61"/>
  <c r="X1287" i="61"/>
  <c r="W1287" i="61"/>
  <c r="V1287" i="61"/>
  <c r="U1287" i="61"/>
  <c r="T1287" i="61"/>
  <c r="S1287" i="61"/>
  <c r="R1287" i="61"/>
  <c r="Q1287" i="61"/>
  <c r="P1287" i="61"/>
  <c r="X1286" i="61"/>
  <c r="W1286" i="61"/>
  <c r="V1286" i="61"/>
  <c r="U1286" i="61"/>
  <c r="T1286" i="61"/>
  <c r="S1286" i="61"/>
  <c r="R1286" i="61"/>
  <c r="Q1286" i="61"/>
  <c r="P1286" i="61"/>
  <c r="X1285" i="61"/>
  <c r="W1285" i="61"/>
  <c r="V1285" i="61"/>
  <c r="U1285" i="61"/>
  <c r="T1285" i="61"/>
  <c r="S1285" i="61"/>
  <c r="R1285" i="61"/>
  <c r="Q1285" i="61"/>
  <c r="X1284" i="61"/>
  <c r="W1284" i="61"/>
  <c r="V1284" i="61"/>
  <c r="U1284" i="61"/>
  <c r="T1284" i="61"/>
  <c r="S1284" i="61"/>
  <c r="R1284" i="61"/>
  <c r="Q1284" i="61"/>
  <c r="P1284" i="61"/>
  <c r="X1283" i="61"/>
  <c r="W1283" i="61"/>
  <c r="V1283" i="61"/>
  <c r="U1283" i="61"/>
  <c r="T1283" i="61"/>
  <c r="S1283" i="61"/>
  <c r="R1283" i="61"/>
  <c r="Q1283" i="61"/>
  <c r="P1283" i="61"/>
  <c r="X1282" i="61"/>
  <c r="W1282" i="61"/>
  <c r="V1282" i="61"/>
  <c r="U1282" i="61"/>
  <c r="T1282" i="61"/>
  <c r="S1282" i="61"/>
  <c r="R1282" i="61"/>
  <c r="Q1282" i="61"/>
  <c r="X1281" i="61"/>
  <c r="W1281" i="61"/>
  <c r="V1281" i="61"/>
  <c r="U1281" i="61"/>
  <c r="T1281" i="61"/>
  <c r="S1281" i="61"/>
  <c r="R1281" i="61"/>
  <c r="Q1281" i="61"/>
  <c r="P1281" i="61"/>
  <c r="X1280" i="61"/>
  <c r="W1280" i="61"/>
  <c r="V1280" i="61"/>
  <c r="U1280" i="61"/>
  <c r="T1280" i="61"/>
  <c r="S1280" i="61"/>
  <c r="R1280" i="61"/>
  <c r="Q1280" i="61"/>
  <c r="P1280" i="61"/>
  <c r="X1279" i="61"/>
  <c r="W1279" i="61"/>
  <c r="V1279" i="61"/>
  <c r="U1279" i="61"/>
  <c r="T1279" i="61"/>
  <c r="S1279" i="61"/>
  <c r="R1279" i="61"/>
  <c r="Q1279" i="61"/>
  <c r="P1279" i="61"/>
  <c r="X1278" i="61"/>
  <c r="W1278" i="61"/>
  <c r="V1278" i="61"/>
  <c r="U1278" i="61"/>
  <c r="T1278" i="61"/>
  <c r="S1278" i="61"/>
  <c r="R1278" i="61"/>
  <c r="Q1278" i="61"/>
  <c r="P1278" i="61"/>
  <c r="X1277" i="61"/>
  <c r="W1277" i="61"/>
  <c r="V1277" i="61"/>
  <c r="U1277" i="61"/>
  <c r="T1277" i="61"/>
  <c r="S1277" i="61"/>
  <c r="R1277" i="61"/>
  <c r="Q1277" i="61"/>
  <c r="P1277" i="61"/>
  <c r="X1276" i="61"/>
  <c r="W1276" i="61"/>
  <c r="V1276" i="61"/>
  <c r="U1276" i="61"/>
  <c r="T1276" i="61"/>
  <c r="S1276" i="61"/>
  <c r="R1276" i="61"/>
  <c r="Q1276" i="61"/>
  <c r="P1276" i="61"/>
  <c r="X1275" i="61"/>
  <c r="W1275" i="61"/>
  <c r="V1275" i="61"/>
  <c r="U1275" i="61"/>
  <c r="T1275" i="61"/>
  <c r="S1275" i="61"/>
  <c r="R1275" i="61"/>
  <c r="Q1275" i="61"/>
  <c r="P1275" i="61"/>
  <c r="X1274" i="61"/>
  <c r="W1274" i="61"/>
  <c r="V1274" i="61"/>
  <c r="U1274" i="61"/>
  <c r="T1274" i="61"/>
  <c r="S1274" i="61"/>
  <c r="R1274" i="61"/>
  <c r="Q1274" i="61"/>
  <c r="P1274" i="61"/>
  <c r="X1273" i="61"/>
  <c r="W1273" i="61"/>
  <c r="V1273" i="61"/>
  <c r="U1273" i="61"/>
  <c r="T1273" i="61"/>
  <c r="S1273" i="61"/>
  <c r="R1273" i="61"/>
  <c r="Q1273" i="61"/>
  <c r="P1273" i="61"/>
  <c r="X1272" i="61"/>
  <c r="W1272" i="61"/>
  <c r="V1272" i="61"/>
  <c r="U1272" i="61"/>
  <c r="T1272" i="61"/>
  <c r="S1272" i="61"/>
  <c r="R1272" i="61"/>
  <c r="Q1272" i="61"/>
  <c r="P1272" i="61"/>
  <c r="X1271" i="61"/>
  <c r="W1271" i="61"/>
  <c r="V1271" i="61"/>
  <c r="U1271" i="61"/>
  <c r="T1271" i="61"/>
  <c r="S1271" i="61"/>
  <c r="R1271" i="61"/>
  <c r="Q1271" i="61"/>
  <c r="P1271" i="61"/>
  <c r="X1270" i="61"/>
  <c r="W1270" i="61"/>
  <c r="V1270" i="61"/>
  <c r="U1270" i="61"/>
  <c r="T1270" i="61"/>
  <c r="S1270" i="61"/>
  <c r="R1270" i="61"/>
  <c r="Q1270" i="61"/>
  <c r="P1270" i="61"/>
  <c r="X1269" i="61"/>
  <c r="W1269" i="61"/>
  <c r="V1269" i="61"/>
  <c r="U1269" i="61"/>
  <c r="T1269" i="61"/>
  <c r="S1269" i="61"/>
  <c r="R1269" i="61"/>
  <c r="Q1269" i="61"/>
  <c r="P1269" i="61"/>
  <c r="X1268" i="61"/>
  <c r="W1268" i="61"/>
  <c r="V1268" i="61"/>
  <c r="U1268" i="61"/>
  <c r="T1268" i="61"/>
  <c r="S1268" i="61"/>
  <c r="R1268" i="61"/>
  <c r="Q1268" i="61"/>
  <c r="P1268" i="61"/>
  <c r="X1267" i="61"/>
  <c r="W1267" i="61"/>
  <c r="V1267" i="61"/>
  <c r="U1267" i="61"/>
  <c r="T1267" i="61"/>
  <c r="S1267" i="61"/>
  <c r="R1267" i="61"/>
  <c r="Q1267" i="61"/>
  <c r="P1267" i="61"/>
  <c r="X1266" i="61"/>
  <c r="W1266" i="61"/>
  <c r="V1266" i="61"/>
  <c r="U1266" i="61"/>
  <c r="T1266" i="61"/>
  <c r="S1266" i="61"/>
  <c r="R1266" i="61"/>
  <c r="Q1266" i="61"/>
  <c r="P1266" i="61"/>
  <c r="X1265" i="61"/>
  <c r="W1265" i="61"/>
  <c r="V1265" i="61"/>
  <c r="U1265" i="61"/>
  <c r="T1265" i="61"/>
  <c r="S1265" i="61"/>
  <c r="R1265" i="61"/>
  <c r="Q1265" i="61"/>
  <c r="P1265" i="61"/>
  <c r="X1264" i="61"/>
  <c r="W1264" i="61"/>
  <c r="V1264" i="61"/>
  <c r="U1264" i="61"/>
  <c r="T1264" i="61"/>
  <c r="S1264" i="61"/>
  <c r="R1264" i="61"/>
  <c r="Q1264" i="61"/>
  <c r="P1264" i="61"/>
  <c r="X1263" i="61"/>
  <c r="W1263" i="61"/>
  <c r="V1263" i="61"/>
  <c r="U1263" i="61"/>
  <c r="T1263" i="61"/>
  <c r="S1263" i="61"/>
  <c r="R1263" i="61"/>
  <c r="Q1263" i="61"/>
  <c r="P1263" i="61"/>
  <c r="X1262" i="61"/>
  <c r="W1262" i="61"/>
  <c r="V1262" i="61"/>
  <c r="U1262" i="61"/>
  <c r="T1262" i="61"/>
  <c r="S1262" i="61"/>
  <c r="R1262" i="61"/>
  <c r="Q1262" i="61"/>
  <c r="P1262" i="61"/>
  <c r="X1261" i="61"/>
  <c r="W1261" i="61"/>
  <c r="V1261" i="61"/>
  <c r="U1261" i="61"/>
  <c r="T1261" i="61"/>
  <c r="S1261" i="61"/>
  <c r="R1261" i="61"/>
  <c r="Q1261" i="61"/>
  <c r="P1261" i="61"/>
  <c r="X1260" i="61"/>
  <c r="W1260" i="61"/>
  <c r="V1260" i="61"/>
  <c r="U1260" i="61"/>
  <c r="T1260" i="61"/>
  <c r="S1260" i="61"/>
  <c r="R1260" i="61"/>
  <c r="Q1260" i="61"/>
  <c r="P1260" i="61"/>
  <c r="X1259" i="61"/>
  <c r="W1259" i="61"/>
  <c r="V1259" i="61"/>
  <c r="U1259" i="61"/>
  <c r="T1259" i="61"/>
  <c r="S1259" i="61"/>
  <c r="R1259" i="61"/>
  <c r="Q1259" i="61"/>
  <c r="P1259" i="61"/>
  <c r="X1258" i="61"/>
  <c r="W1258" i="61"/>
  <c r="V1258" i="61"/>
  <c r="U1258" i="61"/>
  <c r="T1258" i="61"/>
  <c r="S1258" i="61"/>
  <c r="R1258" i="61"/>
  <c r="Q1258" i="61"/>
  <c r="P1258" i="61"/>
  <c r="X1257" i="61"/>
  <c r="W1257" i="61"/>
  <c r="V1257" i="61"/>
  <c r="U1257" i="61"/>
  <c r="T1257" i="61"/>
  <c r="S1257" i="61"/>
  <c r="R1257" i="61"/>
  <c r="Q1257" i="61"/>
  <c r="P1257" i="61"/>
  <c r="X1256" i="61"/>
  <c r="W1256" i="61"/>
  <c r="V1256" i="61"/>
  <c r="U1256" i="61"/>
  <c r="T1256" i="61"/>
  <c r="S1256" i="61"/>
  <c r="R1256" i="61"/>
  <c r="Q1256" i="61"/>
  <c r="P1256" i="61"/>
  <c r="X1255" i="61"/>
  <c r="W1255" i="61"/>
  <c r="V1255" i="61"/>
  <c r="U1255" i="61"/>
  <c r="T1255" i="61"/>
  <c r="S1255" i="61"/>
  <c r="R1255" i="61"/>
  <c r="Q1255" i="61"/>
  <c r="P1255" i="61"/>
  <c r="X1254" i="61"/>
  <c r="W1254" i="61"/>
  <c r="V1254" i="61"/>
  <c r="U1254" i="61"/>
  <c r="T1254" i="61"/>
  <c r="S1254" i="61"/>
  <c r="R1254" i="61"/>
  <c r="Q1254" i="61"/>
  <c r="P1254" i="61"/>
  <c r="X1253" i="61"/>
  <c r="W1253" i="61"/>
  <c r="V1253" i="61"/>
  <c r="U1253" i="61"/>
  <c r="T1253" i="61"/>
  <c r="S1253" i="61"/>
  <c r="R1253" i="61"/>
  <c r="Q1253" i="61"/>
  <c r="P1253" i="61"/>
  <c r="X1252" i="61"/>
  <c r="W1252" i="61"/>
  <c r="V1252" i="61"/>
  <c r="U1252" i="61"/>
  <c r="T1252" i="61"/>
  <c r="S1252" i="61"/>
  <c r="R1252" i="61"/>
  <c r="Q1252" i="61"/>
  <c r="P1252" i="61"/>
  <c r="X1251" i="61"/>
  <c r="W1251" i="61"/>
  <c r="V1251" i="61"/>
  <c r="U1251" i="61"/>
  <c r="T1251" i="61"/>
  <c r="S1251" i="61"/>
  <c r="R1251" i="61"/>
  <c r="Q1251" i="61"/>
  <c r="P1251" i="61"/>
  <c r="X1250" i="61"/>
  <c r="W1250" i="61"/>
  <c r="V1250" i="61"/>
  <c r="U1250" i="61"/>
  <c r="T1250" i="61"/>
  <c r="S1250" i="61"/>
  <c r="R1250" i="61"/>
  <c r="Q1250" i="61"/>
  <c r="P1250" i="61"/>
  <c r="X1249" i="61"/>
  <c r="W1249" i="61"/>
  <c r="V1249" i="61"/>
  <c r="U1249" i="61"/>
  <c r="T1249" i="61"/>
  <c r="S1249" i="61"/>
  <c r="R1249" i="61"/>
  <c r="Q1249" i="61"/>
  <c r="P1249" i="61"/>
  <c r="X1248" i="61"/>
  <c r="W1248" i="61"/>
  <c r="V1248" i="61"/>
  <c r="U1248" i="61"/>
  <c r="T1248" i="61"/>
  <c r="S1248" i="61"/>
  <c r="R1248" i="61"/>
  <c r="Q1248" i="61"/>
  <c r="P1248" i="61"/>
  <c r="X1247" i="61"/>
  <c r="W1247" i="61"/>
  <c r="V1247" i="61"/>
  <c r="U1247" i="61"/>
  <c r="T1247" i="61"/>
  <c r="S1247" i="61"/>
  <c r="R1247" i="61"/>
  <c r="Q1247" i="61"/>
  <c r="P1247" i="61"/>
  <c r="X1246" i="61"/>
  <c r="W1246" i="61"/>
  <c r="V1246" i="61"/>
  <c r="U1246" i="61"/>
  <c r="T1246" i="61"/>
  <c r="S1246" i="61"/>
  <c r="R1246" i="61"/>
  <c r="Q1246" i="61"/>
  <c r="P1246" i="61"/>
  <c r="X1245" i="61"/>
  <c r="W1245" i="61"/>
  <c r="V1245" i="61"/>
  <c r="U1245" i="61"/>
  <c r="T1245" i="61"/>
  <c r="S1245" i="61"/>
  <c r="R1245" i="61"/>
  <c r="Q1245" i="61"/>
  <c r="P1245" i="61"/>
  <c r="X1244" i="61"/>
  <c r="W1244" i="61"/>
  <c r="V1244" i="61"/>
  <c r="U1244" i="61"/>
  <c r="T1244" i="61"/>
  <c r="S1244" i="61"/>
  <c r="R1244" i="61"/>
  <c r="Q1244" i="61"/>
  <c r="P1244" i="61"/>
  <c r="X1243" i="61"/>
  <c r="W1243" i="61"/>
  <c r="V1243" i="61"/>
  <c r="U1243" i="61"/>
  <c r="T1243" i="61"/>
  <c r="S1243" i="61"/>
  <c r="R1243" i="61"/>
  <c r="Q1243" i="61"/>
  <c r="P1243" i="61"/>
  <c r="X1242" i="61"/>
  <c r="W1242" i="61"/>
  <c r="V1242" i="61"/>
  <c r="U1242" i="61"/>
  <c r="T1242" i="61"/>
  <c r="S1242" i="61"/>
  <c r="R1242" i="61"/>
  <c r="Q1242" i="61"/>
  <c r="P1242" i="61"/>
  <c r="X1241" i="61"/>
  <c r="W1241" i="61"/>
  <c r="V1241" i="61"/>
  <c r="U1241" i="61"/>
  <c r="T1241" i="61"/>
  <c r="S1241" i="61"/>
  <c r="R1241" i="61"/>
  <c r="Q1241" i="61"/>
  <c r="P1241" i="61"/>
  <c r="X1240" i="61"/>
  <c r="W1240" i="61"/>
  <c r="V1240" i="61"/>
  <c r="U1240" i="61"/>
  <c r="T1240" i="61"/>
  <c r="S1240" i="61"/>
  <c r="R1240" i="61"/>
  <c r="Q1240" i="61"/>
  <c r="P1240" i="61"/>
  <c r="X1239" i="61"/>
  <c r="W1239" i="61"/>
  <c r="V1239" i="61"/>
  <c r="U1239" i="61"/>
  <c r="T1239" i="61"/>
  <c r="S1239" i="61"/>
  <c r="R1239" i="61"/>
  <c r="Q1239" i="61"/>
  <c r="P1239" i="61"/>
  <c r="X1238" i="61"/>
  <c r="W1238" i="61"/>
  <c r="V1238" i="61"/>
  <c r="U1238" i="61"/>
  <c r="T1238" i="61"/>
  <c r="S1238" i="61"/>
  <c r="R1238" i="61"/>
  <c r="Q1238" i="61"/>
  <c r="P1238" i="61"/>
  <c r="X1237" i="61"/>
  <c r="W1237" i="61"/>
  <c r="V1237" i="61"/>
  <c r="U1237" i="61"/>
  <c r="T1237" i="61"/>
  <c r="S1237" i="61"/>
  <c r="R1237" i="61"/>
  <c r="Q1237" i="61"/>
  <c r="P1237" i="61"/>
  <c r="X1236" i="61"/>
  <c r="W1236" i="61"/>
  <c r="V1236" i="61"/>
  <c r="U1236" i="61"/>
  <c r="T1236" i="61"/>
  <c r="S1236" i="61"/>
  <c r="R1236" i="61"/>
  <c r="Q1236" i="61"/>
  <c r="P1236" i="61"/>
  <c r="X1235" i="61"/>
  <c r="W1235" i="61"/>
  <c r="V1235" i="61"/>
  <c r="U1235" i="61"/>
  <c r="T1235" i="61"/>
  <c r="S1235" i="61"/>
  <c r="R1235" i="61"/>
  <c r="Q1235" i="61"/>
  <c r="P1235" i="61"/>
  <c r="X1234" i="61"/>
  <c r="W1234" i="61"/>
  <c r="V1234" i="61"/>
  <c r="U1234" i="61"/>
  <c r="T1234" i="61"/>
  <c r="S1234" i="61"/>
  <c r="R1234" i="61"/>
  <c r="Q1234" i="61"/>
  <c r="P1234" i="61"/>
  <c r="X1233" i="61"/>
  <c r="W1233" i="61"/>
  <c r="V1233" i="61"/>
  <c r="U1233" i="61"/>
  <c r="T1233" i="61"/>
  <c r="S1233" i="61"/>
  <c r="R1233" i="61"/>
  <c r="Q1233" i="61"/>
  <c r="P1233" i="61"/>
  <c r="X1232" i="61"/>
  <c r="W1232" i="61"/>
  <c r="V1232" i="61"/>
  <c r="U1232" i="61"/>
  <c r="T1232" i="61"/>
  <c r="S1232" i="61"/>
  <c r="R1232" i="61"/>
  <c r="Q1232" i="61"/>
  <c r="P1232" i="61"/>
  <c r="X1231" i="61"/>
  <c r="W1231" i="61"/>
  <c r="V1231" i="61"/>
  <c r="U1231" i="61"/>
  <c r="T1231" i="61"/>
  <c r="S1231" i="61"/>
  <c r="R1231" i="61"/>
  <c r="Q1231" i="61"/>
  <c r="P1231" i="61"/>
  <c r="X1230" i="61"/>
  <c r="W1230" i="61"/>
  <c r="V1230" i="61"/>
  <c r="U1230" i="61"/>
  <c r="T1230" i="61"/>
  <c r="S1230" i="61"/>
  <c r="R1230" i="61"/>
  <c r="Q1230" i="61"/>
  <c r="P1230" i="61"/>
  <c r="X1229" i="61"/>
  <c r="W1229" i="61"/>
  <c r="V1229" i="61"/>
  <c r="U1229" i="61"/>
  <c r="T1229" i="61"/>
  <c r="S1229" i="61"/>
  <c r="R1229" i="61"/>
  <c r="Q1229" i="61"/>
  <c r="P1229" i="61"/>
  <c r="X1228" i="61"/>
  <c r="W1228" i="61"/>
  <c r="V1228" i="61"/>
  <c r="U1228" i="61"/>
  <c r="T1228" i="61"/>
  <c r="S1228" i="61"/>
  <c r="R1228" i="61"/>
  <c r="Q1228" i="61"/>
  <c r="P1228" i="61"/>
  <c r="X1227" i="61"/>
  <c r="W1227" i="61"/>
  <c r="V1227" i="61"/>
  <c r="U1227" i="61"/>
  <c r="T1227" i="61"/>
  <c r="S1227" i="61"/>
  <c r="R1227" i="61"/>
  <c r="Q1227" i="61"/>
  <c r="P1227" i="61"/>
  <c r="X1226" i="61"/>
  <c r="W1226" i="61"/>
  <c r="V1226" i="61"/>
  <c r="U1226" i="61"/>
  <c r="T1226" i="61"/>
  <c r="S1226" i="61"/>
  <c r="R1226" i="61"/>
  <c r="Q1226" i="61"/>
  <c r="P1226" i="61"/>
  <c r="X1225" i="61"/>
  <c r="W1225" i="61"/>
  <c r="V1225" i="61"/>
  <c r="U1225" i="61"/>
  <c r="T1225" i="61"/>
  <c r="S1225" i="61"/>
  <c r="R1225" i="61"/>
  <c r="Q1225" i="61"/>
  <c r="P1225" i="61"/>
  <c r="X1224" i="61"/>
  <c r="W1224" i="61"/>
  <c r="V1224" i="61"/>
  <c r="U1224" i="61"/>
  <c r="T1224" i="61"/>
  <c r="S1224" i="61"/>
  <c r="R1224" i="61"/>
  <c r="Q1224" i="61"/>
  <c r="P1224" i="61"/>
  <c r="X1223" i="61"/>
  <c r="W1223" i="61"/>
  <c r="V1223" i="61"/>
  <c r="U1223" i="61"/>
  <c r="T1223" i="61"/>
  <c r="S1223" i="61"/>
  <c r="R1223" i="61"/>
  <c r="Q1223" i="61"/>
  <c r="P1223" i="61"/>
  <c r="X1222" i="61"/>
  <c r="W1222" i="61"/>
  <c r="V1222" i="61"/>
  <c r="U1222" i="61"/>
  <c r="T1222" i="61"/>
  <c r="S1222" i="61"/>
  <c r="R1222" i="61"/>
  <c r="Q1222" i="61"/>
  <c r="P1222" i="61"/>
  <c r="X1221" i="61"/>
  <c r="W1221" i="61"/>
  <c r="V1221" i="61"/>
  <c r="U1221" i="61"/>
  <c r="T1221" i="61"/>
  <c r="S1221" i="61"/>
  <c r="R1221" i="61"/>
  <c r="Q1221" i="61"/>
  <c r="P1221" i="61"/>
  <c r="X1220" i="61"/>
  <c r="W1220" i="61"/>
  <c r="V1220" i="61"/>
  <c r="U1220" i="61"/>
  <c r="T1220" i="61"/>
  <c r="S1220" i="61"/>
  <c r="R1220" i="61"/>
  <c r="Q1220" i="61"/>
  <c r="P1220" i="61"/>
  <c r="X1219" i="61"/>
  <c r="W1219" i="61"/>
  <c r="V1219" i="61"/>
  <c r="U1219" i="61"/>
  <c r="T1219" i="61"/>
  <c r="S1219" i="61"/>
  <c r="R1219" i="61"/>
  <c r="Q1219" i="61"/>
  <c r="P1219" i="61"/>
  <c r="X1218" i="61"/>
  <c r="W1218" i="61"/>
  <c r="V1218" i="61"/>
  <c r="U1218" i="61"/>
  <c r="T1218" i="61"/>
  <c r="S1218" i="61"/>
  <c r="R1218" i="61"/>
  <c r="Q1218" i="61"/>
  <c r="P1218" i="61"/>
  <c r="X1217" i="61"/>
  <c r="W1217" i="61"/>
  <c r="V1217" i="61"/>
  <c r="U1217" i="61"/>
  <c r="T1217" i="61"/>
  <c r="S1217" i="61"/>
  <c r="R1217" i="61"/>
  <c r="Q1217" i="61"/>
  <c r="P1217" i="61"/>
  <c r="X1216" i="61"/>
  <c r="W1216" i="61"/>
  <c r="V1216" i="61"/>
  <c r="U1216" i="61"/>
  <c r="T1216" i="61"/>
  <c r="S1216" i="61"/>
  <c r="R1216" i="61"/>
  <c r="Q1216" i="61"/>
  <c r="P1216" i="61"/>
  <c r="X1215" i="61"/>
  <c r="W1215" i="61"/>
  <c r="V1215" i="61"/>
  <c r="U1215" i="61"/>
  <c r="T1215" i="61"/>
  <c r="S1215" i="61"/>
  <c r="R1215" i="61"/>
  <c r="Q1215" i="61"/>
  <c r="P1215" i="61"/>
  <c r="X1214" i="61"/>
  <c r="W1214" i="61"/>
  <c r="V1214" i="61"/>
  <c r="U1214" i="61"/>
  <c r="T1214" i="61"/>
  <c r="S1214" i="61"/>
  <c r="R1214" i="61"/>
  <c r="Q1214" i="61"/>
  <c r="P1214" i="61"/>
  <c r="X1213" i="61"/>
  <c r="W1213" i="61"/>
  <c r="V1213" i="61"/>
  <c r="U1213" i="61"/>
  <c r="T1213" i="61"/>
  <c r="S1213" i="61"/>
  <c r="R1213" i="61"/>
  <c r="Q1213" i="61"/>
  <c r="P1213" i="61"/>
  <c r="X1212" i="61"/>
  <c r="W1212" i="61"/>
  <c r="V1212" i="61"/>
  <c r="U1212" i="61"/>
  <c r="T1212" i="61"/>
  <c r="S1212" i="61"/>
  <c r="R1212" i="61"/>
  <c r="Q1212" i="61"/>
  <c r="P1212" i="61"/>
  <c r="X1211" i="61"/>
  <c r="W1211" i="61"/>
  <c r="V1211" i="61"/>
  <c r="U1211" i="61"/>
  <c r="T1211" i="61"/>
  <c r="S1211" i="61"/>
  <c r="R1211" i="61"/>
  <c r="Q1211" i="61"/>
  <c r="X1210" i="61"/>
  <c r="W1210" i="61"/>
  <c r="V1210" i="61"/>
  <c r="U1210" i="61"/>
  <c r="T1210" i="61"/>
  <c r="S1210" i="61"/>
  <c r="R1210" i="61"/>
  <c r="Q1210" i="61"/>
  <c r="P1210" i="61"/>
  <c r="X1209" i="61"/>
  <c r="W1209" i="61"/>
  <c r="V1209" i="61"/>
  <c r="U1209" i="61"/>
  <c r="T1209" i="61"/>
  <c r="S1209" i="61"/>
  <c r="R1209" i="61"/>
  <c r="Q1209" i="61"/>
  <c r="P1209" i="61"/>
  <c r="X1208" i="61"/>
  <c r="W1208" i="61"/>
  <c r="V1208" i="61"/>
  <c r="U1208" i="61"/>
  <c r="T1208" i="61"/>
  <c r="S1208" i="61"/>
  <c r="R1208" i="61"/>
  <c r="Q1208" i="61"/>
  <c r="P1208" i="61"/>
  <c r="X1207" i="61"/>
  <c r="W1207" i="61"/>
  <c r="V1207" i="61"/>
  <c r="U1207" i="61"/>
  <c r="T1207" i="61"/>
  <c r="S1207" i="61"/>
  <c r="R1207" i="61"/>
  <c r="Q1207" i="61"/>
  <c r="P1207" i="61"/>
  <c r="X1206" i="61"/>
  <c r="W1206" i="61"/>
  <c r="V1206" i="61"/>
  <c r="U1206" i="61"/>
  <c r="T1206" i="61"/>
  <c r="S1206" i="61"/>
  <c r="R1206" i="61"/>
  <c r="Q1206" i="61"/>
  <c r="P1206" i="61"/>
  <c r="X1205" i="61"/>
  <c r="W1205" i="61"/>
  <c r="V1205" i="61"/>
  <c r="U1205" i="61"/>
  <c r="T1205" i="61"/>
  <c r="S1205" i="61"/>
  <c r="R1205" i="61"/>
  <c r="Q1205" i="61"/>
  <c r="P1205" i="61"/>
  <c r="X1204" i="61"/>
  <c r="W1204" i="61"/>
  <c r="V1204" i="61"/>
  <c r="U1204" i="61"/>
  <c r="T1204" i="61"/>
  <c r="S1204" i="61"/>
  <c r="R1204" i="61"/>
  <c r="Q1204" i="61"/>
  <c r="P1204" i="61"/>
  <c r="X1203" i="61"/>
  <c r="W1203" i="61"/>
  <c r="V1203" i="61"/>
  <c r="U1203" i="61"/>
  <c r="T1203" i="61"/>
  <c r="S1203" i="61"/>
  <c r="R1203" i="61"/>
  <c r="Q1203" i="61"/>
  <c r="P1203" i="61"/>
  <c r="X1202" i="61"/>
  <c r="W1202" i="61"/>
  <c r="V1202" i="61"/>
  <c r="U1202" i="61"/>
  <c r="T1202" i="61"/>
  <c r="S1202" i="61"/>
  <c r="R1202" i="61"/>
  <c r="Q1202" i="61"/>
  <c r="P1202" i="61"/>
  <c r="X1201" i="61"/>
  <c r="W1201" i="61"/>
  <c r="V1201" i="61"/>
  <c r="U1201" i="61"/>
  <c r="T1201" i="61"/>
  <c r="S1201" i="61"/>
  <c r="R1201" i="61"/>
  <c r="Q1201" i="61"/>
  <c r="P1201" i="61"/>
  <c r="X1200" i="61"/>
  <c r="W1200" i="61"/>
  <c r="V1200" i="61"/>
  <c r="U1200" i="61"/>
  <c r="T1200" i="61"/>
  <c r="S1200" i="61"/>
  <c r="R1200" i="61"/>
  <c r="Q1200" i="61"/>
  <c r="P1200" i="61"/>
  <c r="X1199" i="61"/>
  <c r="W1199" i="61"/>
  <c r="V1199" i="61"/>
  <c r="U1199" i="61"/>
  <c r="T1199" i="61"/>
  <c r="S1199" i="61"/>
  <c r="R1199" i="61"/>
  <c r="Q1199" i="61"/>
  <c r="P1199" i="61"/>
  <c r="X1198" i="61"/>
  <c r="W1198" i="61"/>
  <c r="V1198" i="61"/>
  <c r="U1198" i="61"/>
  <c r="T1198" i="61"/>
  <c r="S1198" i="61"/>
  <c r="R1198" i="61"/>
  <c r="Q1198" i="61"/>
  <c r="P1198" i="61"/>
  <c r="X1197" i="61"/>
  <c r="W1197" i="61"/>
  <c r="V1197" i="61"/>
  <c r="U1197" i="61"/>
  <c r="T1197" i="61"/>
  <c r="S1197" i="61"/>
  <c r="R1197" i="61"/>
  <c r="Q1197" i="61"/>
  <c r="P1197" i="61"/>
  <c r="X1196" i="61"/>
  <c r="W1196" i="61"/>
  <c r="V1196" i="61"/>
  <c r="U1196" i="61"/>
  <c r="T1196" i="61"/>
  <c r="S1196" i="61"/>
  <c r="R1196" i="61"/>
  <c r="Q1196" i="61"/>
  <c r="P1196" i="61"/>
  <c r="X1195" i="61"/>
  <c r="W1195" i="61"/>
  <c r="V1195" i="61"/>
  <c r="U1195" i="61"/>
  <c r="T1195" i="61"/>
  <c r="S1195" i="61"/>
  <c r="R1195" i="61"/>
  <c r="Q1195" i="61"/>
  <c r="P1195" i="61"/>
  <c r="X1194" i="61"/>
  <c r="W1194" i="61"/>
  <c r="V1194" i="61"/>
  <c r="U1194" i="61"/>
  <c r="T1194" i="61"/>
  <c r="S1194" i="61"/>
  <c r="R1194" i="61"/>
  <c r="Q1194" i="61"/>
  <c r="P1194" i="61"/>
  <c r="X1193" i="61"/>
  <c r="W1193" i="61"/>
  <c r="V1193" i="61"/>
  <c r="U1193" i="61"/>
  <c r="T1193" i="61"/>
  <c r="S1193" i="61"/>
  <c r="R1193" i="61"/>
  <c r="Q1193" i="61"/>
  <c r="P1193" i="61"/>
  <c r="X1192" i="61"/>
  <c r="W1192" i="61"/>
  <c r="V1192" i="61"/>
  <c r="U1192" i="61"/>
  <c r="T1192" i="61"/>
  <c r="S1192" i="61"/>
  <c r="R1192" i="61"/>
  <c r="Q1192" i="61"/>
  <c r="P1192" i="61"/>
  <c r="X1191" i="61"/>
  <c r="W1191" i="61"/>
  <c r="V1191" i="61"/>
  <c r="U1191" i="61"/>
  <c r="T1191" i="61"/>
  <c r="S1191" i="61"/>
  <c r="R1191" i="61"/>
  <c r="Q1191" i="61"/>
  <c r="P1191" i="61"/>
  <c r="X1190" i="61"/>
  <c r="W1190" i="61"/>
  <c r="V1190" i="61"/>
  <c r="U1190" i="61"/>
  <c r="T1190" i="61"/>
  <c r="S1190" i="61"/>
  <c r="R1190" i="61"/>
  <c r="Q1190" i="61"/>
  <c r="P1190" i="61"/>
  <c r="X1189" i="61"/>
  <c r="W1189" i="61"/>
  <c r="V1189" i="61"/>
  <c r="U1189" i="61"/>
  <c r="T1189" i="61"/>
  <c r="S1189" i="61"/>
  <c r="R1189" i="61"/>
  <c r="Q1189" i="61"/>
  <c r="P1189" i="61"/>
  <c r="X1188" i="61"/>
  <c r="W1188" i="61"/>
  <c r="V1188" i="61"/>
  <c r="U1188" i="61"/>
  <c r="T1188" i="61"/>
  <c r="S1188" i="61"/>
  <c r="R1188" i="61"/>
  <c r="Q1188" i="61"/>
  <c r="P1188" i="61"/>
  <c r="X1187" i="61"/>
  <c r="W1187" i="61"/>
  <c r="V1187" i="61"/>
  <c r="U1187" i="61"/>
  <c r="T1187" i="61"/>
  <c r="S1187" i="61"/>
  <c r="R1187" i="61"/>
  <c r="Q1187" i="61"/>
  <c r="P1187" i="61"/>
  <c r="X1186" i="61"/>
  <c r="W1186" i="61"/>
  <c r="V1186" i="61"/>
  <c r="U1186" i="61"/>
  <c r="T1186" i="61"/>
  <c r="S1186" i="61"/>
  <c r="R1186" i="61"/>
  <c r="Q1186" i="61"/>
  <c r="P1186" i="61"/>
  <c r="X1185" i="61"/>
  <c r="W1185" i="61"/>
  <c r="V1185" i="61"/>
  <c r="U1185" i="61"/>
  <c r="T1185" i="61"/>
  <c r="S1185" i="61"/>
  <c r="R1185" i="61"/>
  <c r="Q1185" i="61"/>
  <c r="P1185" i="61"/>
  <c r="X1184" i="61"/>
  <c r="W1184" i="61"/>
  <c r="V1184" i="61"/>
  <c r="U1184" i="61"/>
  <c r="T1184" i="61"/>
  <c r="S1184" i="61"/>
  <c r="R1184" i="61"/>
  <c r="Q1184" i="61"/>
  <c r="P1184" i="61"/>
  <c r="X1183" i="61"/>
  <c r="W1183" i="61"/>
  <c r="V1183" i="61"/>
  <c r="U1183" i="61"/>
  <c r="T1183" i="61"/>
  <c r="S1183" i="61"/>
  <c r="R1183" i="61"/>
  <c r="Q1183" i="61"/>
  <c r="P1183" i="61"/>
  <c r="X1182" i="61"/>
  <c r="W1182" i="61"/>
  <c r="V1182" i="61"/>
  <c r="U1182" i="61"/>
  <c r="T1182" i="61"/>
  <c r="S1182" i="61"/>
  <c r="R1182" i="61"/>
  <c r="Q1182" i="61"/>
  <c r="P1182" i="61"/>
  <c r="X1181" i="61"/>
  <c r="W1181" i="61"/>
  <c r="V1181" i="61"/>
  <c r="U1181" i="61"/>
  <c r="T1181" i="61"/>
  <c r="S1181" i="61"/>
  <c r="R1181" i="61"/>
  <c r="Q1181" i="61"/>
  <c r="P1181" i="61"/>
  <c r="X1180" i="61"/>
  <c r="W1180" i="61"/>
  <c r="V1180" i="61"/>
  <c r="U1180" i="61"/>
  <c r="T1180" i="61"/>
  <c r="S1180" i="61"/>
  <c r="R1180" i="61"/>
  <c r="Q1180" i="61"/>
  <c r="P1180" i="61"/>
  <c r="X1179" i="61"/>
  <c r="W1179" i="61"/>
  <c r="V1179" i="61"/>
  <c r="U1179" i="61"/>
  <c r="T1179" i="61"/>
  <c r="S1179" i="61"/>
  <c r="R1179" i="61"/>
  <c r="Q1179" i="61"/>
  <c r="P1179" i="61"/>
  <c r="X1178" i="61"/>
  <c r="W1178" i="61"/>
  <c r="V1178" i="61"/>
  <c r="U1178" i="61"/>
  <c r="T1178" i="61"/>
  <c r="S1178" i="61"/>
  <c r="R1178" i="61"/>
  <c r="Q1178" i="61"/>
  <c r="P1178" i="61"/>
  <c r="X1177" i="61"/>
  <c r="W1177" i="61"/>
  <c r="V1177" i="61"/>
  <c r="U1177" i="61"/>
  <c r="T1177" i="61"/>
  <c r="S1177" i="61"/>
  <c r="R1177" i="61"/>
  <c r="Q1177" i="61"/>
  <c r="P1177" i="61"/>
  <c r="X1176" i="61"/>
  <c r="W1176" i="61"/>
  <c r="V1176" i="61"/>
  <c r="U1176" i="61"/>
  <c r="T1176" i="61"/>
  <c r="S1176" i="61"/>
  <c r="R1176" i="61"/>
  <c r="Q1176" i="61"/>
  <c r="P1176" i="61"/>
  <c r="X1175" i="61"/>
  <c r="W1175" i="61"/>
  <c r="V1175" i="61"/>
  <c r="U1175" i="61"/>
  <c r="T1175" i="61"/>
  <c r="S1175" i="61"/>
  <c r="R1175" i="61"/>
  <c r="Q1175" i="61"/>
  <c r="P1175" i="61"/>
  <c r="X1174" i="61"/>
  <c r="W1174" i="61"/>
  <c r="V1174" i="61"/>
  <c r="U1174" i="61"/>
  <c r="T1174" i="61"/>
  <c r="S1174" i="61"/>
  <c r="R1174" i="61"/>
  <c r="Q1174" i="61"/>
  <c r="P1174" i="61"/>
  <c r="X1173" i="61"/>
  <c r="W1173" i="61"/>
  <c r="V1173" i="61"/>
  <c r="U1173" i="61"/>
  <c r="T1173" i="61"/>
  <c r="S1173" i="61"/>
  <c r="R1173" i="61"/>
  <c r="Q1173" i="61"/>
  <c r="P1173" i="61"/>
  <c r="X1172" i="61"/>
  <c r="W1172" i="61"/>
  <c r="V1172" i="61"/>
  <c r="U1172" i="61"/>
  <c r="T1172" i="61"/>
  <c r="S1172" i="61"/>
  <c r="R1172" i="61"/>
  <c r="Q1172" i="61"/>
  <c r="P1172" i="61"/>
  <c r="X1171" i="61"/>
  <c r="W1171" i="61"/>
  <c r="V1171" i="61"/>
  <c r="U1171" i="61"/>
  <c r="T1171" i="61"/>
  <c r="S1171" i="61"/>
  <c r="R1171" i="61"/>
  <c r="Q1171" i="61"/>
  <c r="P1171" i="61"/>
  <c r="X1170" i="61"/>
  <c r="W1170" i="61"/>
  <c r="V1170" i="61"/>
  <c r="U1170" i="61"/>
  <c r="T1170" i="61"/>
  <c r="S1170" i="61"/>
  <c r="R1170" i="61"/>
  <c r="Q1170" i="61"/>
  <c r="P1170" i="61"/>
  <c r="X1169" i="61"/>
  <c r="W1169" i="61"/>
  <c r="V1169" i="61"/>
  <c r="U1169" i="61"/>
  <c r="T1169" i="61"/>
  <c r="S1169" i="61"/>
  <c r="R1169" i="61"/>
  <c r="Q1169" i="61"/>
  <c r="P1169" i="61"/>
  <c r="X1168" i="61"/>
  <c r="W1168" i="61"/>
  <c r="V1168" i="61"/>
  <c r="U1168" i="61"/>
  <c r="T1168" i="61"/>
  <c r="S1168" i="61"/>
  <c r="R1168" i="61"/>
  <c r="Q1168" i="61"/>
  <c r="P1168" i="61"/>
  <c r="X1167" i="61"/>
  <c r="W1167" i="61"/>
  <c r="V1167" i="61"/>
  <c r="U1167" i="61"/>
  <c r="T1167" i="61"/>
  <c r="S1167" i="61"/>
  <c r="R1167" i="61"/>
  <c r="Q1167" i="61"/>
  <c r="P1167" i="61"/>
  <c r="X1166" i="61"/>
  <c r="W1166" i="61"/>
  <c r="V1166" i="61"/>
  <c r="U1166" i="61"/>
  <c r="T1166" i="61"/>
  <c r="S1166" i="61"/>
  <c r="R1166" i="61"/>
  <c r="Q1166" i="61"/>
  <c r="P1166" i="61"/>
  <c r="X1165" i="61"/>
  <c r="W1165" i="61"/>
  <c r="V1165" i="61"/>
  <c r="U1165" i="61"/>
  <c r="T1165" i="61"/>
  <c r="S1165" i="61"/>
  <c r="R1165" i="61"/>
  <c r="Q1165" i="61"/>
  <c r="P1165" i="61"/>
  <c r="X1164" i="61"/>
  <c r="W1164" i="61"/>
  <c r="V1164" i="61"/>
  <c r="U1164" i="61"/>
  <c r="T1164" i="61"/>
  <c r="S1164" i="61"/>
  <c r="R1164" i="61"/>
  <c r="Q1164" i="61"/>
  <c r="P1164" i="61"/>
  <c r="X1163" i="61"/>
  <c r="W1163" i="61"/>
  <c r="V1163" i="61"/>
  <c r="U1163" i="61"/>
  <c r="T1163" i="61"/>
  <c r="S1163" i="61"/>
  <c r="R1163" i="61"/>
  <c r="Q1163" i="61"/>
  <c r="P1163" i="61"/>
  <c r="X1162" i="61"/>
  <c r="W1162" i="61"/>
  <c r="V1162" i="61"/>
  <c r="U1162" i="61"/>
  <c r="T1162" i="61"/>
  <c r="S1162" i="61"/>
  <c r="R1162" i="61"/>
  <c r="Q1162" i="61"/>
  <c r="P1162" i="61"/>
  <c r="X1161" i="61"/>
  <c r="W1161" i="61"/>
  <c r="V1161" i="61"/>
  <c r="U1161" i="61"/>
  <c r="T1161" i="61"/>
  <c r="S1161" i="61"/>
  <c r="R1161" i="61"/>
  <c r="Q1161" i="61"/>
  <c r="P1161" i="61"/>
  <c r="X1160" i="61"/>
  <c r="W1160" i="61"/>
  <c r="V1160" i="61"/>
  <c r="U1160" i="61"/>
  <c r="T1160" i="61"/>
  <c r="S1160" i="61"/>
  <c r="R1160" i="61"/>
  <c r="Q1160" i="61"/>
  <c r="P1160" i="61"/>
  <c r="X1159" i="61"/>
  <c r="W1159" i="61"/>
  <c r="V1159" i="61"/>
  <c r="U1159" i="61"/>
  <c r="T1159" i="61"/>
  <c r="S1159" i="61"/>
  <c r="R1159" i="61"/>
  <c r="Q1159" i="61"/>
  <c r="P1159" i="61"/>
  <c r="X1158" i="61"/>
  <c r="W1158" i="61"/>
  <c r="V1158" i="61"/>
  <c r="U1158" i="61"/>
  <c r="T1158" i="61"/>
  <c r="S1158" i="61"/>
  <c r="R1158" i="61"/>
  <c r="Q1158" i="61"/>
  <c r="P1158" i="61"/>
  <c r="X1157" i="61"/>
  <c r="W1157" i="61"/>
  <c r="V1157" i="61"/>
  <c r="U1157" i="61"/>
  <c r="T1157" i="61"/>
  <c r="S1157" i="61"/>
  <c r="R1157" i="61"/>
  <c r="Q1157" i="61"/>
  <c r="P1157" i="61"/>
  <c r="X1156" i="61"/>
  <c r="W1156" i="61"/>
  <c r="V1156" i="61"/>
  <c r="U1156" i="61"/>
  <c r="T1156" i="61"/>
  <c r="S1156" i="61"/>
  <c r="R1156" i="61"/>
  <c r="Q1156" i="61"/>
  <c r="P1156" i="61"/>
  <c r="X1155" i="61"/>
  <c r="W1155" i="61"/>
  <c r="V1155" i="61"/>
  <c r="U1155" i="61"/>
  <c r="T1155" i="61"/>
  <c r="S1155" i="61"/>
  <c r="R1155" i="61"/>
  <c r="Q1155" i="61"/>
  <c r="P1155" i="61"/>
  <c r="X1154" i="61"/>
  <c r="W1154" i="61"/>
  <c r="V1154" i="61"/>
  <c r="U1154" i="61"/>
  <c r="T1154" i="61"/>
  <c r="S1154" i="61"/>
  <c r="R1154" i="61"/>
  <c r="Q1154" i="61"/>
  <c r="P1154" i="61"/>
  <c r="X1153" i="61"/>
  <c r="W1153" i="61"/>
  <c r="V1153" i="61"/>
  <c r="U1153" i="61"/>
  <c r="T1153" i="61"/>
  <c r="S1153" i="61"/>
  <c r="R1153" i="61"/>
  <c r="Q1153" i="61"/>
  <c r="P1153" i="61"/>
  <c r="X1152" i="61"/>
  <c r="W1152" i="61"/>
  <c r="V1152" i="61"/>
  <c r="U1152" i="61"/>
  <c r="T1152" i="61"/>
  <c r="S1152" i="61"/>
  <c r="R1152" i="61"/>
  <c r="Q1152" i="61"/>
  <c r="P1152" i="61"/>
  <c r="X1151" i="61"/>
  <c r="W1151" i="61"/>
  <c r="V1151" i="61"/>
  <c r="U1151" i="61"/>
  <c r="T1151" i="61"/>
  <c r="S1151" i="61"/>
  <c r="R1151" i="61"/>
  <c r="Q1151" i="61"/>
  <c r="P1151" i="61"/>
  <c r="X1150" i="61"/>
  <c r="W1150" i="61"/>
  <c r="V1150" i="61"/>
  <c r="U1150" i="61"/>
  <c r="T1150" i="61"/>
  <c r="S1150" i="61"/>
  <c r="R1150" i="61"/>
  <c r="Q1150" i="61"/>
  <c r="P1150" i="61"/>
  <c r="X1149" i="61"/>
  <c r="W1149" i="61"/>
  <c r="V1149" i="61"/>
  <c r="U1149" i="61"/>
  <c r="T1149" i="61"/>
  <c r="S1149" i="61"/>
  <c r="R1149" i="61"/>
  <c r="Q1149" i="61"/>
  <c r="P1149" i="61"/>
  <c r="X1148" i="61"/>
  <c r="W1148" i="61"/>
  <c r="V1148" i="61"/>
  <c r="U1148" i="61"/>
  <c r="T1148" i="61"/>
  <c r="S1148" i="61"/>
  <c r="R1148" i="61"/>
  <c r="Q1148" i="61"/>
  <c r="P1148" i="61"/>
  <c r="X1147" i="61"/>
  <c r="W1147" i="61"/>
  <c r="V1147" i="61"/>
  <c r="U1147" i="61"/>
  <c r="T1147" i="61"/>
  <c r="S1147" i="61"/>
  <c r="R1147" i="61"/>
  <c r="Q1147" i="61"/>
  <c r="P1147" i="61"/>
  <c r="X1146" i="61"/>
  <c r="W1146" i="61"/>
  <c r="V1146" i="61"/>
  <c r="U1146" i="61"/>
  <c r="T1146" i="61"/>
  <c r="S1146" i="61"/>
  <c r="R1146" i="61"/>
  <c r="Q1146" i="61"/>
  <c r="P1146" i="61"/>
  <c r="X1145" i="61"/>
  <c r="W1145" i="61"/>
  <c r="V1145" i="61"/>
  <c r="U1145" i="61"/>
  <c r="T1145" i="61"/>
  <c r="S1145" i="61"/>
  <c r="R1145" i="61"/>
  <c r="Q1145" i="61"/>
  <c r="P1145" i="61"/>
  <c r="X1144" i="61"/>
  <c r="W1144" i="61"/>
  <c r="V1144" i="61"/>
  <c r="U1144" i="61"/>
  <c r="T1144" i="61"/>
  <c r="S1144" i="61"/>
  <c r="R1144" i="61"/>
  <c r="Q1144" i="61"/>
  <c r="P1144" i="61"/>
  <c r="X1143" i="61"/>
  <c r="W1143" i="61"/>
  <c r="V1143" i="61"/>
  <c r="U1143" i="61"/>
  <c r="T1143" i="61"/>
  <c r="S1143" i="61"/>
  <c r="R1143" i="61"/>
  <c r="Q1143" i="61"/>
  <c r="P1143" i="61"/>
  <c r="X1142" i="61"/>
  <c r="W1142" i="61"/>
  <c r="V1142" i="61"/>
  <c r="U1142" i="61"/>
  <c r="T1142" i="61"/>
  <c r="S1142" i="61"/>
  <c r="R1142" i="61"/>
  <c r="Q1142" i="61"/>
  <c r="P1142" i="61"/>
  <c r="X1141" i="61"/>
  <c r="W1141" i="61"/>
  <c r="V1141" i="61"/>
  <c r="U1141" i="61"/>
  <c r="T1141" i="61"/>
  <c r="S1141" i="61"/>
  <c r="R1141" i="61"/>
  <c r="Q1141" i="61"/>
  <c r="P1141" i="61"/>
  <c r="X1140" i="61"/>
  <c r="W1140" i="61"/>
  <c r="V1140" i="61"/>
  <c r="U1140" i="61"/>
  <c r="T1140" i="61"/>
  <c r="S1140" i="61"/>
  <c r="R1140" i="61"/>
  <c r="Q1140" i="61"/>
  <c r="P1140" i="61"/>
  <c r="X1139" i="61"/>
  <c r="W1139" i="61"/>
  <c r="V1139" i="61"/>
  <c r="U1139" i="61"/>
  <c r="T1139" i="61"/>
  <c r="S1139" i="61"/>
  <c r="R1139" i="61"/>
  <c r="Q1139" i="61"/>
  <c r="P1139" i="61"/>
  <c r="X1138" i="61"/>
  <c r="W1138" i="61"/>
  <c r="V1138" i="61"/>
  <c r="U1138" i="61"/>
  <c r="T1138" i="61"/>
  <c r="S1138" i="61"/>
  <c r="R1138" i="61"/>
  <c r="Q1138" i="61"/>
  <c r="P1138" i="61"/>
  <c r="X1137" i="61"/>
  <c r="W1137" i="61"/>
  <c r="V1137" i="61"/>
  <c r="U1137" i="61"/>
  <c r="T1137" i="61"/>
  <c r="S1137" i="61"/>
  <c r="R1137" i="61"/>
  <c r="Q1137" i="61"/>
  <c r="P1137" i="61"/>
  <c r="X1136" i="61"/>
  <c r="W1136" i="61"/>
  <c r="V1136" i="61"/>
  <c r="U1136" i="61"/>
  <c r="T1136" i="61"/>
  <c r="S1136" i="61"/>
  <c r="R1136" i="61"/>
  <c r="Q1136" i="61"/>
  <c r="P1136" i="61"/>
  <c r="X1135" i="61"/>
  <c r="W1135" i="61"/>
  <c r="V1135" i="61"/>
  <c r="U1135" i="61"/>
  <c r="T1135" i="61"/>
  <c r="S1135" i="61"/>
  <c r="R1135" i="61"/>
  <c r="Q1135" i="61"/>
  <c r="P1135" i="61"/>
  <c r="X1134" i="61"/>
  <c r="W1134" i="61"/>
  <c r="V1134" i="61"/>
  <c r="U1134" i="61"/>
  <c r="T1134" i="61"/>
  <c r="S1134" i="61"/>
  <c r="R1134" i="61"/>
  <c r="Q1134" i="61"/>
  <c r="P1134" i="61"/>
  <c r="X1133" i="61"/>
  <c r="W1133" i="61"/>
  <c r="V1133" i="61"/>
  <c r="U1133" i="61"/>
  <c r="T1133" i="61"/>
  <c r="S1133" i="61"/>
  <c r="R1133" i="61"/>
  <c r="Q1133" i="61"/>
  <c r="P1133" i="61"/>
  <c r="X1132" i="61"/>
  <c r="W1132" i="61"/>
  <c r="V1132" i="61"/>
  <c r="U1132" i="61"/>
  <c r="T1132" i="61"/>
  <c r="S1132" i="61"/>
  <c r="R1132" i="61"/>
  <c r="Q1132" i="61"/>
  <c r="P1132" i="61"/>
  <c r="X1131" i="61"/>
  <c r="W1131" i="61"/>
  <c r="V1131" i="61"/>
  <c r="U1131" i="61"/>
  <c r="T1131" i="61"/>
  <c r="S1131" i="61"/>
  <c r="R1131" i="61"/>
  <c r="Q1131" i="61"/>
  <c r="P1131" i="61"/>
  <c r="X1130" i="61"/>
  <c r="W1130" i="61"/>
  <c r="V1130" i="61"/>
  <c r="U1130" i="61"/>
  <c r="T1130" i="61"/>
  <c r="S1130" i="61"/>
  <c r="R1130" i="61"/>
  <c r="Q1130" i="61"/>
  <c r="P1130" i="61"/>
  <c r="X1129" i="61"/>
  <c r="W1129" i="61"/>
  <c r="V1129" i="61"/>
  <c r="U1129" i="61"/>
  <c r="T1129" i="61"/>
  <c r="S1129" i="61"/>
  <c r="R1129" i="61"/>
  <c r="Q1129" i="61"/>
  <c r="P1129" i="61"/>
  <c r="X1128" i="61"/>
  <c r="W1128" i="61"/>
  <c r="V1128" i="61"/>
  <c r="U1128" i="61"/>
  <c r="T1128" i="61"/>
  <c r="S1128" i="61"/>
  <c r="R1128" i="61"/>
  <c r="Q1128" i="61"/>
  <c r="P1128" i="61"/>
  <c r="X1127" i="61"/>
  <c r="W1127" i="61"/>
  <c r="V1127" i="61"/>
  <c r="U1127" i="61"/>
  <c r="T1127" i="61"/>
  <c r="S1127" i="61"/>
  <c r="R1127" i="61"/>
  <c r="Q1127" i="61"/>
  <c r="P1127" i="61"/>
  <c r="X1126" i="61"/>
  <c r="W1126" i="61"/>
  <c r="V1126" i="61"/>
  <c r="U1126" i="61"/>
  <c r="T1126" i="61"/>
  <c r="S1126" i="61"/>
  <c r="R1126" i="61"/>
  <c r="Q1126" i="61"/>
  <c r="P1126" i="61"/>
  <c r="X1125" i="61"/>
  <c r="W1125" i="61"/>
  <c r="V1125" i="61"/>
  <c r="U1125" i="61"/>
  <c r="T1125" i="61"/>
  <c r="S1125" i="61"/>
  <c r="R1125" i="61"/>
  <c r="Q1125" i="61"/>
  <c r="P1125" i="61"/>
  <c r="X1124" i="61"/>
  <c r="W1124" i="61"/>
  <c r="V1124" i="61"/>
  <c r="U1124" i="61"/>
  <c r="T1124" i="61"/>
  <c r="S1124" i="61"/>
  <c r="R1124" i="61"/>
  <c r="Q1124" i="61"/>
  <c r="P1124" i="61"/>
  <c r="X1123" i="61"/>
  <c r="W1123" i="61"/>
  <c r="V1123" i="61"/>
  <c r="U1123" i="61"/>
  <c r="T1123" i="61"/>
  <c r="S1123" i="61"/>
  <c r="R1123" i="61"/>
  <c r="Q1123" i="61"/>
  <c r="P1123" i="61"/>
  <c r="X1122" i="61"/>
  <c r="W1122" i="61"/>
  <c r="V1122" i="61"/>
  <c r="U1122" i="61"/>
  <c r="T1122" i="61"/>
  <c r="S1122" i="61"/>
  <c r="R1122" i="61"/>
  <c r="Q1122" i="61"/>
  <c r="P1122" i="61"/>
  <c r="X1121" i="61"/>
  <c r="W1121" i="61"/>
  <c r="V1121" i="61"/>
  <c r="U1121" i="61"/>
  <c r="T1121" i="61"/>
  <c r="S1121" i="61"/>
  <c r="R1121" i="61"/>
  <c r="Q1121" i="61"/>
  <c r="P1121" i="61"/>
  <c r="X1120" i="61"/>
  <c r="W1120" i="61"/>
  <c r="V1120" i="61"/>
  <c r="U1120" i="61"/>
  <c r="T1120" i="61"/>
  <c r="S1120" i="61"/>
  <c r="R1120" i="61"/>
  <c r="Q1120" i="61"/>
  <c r="P1120" i="61"/>
  <c r="X1119" i="61"/>
  <c r="W1119" i="61"/>
  <c r="V1119" i="61"/>
  <c r="U1119" i="61"/>
  <c r="T1119" i="61"/>
  <c r="S1119" i="61"/>
  <c r="R1119" i="61"/>
  <c r="Q1119" i="61"/>
  <c r="P1119" i="61"/>
  <c r="X1118" i="61"/>
  <c r="W1118" i="61"/>
  <c r="V1118" i="61"/>
  <c r="U1118" i="61"/>
  <c r="T1118" i="61"/>
  <c r="S1118" i="61"/>
  <c r="R1118" i="61"/>
  <c r="Q1118" i="61"/>
  <c r="P1118" i="61"/>
  <c r="X1117" i="61"/>
  <c r="W1117" i="61"/>
  <c r="V1117" i="61"/>
  <c r="U1117" i="61"/>
  <c r="T1117" i="61"/>
  <c r="S1117" i="61"/>
  <c r="R1117" i="61"/>
  <c r="Q1117" i="61"/>
  <c r="P1117" i="61"/>
  <c r="X1116" i="61"/>
  <c r="W1116" i="61"/>
  <c r="V1116" i="61"/>
  <c r="U1116" i="61"/>
  <c r="T1116" i="61"/>
  <c r="S1116" i="61"/>
  <c r="R1116" i="61"/>
  <c r="Q1116" i="61"/>
  <c r="P1116" i="61"/>
  <c r="X1115" i="61"/>
  <c r="W1115" i="61"/>
  <c r="V1115" i="61"/>
  <c r="U1115" i="61"/>
  <c r="T1115" i="61"/>
  <c r="S1115" i="61"/>
  <c r="R1115" i="61"/>
  <c r="Q1115" i="61"/>
  <c r="P1115" i="61"/>
  <c r="X1114" i="61"/>
  <c r="W1114" i="61"/>
  <c r="V1114" i="61"/>
  <c r="U1114" i="61"/>
  <c r="T1114" i="61"/>
  <c r="S1114" i="61"/>
  <c r="R1114" i="61"/>
  <c r="Q1114" i="61"/>
  <c r="P1114" i="61"/>
  <c r="X1113" i="61"/>
  <c r="W1113" i="61"/>
  <c r="V1113" i="61"/>
  <c r="U1113" i="61"/>
  <c r="T1113" i="61"/>
  <c r="S1113" i="61"/>
  <c r="R1113" i="61"/>
  <c r="Q1113" i="61"/>
  <c r="P1113" i="61"/>
  <c r="X1112" i="61"/>
  <c r="W1112" i="61"/>
  <c r="V1112" i="61"/>
  <c r="U1112" i="61"/>
  <c r="T1112" i="61"/>
  <c r="S1112" i="61"/>
  <c r="R1112" i="61"/>
  <c r="Q1112" i="61"/>
  <c r="P1112" i="61"/>
  <c r="X1111" i="61"/>
  <c r="W1111" i="61"/>
  <c r="V1111" i="61"/>
  <c r="U1111" i="61"/>
  <c r="T1111" i="61"/>
  <c r="S1111" i="61"/>
  <c r="R1111" i="61"/>
  <c r="Q1111" i="61"/>
  <c r="P1111" i="61"/>
  <c r="X1110" i="61"/>
  <c r="W1110" i="61"/>
  <c r="V1110" i="61"/>
  <c r="U1110" i="61"/>
  <c r="T1110" i="61"/>
  <c r="S1110" i="61"/>
  <c r="R1110" i="61"/>
  <c r="Q1110" i="61"/>
  <c r="P1110" i="61"/>
  <c r="X1109" i="61"/>
  <c r="W1109" i="61"/>
  <c r="V1109" i="61"/>
  <c r="U1109" i="61"/>
  <c r="T1109" i="61"/>
  <c r="S1109" i="61"/>
  <c r="R1109" i="61"/>
  <c r="Q1109" i="61"/>
  <c r="P1109" i="61"/>
  <c r="X1108" i="61"/>
  <c r="W1108" i="61"/>
  <c r="V1108" i="61"/>
  <c r="U1108" i="61"/>
  <c r="T1108" i="61"/>
  <c r="S1108" i="61"/>
  <c r="R1108" i="61"/>
  <c r="Q1108" i="61"/>
  <c r="P1108" i="61"/>
  <c r="X1107" i="61"/>
  <c r="W1107" i="61"/>
  <c r="V1107" i="61"/>
  <c r="U1107" i="61"/>
  <c r="T1107" i="61"/>
  <c r="S1107" i="61"/>
  <c r="R1107" i="61"/>
  <c r="Q1107" i="61"/>
  <c r="P1107" i="61"/>
  <c r="X1106" i="61"/>
  <c r="W1106" i="61"/>
  <c r="V1106" i="61"/>
  <c r="U1106" i="61"/>
  <c r="T1106" i="61"/>
  <c r="S1106" i="61"/>
  <c r="R1106" i="61"/>
  <c r="Q1106" i="61"/>
  <c r="P1106" i="61"/>
  <c r="X1105" i="61"/>
  <c r="W1105" i="61"/>
  <c r="V1105" i="61"/>
  <c r="U1105" i="61"/>
  <c r="T1105" i="61"/>
  <c r="S1105" i="61"/>
  <c r="R1105" i="61"/>
  <c r="Q1105" i="61"/>
  <c r="P1105" i="61"/>
  <c r="X1104" i="61"/>
  <c r="W1104" i="61"/>
  <c r="V1104" i="61"/>
  <c r="U1104" i="61"/>
  <c r="T1104" i="61"/>
  <c r="S1104" i="61"/>
  <c r="R1104" i="61"/>
  <c r="Q1104" i="61"/>
  <c r="P1104" i="61"/>
  <c r="X1103" i="61"/>
  <c r="W1103" i="61"/>
  <c r="V1103" i="61"/>
  <c r="U1103" i="61"/>
  <c r="T1103" i="61"/>
  <c r="S1103" i="61"/>
  <c r="R1103" i="61"/>
  <c r="Q1103" i="61"/>
  <c r="P1103" i="61"/>
  <c r="X1102" i="61"/>
  <c r="W1102" i="61"/>
  <c r="V1102" i="61"/>
  <c r="U1102" i="61"/>
  <c r="T1102" i="61"/>
  <c r="S1102" i="61"/>
  <c r="R1102" i="61"/>
  <c r="Q1102" i="61"/>
  <c r="P1102" i="61"/>
  <c r="X1101" i="61"/>
  <c r="W1101" i="61"/>
  <c r="V1101" i="61"/>
  <c r="U1101" i="61"/>
  <c r="T1101" i="61"/>
  <c r="S1101" i="61"/>
  <c r="R1101" i="61"/>
  <c r="Q1101" i="61"/>
  <c r="P1101" i="61"/>
  <c r="X1100" i="61"/>
  <c r="W1100" i="61"/>
  <c r="V1100" i="61"/>
  <c r="U1100" i="61"/>
  <c r="T1100" i="61"/>
  <c r="S1100" i="61"/>
  <c r="R1100" i="61"/>
  <c r="Q1100" i="61"/>
  <c r="P1100" i="61"/>
  <c r="X1099" i="61"/>
  <c r="W1099" i="61"/>
  <c r="V1099" i="61"/>
  <c r="U1099" i="61"/>
  <c r="T1099" i="61"/>
  <c r="S1099" i="61"/>
  <c r="R1099" i="61"/>
  <c r="Q1099" i="61"/>
  <c r="P1099" i="61"/>
  <c r="X1098" i="61"/>
  <c r="W1098" i="61"/>
  <c r="V1098" i="61"/>
  <c r="U1098" i="61"/>
  <c r="T1098" i="61"/>
  <c r="S1098" i="61"/>
  <c r="R1098" i="61"/>
  <c r="Q1098" i="61"/>
  <c r="X1097" i="61"/>
  <c r="W1097" i="61"/>
  <c r="V1097" i="61"/>
  <c r="U1097" i="61"/>
  <c r="T1097" i="61"/>
  <c r="S1097" i="61"/>
  <c r="R1097" i="61"/>
  <c r="Q1097" i="61"/>
  <c r="P1097" i="61"/>
  <c r="X1096" i="61"/>
  <c r="W1096" i="61"/>
  <c r="V1096" i="61"/>
  <c r="U1096" i="61"/>
  <c r="T1096" i="61"/>
  <c r="S1096" i="61"/>
  <c r="R1096" i="61"/>
  <c r="Q1096" i="61"/>
  <c r="P1096" i="61"/>
  <c r="X1095" i="61"/>
  <c r="W1095" i="61"/>
  <c r="V1095" i="61"/>
  <c r="U1095" i="61"/>
  <c r="T1095" i="61"/>
  <c r="S1095" i="61"/>
  <c r="R1095" i="61"/>
  <c r="Q1095" i="61"/>
  <c r="X1094" i="61"/>
  <c r="W1094" i="61"/>
  <c r="V1094" i="61"/>
  <c r="U1094" i="61"/>
  <c r="T1094" i="61"/>
  <c r="S1094" i="61"/>
  <c r="R1094" i="61"/>
  <c r="Q1094" i="61"/>
  <c r="P1094" i="61"/>
  <c r="X1093" i="61"/>
  <c r="W1093" i="61"/>
  <c r="V1093" i="61"/>
  <c r="U1093" i="61"/>
  <c r="T1093" i="61"/>
  <c r="S1093" i="61"/>
  <c r="R1093" i="61"/>
  <c r="Q1093" i="61"/>
  <c r="P1093" i="61"/>
  <c r="X1092" i="61"/>
  <c r="W1092" i="61"/>
  <c r="V1092" i="61"/>
  <c r="U1092" i="61"/>
  <c r="T1092" i="61"/>
  <c r="S1092" i="61"/>
  <c r="R1092" i="61"/>
  <c r="Q1092" i="61"/>
  <c r="P1092" i="61"/>
  <c r="X1091" i="61"/>
  <c r="W1091" i="61"/>
  <c r="V1091" i="61"/>
  <c r="U1091" i="61"/>
  <c r="T1091" i="61"/>
  <c r="S1091" i="61"/>
  <c r="R1091" i="61"/>
  <c r="Q1091" i="61"/>
  <c r="P1091" i="61"/>
  <c r="X1090" i="61"/>
  <c r="W1090" i="61"/>
  <c r="V1090" i="61"/>
  <c r="U1090" i="61"/>
  <c r="T1090" i="61"/>
  <c r="S1090" i="61"/>
  <c r="R1090" i="61"/>
  <c r="Q1090" i="61"/>
  <c r="P1090" i="61"/>
  <c r="X1089" i="61"/>
  <c r="W1089" i="61"/>
  <c r="V1089" i="61"/>
  <c r="U1089" i="61"/>
  <c r="T1089" i="61"/>
  <c r="S1089" i="61"/>
  <c r="R1089" i="61"/>
  <c r="Q1089" i="61"/>
  <c r="P1089" i="61"/>
  <c r="X1088" i="61"/>
  <c r="W1088" i="61"/>
  <c r="V1088" i="61"/>
  <c r="U1088" i="61"/>
  <c r="T1088" i="61"/>
  <c r="S1088" i="61"/>
  <c r="R1088" i="61"/>
  <c r="Q1088" i="61"/>
  <c r="P1088" i="61"/>
  <c r="X1087" i="61"/>
  <c r="W1087" i="61"/>
  <c r="V1087" i="61"/>
  <c r="U1087" i="61"/>
  <c r="T1087" i="61"/>
  <c r="S1087" i="61"/>
  <c r="R1087" i="61"/>
  <c r="Q1087" i="61"/>
  <c r="P1087" i="61"/>
  <c r="X1086" i="61"/>
  <c r="W1086" i="61"/>
  <c r="V1086" i="61"/>
  <c r="U1086" i="61"/>
  <c r="T1086" i="61"/>
  <c r="S1086" i="61"/>
  <c r="R1086" i="61"/>
  <c r="Q1086" i="61"/>
  <c r="P1086" i="61"/>
  <c r="X1085" i="61"/>
  <c r="W1085" i="61"/>
  <c r="V1085" i="61"/>
  <c r="U1085" i="61"/>
  <c r="T1085" i="61"/>
  <c r="S1085" i="61"/>
  <c r="R1085" i="61"/>
  <c r="Q1085" i="61"/>
  <c r="P1085" i="61"/>
  <c r="X1084" i="61"/>
  <c r="W1084" i="61"/>
  <c r="V1084" i="61"/>
  <c r="U1084" i="61"/>
  <c r="T1084" i="61"/>
  <c r="S1084" i="61"/>
  <c r="R1084" i="61"/>
  <c r="Q1084" i="61"/>
  <c r="P1084" i="61"/>
  <c r="X1083" i="61"/>
  <c r="W1083" i="61"/>
  <c r="V1083" i="61"/>
  <c r="U1083" i="61"/>
  <c r="T1083" i="61"/>
  <c r="S1083" i="61"/>
  <c r="R1083" i="61"/>
  <c r="Q1083" i="61"/>
  <c r="P1083" i="61"/>
  <c r="X1082" i="61"/>
  <c r="W1082" i="61"/>
  <c r="V1082" i="61"/>
  <c r="U1082" i="61"/>
  <c r="T1082" i="61"/>
  <c r="S1082" i="61"/>
  <c r="R1082" i="61"/>
  <c r="Q1082" i="61"/>
  <c r="P1082" i="61"/>
  <c r="X1081" i="61"/>
  <c r="W1081" i="61"/>
  <c r="V1081" i="61"/>
  <c r="U1081" i="61"/>
  <c r="T1081" i="61"/>
  <c r="S1081" i="61"/>
  <c r="R1081" i="61"/>
  <c r="Q1081" i="61"/>
  <c r="P1081" i="61"/>
  <c r="X1080" i="61"/>
  <c r="W1080" i="61"/>
  <c r="V1080" i="61"/>
  <c r="U1080" i="61"/>
  <c r="T1080" i="61"/>
  <c r="S1080" i="61"/>
  <c r="R1080" i="61"/>
  <c r="Q1080" i="61"/>
  <c r="P1080" i="61"/>
  <c r="X1079" i="61"/>
  <c r="W1079" i="61"/>
  <c r="V1079" i="61"/>
  <c r="U1079" i="61"/>
  <c r="T1079" i="61"/>
  <c r="S1079" i="61"/>
  <c r="R1079" i="61"/>
  <c r="Q1079" i="61"/>
  <c r="P1079" i="61"/>
  <c r="X1078" i="61"/>
  <c r="W1078" i="61"/>
  <c r="V1078" i="61"/>
  <c r="U1078" i="61"/>
  <c r="T1078" i="61"/>
  <c r="S1078" i="61"/>
  <c r="R1078" i="61"/>
  <c r="Q1078" i="61"/>
  <c r="P1078" i="61"/>
  <c r="X1077" i="61"/>
  <c r="W1077" i="61"/>
  <c r="V1077" i="61"/>
  <c r="U1077" i="61"/>
  <c r="T1077" i="61"/>
  <c r="S1077" i="61"/>
  <c r="R1077" i="61"/>
  <c r="Q1077" i="61"/>
  <c r="P1077" i="61"/>
  <c r="X1076" i="61"/>
  <c r="W1076" i="61"/>
  <c r="V1076" i="61"/>
  <c r="U1076" i="61"/>
  <c r="T1076" i="61"/>
  <c r="S1076" i="61"/>
  <c r="R1076" i="61"/>
  <c r="Q1076" i="61"/>
  <c r="P1076" i="61"/>
  <c r="X1075" i="61"/>
  <c r="W1075" i="61"/>
  <c r="V1075" i="61"/>
  <c r="U1075" i="61"/>
  <c r="T1075" i="61"/>
  <c r="S1075" i="61"/>
  <c r="R1075" i="61"/>
  <c r="Q1075" i="61"/>
  <c r="X1074" i="61"/>
  <c r="W1074" i="61"/>
  <c r="V1074" i="61"/>
  <c r="U1074" i="61"/>
  <c r="T1074" i="61"/>
  <c r="S1074" i="61"/>
  <c r="R1074" i="61"/>
  <c r="Q1074" i="61"/>
  <c r="P1074" i="61"/>
  <c r="X1073" i="61"/>
  <c r="W1073" i="61"/>
  <c r="V1073" i="61"/>
  <c r="U1073" i="61"/>
  <c r="T1073" i="61"/>
  <c r="S1073" i="61"/>
  <c r="R1073" i="61"/>
  <c r="Q1073" i="61"/>
  <c r="X1072" i="61"/>
  <c r="W1072" i="61"/>
  <c r="V1072" i="61"/>
  <c r="U1072" i="61"/>
  <c r="T1072" i="61"/>
  <c r="S1072" i="61"/>
  <c r="R1072" i="61"/>
  <c r="Q1072" i="61"/>
  <c r="P1072" i="61"/>
  <c r="X1071" i="61"/>
  <c r="W1071" i="61"/>
  <c r="V1071" i="61"/>
  <c r="U1071" i="61"/>
  <c r="T1071" i="61"/>
  <c r="S1071" i="61"/>
  <c r="R1071" i="61"/>
  <c r="Q1071" i="61"/>
  <c r="P1071" i="61"/>
  <c r="X1070" i="61"/>
  <c r="W1070" i="61"/>
  <c r="V1070" i="61"/>
  <c r="U1070" i="61"/>
  <c r="T1070" i="61"/>
  <c r="S1070" i="61"/>
  <c r="R1070" i="61"/>
  <c r="Q1070" i="61"/>
  <c r="P1070" i="61"/>
  <c r="X1069" i="61"/>
  <c r="W1069" i="61"/>
  <c r="V1069" i="61"/>
  <c r="U1069" i="61"/>
  <c r="T1069" i="61"/>
  <c r="S1069" i="61"/>
  <c r="R1069" i="61"/>
  <c r="Q1069" i="61"/>
  <c r="P1069" i="61"/>
  <c r="X1068" i="61"/>
  <c r="W1068" i="61"/>
  <c r="V1068" i="61"/>
  <c r="U1068" i="61"/>
  <c r="T1068" i="61"/>
  <c r="S1068" i="61"/>
  <c r="R1068" i="61"/>
  <c r="Q1068" i="61"/>
  <c r="P1068" i="61"/>
  <c r="X1067" i="61"/>
  <c r="W1067" i="61"/>
  <c r="V1067" i="61"/>
  <c r="U1067" i="61"/>
  <c r="T1067" i="61"/>
  <c r="S1067" i="61"/>
  <c r="R1067" i="61"/>
  <c r="Q1067" i="61"/>
  <c r="P1067" i="61"/>
  <c r="X1066" i="61"/>
  <c r="W1066" i="61"/>
  <c r="V1066" i="61"/>
  <c r="U1066" i="61"/>
  <c r="T1066" i="61"/>
  <c r="S1066" i="61"/>
  <c r="R1066" i="61"/>
  <c r="Q1066" i="61"/>
  <c r="P1066" i="61"/>
  <c r="X1065" i="61"/>
  <c r="W1065" i="61"/>
  <c r="V1065" i="61"/>
  <c r="U1065" i="61"/>
  <c r="T1065" i="61"/>
  <c r="S1065" i="61"/>
  <c r="R1065" i="61"/>
  <c r="Q1065" i="61"/>
  <c r="P1065" i="61"/>
  <c r="X1064" i="61"/>
  <c r="W1064" i="61"/>
  <c r="V1064" i="61"/>
  <c r="U1064" i="61"/>
  <c r="T1064" i="61"/>
  <c r="S1064" i="61"/>
  <c r="R1064" i="61"/>
  <c r="Q1064" i="61"/>
  <c r="P1064" i="61"/>
  <c r="X1063" i="61"/>
  <c r="W1063" i="61"/>
  <c r="V1063" i="61"/>
  <c r="U1063" i="61"/>
  <c r="T1063" i="61"/>
  <c r="S1063" i="61"/>
  <c r="R1063" i="61"/>
  <c r="Q1063" i="61"/>
  <c r="P1063" i="61"/>
  <c r="X1062" i="61"/>
  <c r="W1062" i="61"/>
  <c r="V1062" i="61"/>
  <c r="U1062" i="61"/>
  <c r="T1062" i="61"/>
  <c r="S1062" i="61"/>
  <c r="R1062" i="61"/>
  <c r="Q1062" i="61"/>
  <c r="P1062" i="61"/>
  <c r="X1061" i="61"/>
  <c r="W1061" i="61"/>
  <c r="V1061" i="61"/>
  <c r="U1061" i="61"/>
  <c r="T1061" i="61"/>
  <c r="S1061" i="61"/>
  <c r="R1061" i="61"/>
  <c r="Q1061" i="61"/>
  <c r="P1061" i="61"/>
  <c r="X1060" i="61"/>
  <c r="W1060" i="61"/>
  <c r="V1060" i="61"/>
  <c r="U1060" i="61"/>
  <c r="T1060" i="61"/>
  <c r="S1060" i="61"/>
  <c r="R1060" i="61"/>
  <c r="Q1060" i="61"/>
  <c r="P1060" i="61"/>
  <c r="X1059" i="61"/>
  <c r="W1059" i="61"/>
  <c r="V1059" i="61"/>
  <c r="U1059" i="61"/>
  <c r="T1059" i="61"/>
  <c r="S1059" i="61"/>
  <c r="R1059" i="61"/>
  <c r="Q1059" i="61"/>
  <c r="P1059" i="61"/>
  <c r="X1058" i="61"/>
  <c r="W1058" i="61"/>
  <c r="V1058" i="61"/>
  <c r="U1058" i="61"/>
  <c r="T1058" i="61"/>
  <c r="S1058" i="61"/>
  <c r="R1058" i="61"/>
  <c r="Q1058" i="61"/>
  <c r="P1058" i="61"/>
  <c r="X1057" i="61"/>
  <c r="W1057" i="61"/>
  <c r="V1057" i="61"/>
  <c r="U1057" i="61"/>
  <c r="T1057" i="61"/>
  <c r="S1057" i="61"/>
  <c r="R1057" i="61"/>
  <c r="Q1057" i="61"/>
  <c r="P1057" i="61"/>
  <c r="X1056" i="61"/>
  <c r="W1056" i="61"/>
  <c r="V1056" i="61"/>
  <c r="U1056" i="61"/>
  <c r="T1056" i="61"/>
  <c r="S1056" i="61"/>
  <c r="R1056" i="61"/>
  <c r="Q1056" i="61"/>
  <c r="P1056" i="61"/>
  <c r="X1055" i="61"/>
  <c r="W1055" i="61"/>
  <c r="V1055" i="61"/>
  <c r="U1055" i="61"/>
  <c r="T1055" i="61"/>
  <c r="S1055" i="61"/>
  <c r="R1055" i="61"/>
  <c r="Q1055" i="61"/>
  <c r="P1055" i="61"/>
  <c r="X1054" i="61"/>
  <c r="W1054" i="61"/>
  <c r="V1054" i="61"/>
  <c r="U1054" i="61"/>
  <c r="T1054" i="61"/>
  <c r="S1054" i="61"/>
  <c r="R1054" i="61"/>
  <c r="Q1054" i="61"/>
  <c r="P1054" i="61"/>
  <c r="X1053" i="61"/>
  <c r="W1053" i="61"/>
  <c r="V1053" i="61"/>
  <c r="U1053" i="61"/>
  <c r="T1053" i="61"/>
  <c r="S1053" i="61"/>
  <c r="R1053" i="61"/>
  <c r="Q1053" i="61"/>
  <c r="P1053" i="61"/>
  <c r="X1052" i="61"/>
  <c r="W1052" i="61"/>
  <c r="V1052" i="61"/>
  <c r="U1052" i="61"/>
  <c r="T1052" i="61"/>
  <c r="S1052" i="61"/>
  <c r="R1052" i="61"/>
  <c r="Q1052" i="61"/>
  <c r="P1052" i="61"/>
  <c r="X1051" i="61"/>
  <c r="W1051" i="61"/>
  <c r="V1051" i="61"/>
  <c r="U1051" i="61"/>
  <c r="T1051" i="61"/>
  <c r="S1051" i="61"/>
  <c r="R1051" i="61"/>
  <c r="Q1051" i="61"/>
  <c r="P1051" i="61"/>
  <c r="X1050" i="61"/>
  <c r="W1050" i="61"/>
  <c r="V1050" i="61"/>
  <c r="U1050" i="61"/>
  <c r="T1050" i="61"/>
  <c r="S1050" i="61"/>
  <c r="R1050" i="61"/>
  <c r="Q1050" i="61"/>
  <c r="P1050" i="61"/>
  <c r="X1049" i="61"/>
  <c r="W1049" i="61"/>
  <c r="V1049" i="61"/>
  <c r="U1049" i="61"/>
  <c r="T1049" i="61"/>
  <c r="S1049" i="61"/>
  <c r="R1049" i="61"/>
  <c r="Q1049" i="61"/>
  <c r="P1049" i="61"/>
  <c r="X1048" i="61"/>
  <c r="W1048" i="61"/>
  <c r="V1048" i="61"/>
  <c r="U1048" i="61"/>
  <c r="T1048" i="61"/>
  <c r="S1048" i="61"/>
  <c r="R1048" i="61"/>
  <c r="Q1048" i="61"/>
  <c r="P1048" i="61"/>
  <c r="X1047" i="61"/>
  <c r="W1047" i="61"/>
  <c r="V1047" i="61"/>
  <c r="U1047" i="61"/>
  <c r="T1047" i="61"/>
  <c r="S1047" i="61"/>
  <c r="R1047" i="61"/>
  <c r="Q1047" i="61"/>
  <c r="P1047" i="61"/>
  <c r="X1046" i="61"/>
  <c r="W1046" i="61"/>
  <c r="V1046" i="61"/>
  <c r="U1046" i="61"/>
  <c r="T1046" i="61"/>
  <c r="S1046" i="61"/>
  <c r="R1046" i="61"/>
  <c r="Q1046" i="61"/>
  <c r="P1046" i="61"/>
  <c r="X1045" i="61"/>
  <c r="W1045" i="61"/>
  <c r="V1045" i="61"/>
  <c r="U1045" i="61"/>
  <c r="T1045" i="61"/>
  <c r="S1045" i="61"/>
  <c r="R1045" i="61"/>
  <c r="Q1045" i="61"/>
  <c r="P1045" i="61"/>
  <c r="X1044" i="61"/>
  <c r="W1044" i="61"/>
  <c r="V1044" i="61"/>
  <c r="U1044" i="61"/>
  <c r="T1044" i="61"/>
  <c r="S1044" i="61"/>
  <c r="R1044" i="61"/>
  <c r="Q1044" i="61"/>
  <c r="P1044" i="61"/>
  <c r="X1043" i="61"/>
  <c r="W1043" i="61"/>
  <c r="V1043" i="61"/>
  <c r="U1043" i="61"/>
  <c r="T1043" i="61"/>
  <c r="S1043" i="61"/>
  <c r="R1043" i="61"/>
  <c r="Q1043" i="61"/>
  <c r="P1043" i="61"/>
  <c r="X1042" i="61"/>
  <c r="W1042" i="61"/>
  <c r="V1042" i="61"/>
  <c r="U1042" i="61"/>
  <c r="T1042" i="61"/>
  <c r="S1042" i="61"/>
  <c r="R1042" i="61"/>
  <c r="Q1042" i="61"/>
  <c r="P1042" i="61"/>
  <c r="X1041" i="61"/>
  <c r="W1041" i="61"/>
  <c r="V1041" i="61"/>
  <c r="U1041" i="61"/>
  <c r="T1041" i="61"/>
  <c r="S1041" i="61"/>
  <c r="R1041" i="61"/>
  <c r="Q1041" i="61"/>
  <c r="P1041" i="61"/>
  <c r="X1040" i="61"/>
  <c r="W1040" i="61"/>
  <c r="V1040" i="61"/>
  <c r="U1040" i="61"/>
  <c r="T1040" i="61"/>
  <c r="S1040" i="61"/>
  <c r="R1040" i="61"/>
  <c r="Q1040" i="61"/>
  <c r="P1040" i="61"/>
  <c r="X1039" i="61"/>
  <c r="W1039" i="61"/>
  <c r="V1039" i="61"/>
  <c r="U1039" i="61"/>
  <c r="T1039" i="61"/>
  <c r="S1039" i="61"/>
  <c r="R1039" i="61"/>
  <c r="Q1039" i="61"/>
  <c r="P1039" i="61"/>
  <c r="X1038" i="61"/>
  <c r="W1038" i="61"/>
  <c r="V1038" i="61"/>
  <c r="U1038" i="61"/>
  <c r="T1038" i="61"/>
  <c r="S1038" i="61"/>
  <c r="R1038" i="61"/>
  <c r="Q1038" i="61"/>
  <c r="P1038" i="61"/>
  <c r="X1037" i="61"/>
  <c r="W1037" i="61"/>
  <c r="V1037" i="61"/>
  <c r="U1037" i="61"/>
  <c r="T1037" i="61"/>
  <c r="S1037" i="61"/>
  <c r="R1037" i="61"/>
  <c r="Q1037" i="61"/>
  <c r="P1037" i="61"/>
  <c r="X1036" i="61"/>
  <c r="W1036" i="61"/>
  <c r="V1036" i="61"/>
  <c r="U1036" i="61"/>
  <c r="T1036" i="61"/>
  <c r="S1036" i="61"/>
  <c r="R1036" i="61"/>
  <c r="Q1036" i="61"/>
  <c r="P1036" i="61"/>
  <c r="X1035" i="61"/>
  <c r="W1035" i="61"/>
  <c r="V1035" i="61"/>
  <c r="U1035" i="61"/>
  <c r="T1035" i="61"/>
  <c r="S1035" i="61"/>
  <c r="R1035" i="61"/>
  <c r="Q1035" i="61"/>
  <c r="P1035" i="61"/>
  <c r="X1034" i="61"/>
  <c r="W1034" i="61"/>
  <c r="V1034" i="61"/>
  <c r="U1034" i="61"/>
  <c r="T1034" i="61"/>
  <c r="S1034" i="61"/>
  <c r="R1034" i="61"/>
  <c r="Q1034" i="61"/>
  <c r="P1034" i="61"/>
  <c r="X1033" i="61"/>
  <c r="W1033" i="61"/>
  <c r="V1033" i="61"/>
  <c r="U1033" i="61"/>
  <c r="T1033" i="61"/>
  <c r="S1033" i="61"/>
  <c r="R1033" i="61"/>
  <c r="Q1033" i="61"/>
  <c r="P1033" i="61"/>
  <c r="X1032" i="61"/>
  <c r="W1032" i="61"/>
  <c r="V1032" i="61"/>
  <c r="U1032" i="61"/>
  <c r="T1032" i="61"/>
  <c r="S1032" i="61"/>
  <c r="R1032" i="61"/>
  <c r="Q1032" i="61"/>
  <c r="P1032" i="61"/>
  <c r="X1031" i="61"/>
  <c r="W1031" i="61"/>
  <c r="V1031" i="61"/>
  <c r="U1031" i="61"/>
  <c r="T1031" i="61"/>
  <c r="S1031" i="61"/>
  <c r="R1031" i="61"/>
  <c r="Q1031" i="61"/>
  <c r="P1031" i="61"/>
  <c r="X1030" i="61"/>
  <c r="W1030" i="61"/>
  <c r="V1030" i="61"/>
  <c r="U1030" i="61"/>
  <c r="T1030" i="61"/>
  <c r="S1030" i="61"/>
  <c r="R1030" i="61"/>
  <c r="Q1030" i="61"/>
  <c r="P1030" i="61"/>
  <c r="X1029" i="61"/>
  <c r="W1029" i="61"/>
  <c r="V1029" i="61"/>
  <c r="U1029" i="61"/>
  <c r="T1029" i="61"/>
  <c r="S1029" i="61"/>
  <c r="R1029" i="61"/>
  <c r="Q1029" i="61"/>
  <c r="P1029" i="61"/>
  <c r="X1028" i="61"/>
  <c r="W1028" i="61"/>
  <c r="V1028" i="61"/>
  <c r="U1028" i="61"/>
  <c r="T1028" i="61"/>
  <c r="S1028" i="61"/>
  <c r="R1028" i="61"/>
  <c r="Q1028" i="61"/>
  <c r="P1028" i="61"/>
  <c r="X1027" i="61"/>
  <c r="W1027" i="61"/>
  <c r="V1027" i="61"/>
  <c r="U1027" i="61"/>
  <c r="T1027" i="61"/>
  <c r="S1027" i="61"/>
  <c r="R1027" i="61"/>
  <c r="Q1027" i="61"/>
  <c r="P1027" i="61"/>
  <c r="X1026" i="61"/>
  <c r="W1026" i="61"/>
  <c r="V1026" i="61"/>
  <c r="U1026" i="61"/>
  <c r="T1026" i="61"/>
  <c r="S1026" i="61"/>
  <c r="R1026" i="61"/>
  <c r="Q1026" i="61"/>
  <c r="P1026" i="61"/>
  <c r="X1025" i="61"/>
  <c r="W1025" i="61"/>
  <c r="V1025" i="61"/>
  <c r="U1025" i="61"/>
  <c r="T1025" i="61"/>
  <c r="S1025" i="61"/>
  <c r="R1025" i="61"/>
  <c r="Q1025" i="61"/>
  <c r="P1025" i="61"/>
  <c r="X1024" i="61"/>
  <c r="W1024" i="61"/>
  <c r="V1024" i="61"/>
  <c r="U1024" i="61"/>
  <c r="T1024" i="61"/>
  <c r="S1024" i="61"/>
  <c r="R1024" i="61"/>
  <c r="Q1024" i="61"/>
  <c r="P1024" i="61"/>
  <c r="X1023" i="61"/>
  <c r="W1023" i="61"/>
  <c r="V1023" i="61"/>
  <c r="U1023" i="61"/>
  <c r="T1023" i="61"/>
  <c r="S1023" i="61"/>
  <c r="R1023" i="61"/>
  <c r="Q1023" i="61"/>
  <c r="P1023" i="61"/>
  <c r="X1022" i="61"/>
  <c r="W1022" i="61"/>
  <c r="V1022" i="61"/>
  <c r="U1022" i="61"/>
  <c r="T1022" i="61"/>
  <c r="S1022" i="61"/>
  <c r="R1022" i="61"/>
  <c r="Q1022" i="61"/>
  <c r="P1022" i="61"/>
  <c r="X1021" i="61"/>
  <c r="W1021" i="61"/>
  <c r="V1021" i="61"/>
  <c r="U1021" i="61"/>
  <c r="T1021" i="61"/>
  <c r="S1021" i="61"/>
  <c r="R1021" i="61"/>
  <c r="Q1021" i="61"/>
  <c r="P1021" i="61"/>
  <c r="X1020" i="61"/>
  <c r="W1020" i="61"/>
  <c r="V1020" i="61"/>
  <c r="U1020" i="61"/>
  <c r="T1020" i="61"/>
  <c r="S1020" i="61"/>
  <c r="R1020" i="61"/>
  <c r="Q1020" i="61"/>
  <c r="P1020" i="61"/>
  <c r="X1019" i="61"/>
  <c r="W1019" i="61"/>
  <c r="V1019" i="61"/>
  <c r="U1019" i="61"/>
  <c r="T1019" i="61"/>
  <c r="S1019" i="61"/>
  <c r="R1019" i="61"/>
  <c r="Q1019" i="61"/>
  <c r="P1019" i="61"/>
  <c r="X1018" i="61"/>
  <c r="W1018" i="61"/>
  <c r="V1018" i="61"/>
  <c r="U1018" i="61"/>
  <c r="T1018" i="61"/>
  <c r="S1018" i="61"/>
  <c r="R1018" i="61"/>
  <c r="Q1018" i="61"/>
  <c r="P1018" i="61"/>
  <c r="X1017" i="61"/>
  <c r="W1017" i="61"/>
  <c r="V1017" i="61"/>
  <c r="U1017" i="61"/>
  <c r="T1017" i="61"/>
  <c r="S1017" i="61"/>
  <c r="R1017" i="61"/>
  <c r="Q1017" i="61"/>
  <c r="P1017" i="61"/>
  <c r="X1016" i="61"/>
  <c r="W1016" i="61"/>
  <c r="V1016" i="61"/>
  <c r="U1016" i="61"/>
  <c r="T1016" i="61"/>
  <c r="S1016" i="61"/>
  <c r="R1016" i="61"/>
  <c r="Q1016" i="61"/>
  <c r="P1016" i="61"/>
  <c r="X1015" i="61"/>
  <c r="W1015" i="61"/>
  <c r="V1015" i="61"/>
  <c r="U1015" i="61"/>
  <c r="T1015" i="61"/>
  <c r="S1015" i="61"/>
  <c r="R1015" i="61"/>
  <c r="Q1015" i="61"/>
  <c r="P1015" i="61"/>
  <c r="X1014" i="61"/>
  <c r="W1014" i="61"/>
  <c r="V1014" i="61"/>
  <c r="U1014" i="61"/>
  <c r="T1014" i="61"/>
  <c r="S1014" i="61"/>
  <c r="R1014" i="61"/>
  <c r="Q1014" i="61"/>
  <c r="P1014" i="61"/>
  <c r="X1013" i="61"/>
  <c r="W1013" i="61"/>
  <c r="V1013" i="61"/>
  <c r="U1013" i="61"/>
  <c r="T1013" i="61"/>
  <c r="S1013" i="61"/>
  <c r="R1013" i="61"/>
  <c r="Q1013" i="61"/>
  <c r="P1013" i="61"/>
  <c r="X1012" i="61"/>
  <c r="W1012" i="61"/>
  <c r="V1012" i="61"/>
  <c r="U1012" i="61"/>
  <c r="T1012" i="61"/>
  <c r="S1012" i="61"/>
  <c r="R1012" i="61"/>
  <c r="Q1012" i="61"/>
  <c r="P1012" i="61"/>
  <c r="X1011" i="61"/>
  <c r="W1011" i="61"/>
  <c r="V1011" i="61"/>
  <c r="U1011" i="61"/>
  <c r="T1011" i="61"/>
  <c r="S1011" i="61"/>
  <c r="R1011" i="61"/>
  <c r="Q1011" i="61"/>
  <c r="P1011" i="61"/>
  <c r="X1010" i="61"/>
  <c r="W1010" i="61"/>
  <c r="V1010" i="61"/>
  <c r="U1010" i="61"/>
  <c r="T1010" i="61"/>
  <c r="S1010" i="61"/>
  <c r="R1010" i="61"/>
  <c r="Q1010" i="61"/>
  <c r="P1010" i="61"/>
  <c r="X1009" i="61"/>
  <c r="W1009" i="61"/>
  <c r="V1009" i="61"/>
  <c r="U1009" i="61"/>
  <c r="T1009" i="61"/>
  <c r="S1009" i="61"/>
  <c r="R1009" i="61"/>
  <c r="Q1009" i="61"/>
  <c r="P1009" i="61"/>
  <c r="X1008" i="61"/>
  <c r="W1008" i="61"/>
  <c r="V1008" i="61"/>
  <c r="U1008" i="61"/>
  <c r="T1008" i="61"/>
  <c r="S1008" i="61"/>
  <c r="R1008" i="61"/>
  <c r="Q1008" i="61"/>
  <c r="P1008" i="61"/>
  <c r="X1007" i="61"/>
  <c r="W1007" i="61"/>
  <c r="V1007" i="61"/>
  <c r="U1007" i="61"/>
  <c r="T1007" i="61"/>
  <c r="S1007" i="61"/>
  <c r="R1007" i="61"/>
  <c r="Q1007" i="61"/>
  <c r="P1007" i="61"/>
  <c r="X1006" i="61"/>
  <c r="W1006" i="61"/>
  <c r="V1006" i="61"/>
  <c r="U1006" i="61"/>
  <c r="T1006" i="61"/>
  <c r="S1006" i="61"/>
  <c r="R1006" i="61"/>
  <c r="Q1006" i="61"/>
  <c r="P1006" i="61"/>
  <c r="X1005" i="61"/>
  <c r="W1005" i="61"/>
  <c r="V1005" i="61"/>
  <c r="U1005" i="61"/>
  <c r="T1005" i="61"/>
  <c r="S1005" i="61"/>
  <c r="R1005" i="61"/>
  <c r="Q1005" i="61"/>
  <c r="P1005" i="61"/>
  <c r="X1004" i="61"/>
  <c r="W1004" i="61"/>
  <c r="V1004" i="61"/>
  <c r="U1004" i="61"/>
  <c r="T1004" i="61"/>
  <c r="S1004" i="61"/>
  <c r="R1004" i="61"/>
  <c r="Q1004" i="61"/>
  <c r="P1004" i="61"/>
  <c r="X1003" i="61"/>
  <c r="W1003" i="61"/>
  <c r="V1003" i="61"/>
  <c r="U1003" i="61"/>
  <c r="T1003" i="61"/>
  <c r="S1003" i="61"/>
  <c r="R1003" i="61"/>
  <c r="Q1003" i="61"/>
  <c r="P1003" i="61"/>
  <c r="X1002" i="61"/>
  <c r="W1002" i="61"/>
  <c r="V1002" i="61"/>
  <c r="U1002" i="61"/>
  <c r="T1002" i="61"/>
  <c r="S1002" i="61"/>
  <c r="R1002" i="61"/>
  <c r="Q1002" i="61"/>
  <c r="P1002" i="61"/>
  <c r="X1001" i="61"/>
  <c r="W1001" i="61"/>
  <c r="V1001" i="61"/>
  <c r="U1001" i="61"/>
  <c r="T1001" i="61"/>
  <c r="S1001" i="61"/>
  <c r="R1001" i="61"/>
  <c r="Q1001" i="61"/>
  <c r="P1001" i="61"/>
  <c r="X1000" i="61"/>
  <c r="W1000" i="61"/>
  <c r="V1000" i="61"/>
  <c r="U1000" i="61"/>
  <c r="T1000" i="61"/>
  <c r="S1000" i="61"/>
  <c r="R1000" i="61"/>
  <c r="Q1000" i="61"/>
  <c r="P1000" i="61"/>
  <c r="X999" i="61"/>
  <c r="W999" i="61"/>
  <c r="V999" i="61"/>
  <c r="U999" i="61"/>
  <c r="T999" i="61"/>
  <c r="S999" i="61"/>
  <c r="R999" i="61"/>
  <c r="Q999" i="61"/>
  <c r="P999" i="61"/>
  <c r="X998" i="61"/>
  <c r="W998" i="61"/>
  <c r="V998" i="61"/>
  <c r="U998" i="61"/>
  <c r="T998" i="61"/>
  <c r="S998" i="61"/>
  <c r="R998" i="61"/>
  <c r="Q998" i="61"/>
  <c r="P998" i="61"/>
  <c r="X997" i="61"/>
  <c r="W997" i="61"/>
  <c r="V997" i="61"/>
  <c r="U997" i="61"/>
  <c r="T997" i="61"/>
  <c r="S997" i="61"/>
  <c r="R997" i="61"/>
  <c r="Q997" i="61"/>
  <c r="P997" i="61"/>
  <c r="X996" i="61"/>
  <c r="W996" i="61"/>
  <c r="V996" i="61"/>
  <c r="U996" i="61"/>
  <c r="T996" i="61"/>
  <c r="S996" i="61"/>
  <c r="R996" i="61"/>
  <c r="Q996" i="61"/>
  <c r="P996" i="61"/>
  <c r="X995" i="61"/>
  <c r="W995" i="61"/>
  <c r="V995" i="61"/>
  <c r="U995" i="61"/>
  <c r="T995" i="61"/>
  <c r="S995" i="61"/>
  <c r="R995" i="61"/>
  <c r="Q995" i="61"/>
  <c r="P995" i="61"/>
  <c r="X994" i="61"/>
  <c r="W994" i="61"/>
  <c r="V994" i="61"/>
  <c r="U994" i="61"/>
  <c r="T994" i="61"/>
  <c r="S994" i="61"/>
  <c r="R994" i="61"/>
  <c r="Q994" i="61"/>
  <c r="P994" i="61"/>
  <c r="X993" i="61"/>
  <c r="W993" i="61"/>
  <c r="V993" i="61"/>
  <c r="U993" i="61"/>
  <c r="T993" i="61"/>
  <c r="S993" i="61"/>
  <c r="R993" i="61"/>
  <c r="Q993" i="61"/>
  <c r="P993" i="61"/>
  <c r="X992" i="61"/>
  <c r="W992" i="61"/>
  <c r="V992" i="61"/>
  <c r="U992" i="61"/>
  <c r="T992" i="61"/>
  <c r="S992" i="61"/>
  <c r="R992" i="61"/>
  <c r="Q992" i="61"/>
  <c r="P992" i="61"/>
  <c r="X991" i="61"/>
  <c r="W991" i="61"/>
  <c r="V991" i="61"/>
  <c r="U991" i="61"/>
  <c r="T991" i="61"/>
  <c r="S991" i="61"/>
  <c r="R991" i="61"/>
  <c r="Q991" i="61"/>
  <c r="P991" i="61"/>
  <c r="X990" i="61"/>
  <c r="W990" i="61"/>
  <c r="V990" i="61"/>
  <c r="U990" i="61"/>
  <c r="T990" i="61"/>
  <c r="S990" i="61"/>
  <c r="R990" i="61"/>
  <c r="Q990" i="61"/>
  <c r="P990" i="61"/>
  <c r="X989" i="61"/>
  <c r="W989" i="61"/>
  <c r="V989" i="61"/>
  <c r="U989" i="61"/>
  <c r="T989" i="61"/>
  <c r="S989" i="61"/>
  <c r="R989" i="61"/>
  <c r="Q989" i="61"/>
  <c r="P989" i="61"/>
  <c r="X988" i="61"/>
  <c r="W988" i="61"/>
  <c r="V988" i="61"/>
  <c r="U988" i="61"/>
  <c r="T988" i="61"/>
  <c r="S988" i="61"/>
  <c r="R988" i="61"/>
  <c r="Q988" i="61"/>
  <c r="P988" i="61"/>
  <c r="X987" i="61"/>
  <c r="W987" i="61"/>
  <c r="V987" i="61"/>
  <c r="U987" i="61"/>
  <c r="T987" i="61"/>
  <c r="S987" i="61"/>
  <c r="R987" i="61"/>
  <c r="Q987" i="61"/>
  <c r="P987" i="61"/>
  <c r="X986" i="61"/>
  <c r="W986" i="61"/>
  <c r="V986" i="61"/>
  <c r="U986" i="61"/>
  <c r="T986" i="61"/>
  <c r="S986" i="61"/>
  <c r="R986" i="61"/>
  <c r="Q986" i="61"/>
  <c r="P986" i="61"/>
  <c r="X985" i="61"/>
  <c r="W985" i="61"/>
  <c r="V985" i="61"/>
  <c r="U985" i="61"/>
  <c r="T985" i="61"/>
  <c r="S985" i="61"/>
  <c r="R985" i="61"/>
  <c r="Q985" i="61"/>
  <c r="P985" i="61"/>
  <c r="X984" i="61"/>
  <c r="W984" i="61"/>
  <c r="V984" i="61"/>
  <c r="U984" i="61"/>
  <c r="T984" i="61"/>
  <c r="S984" i="61"/>
  <c r="R984" i="61"/>
  <c r="Q984" i="61"/>
  <c r="P984" i="61"/>
  <c r="X983" i="61"/>
  <c r="W983" i="61"/>
  <c r="V983" i="61"/>
  <c r="U983" i="61"/>
  <c r="T983" i="61"/>
  <c r="S983" i="61"/>
  <c r="R983" i="61"/>
  <c r="Q983" i="61"/>
  <c r="P983" i="61"/>
  <c r="X982" i="61"/>
  <c r="W982" i="61"/>
  <c r="V982" i="61"/>
  <c r="U982" i="61"/>
  <c r="T982" i="61"/>
  <c r="S982" i="61"/>
  <c r="R982" i="61"/>
  <c r="Q982" i="61"/>
  <c r="P982" i="61"/>
  <c r="X981" i="61"/>
  <c r="W981" i="61"/>
  <c r="V981" i="61"/>
  <c r="U981" i="61"/>
  <c r="T981" i="61"/>
  <c r="S981" i="61"/>
  <c r="R981" i="61"/>
  <c r="Q981" i="61"/>
  <c r="P981" i="61"/>
  <c r="X980" i="61"/>
  <c r="W980" i="61"/>
  <c r="V980" i="61"/>
  <c r="U980" i="61"/>
  <c r="T980" i="61"/>
  <c r="S980" i="61"/>
  <c r="R980" i="61"/>
  <c r="Q980" i="61"/>
  <c r="P980" i="61"/>
  <c r="X979" i="61"/>
  <c r="W979" i="61"/>
  <c r="V979" i="61"/>
  <c r="U979" i="61"/>
  <c r="T979" i="61"/>
  <c r="S979" i="61"/>
  <c r="R979" i="61"/>
  <c r="Q979" i="61"/>
  <c r="P979" i="61"/>
  <c r="X978" i="61"/>
  <c r="W978" i="61"/>
  <c r="V978" i="61"/>
  <c r="U978" i="61"/>
  <c r="T978" i="61"/>
  <c r="S978" i="61"/>
  <c r="R978" i="61"/>
  <c r="Q978" i="61"/>
  <c r="P978" i="61"/>
  <c r="X977" i="61"/>
  <c r="W977" i="61"/>
  <c r="V977" i="61"/>
  <c r="U977" i="61"/>
  <c r="T977" i="61"/>
  <c r="S977" i="61"/>
  <c r="R977" i="61"/>
  <c r="Q977" i="61"/>
  <c r="P977" i="61"/>
  <c r="X976" i="61"/>
  <c r="W976" i="61"/>
  <c r="V976" i="61"/>
  <c r="U976" i="61"/>
  <c r="T976" i="61"/>
  <c r="S976" i="61"/>
  <c r="R976" i="61"/>
  <c r="Q976" i="61"/>
  <c r="P976" i="61"/>
  <c r="X975" i="61"/>
  <c r="W975" i="61"/>
  <c r="V975" i="61"/>
  <c r="U975" i="61"/>
  <c r="T975" i="61"/>
  <c r="S975" i="61"/>
  <c r="R975" i="61"/>
  <c r="Q975" i="61"/>
  <c r="P975" i="61"/>
  <c r="X974" i="61"/>
  <c r="W974" i="61"/>
  <c r="V974" i="61"/>
  <c r="U974" i="61"/>
  <c r="T974" i="61"/>
  <c r="S974" i="61"/>
  <c r="R974" i="61"/>
  <c r="Q974" i="61"/>
  <c r="P974" i="61"/>
  <c r="X973" i="61"/>
  <c r="W973" i="61"/>
  <c r="V973" i="61"/>
  <c r="U973" i="61"/>
  <c r="T973" i="61"/>
  <c r="S973" i="61"/>
  <c r="R973" i="61"/>
  <c r="Q973" i="61"/>
  <c r="P973" i="61"/>
  <c r="X972" i="61"/>
  <c r="W972" i="61"/>
  <c r="V972" i="61"/>
  <c r="U972" i="61"/>
  <c r="T972" i="61"/>
  <c r="S972" i="61"/>
  <c r="R972" i="61"/>
  <c r="Q972" i="61"/>
  <c r="P972" i="61"/>
  <c r="X971" i="61"/>
  <c r="W971" i="61"/>
  <c r="V971" i="61"/>
  <c r="U971" i="61"/>
  <c r="T971" i="61"/>
  <c r="S971" i="61"/>
  <c r="R971" i="61"/>
  <c r="Q971" i="61"/>
  <c r="P971" i="61"/>
  <c r="X970" i="61"/>
  <c r="W970" i="61"/>
  <c r="V970" i="61"/>
  <c r="U970" i="61"/>
  <c r="T970" i="61"/>
  <c r="S970" i="61"/>
  <c r="R970" i="61"/>
  <c r="Q970" i="61"/>
  <c r="P970" i="61"/>
  <c r="X969" i="61"/>
  <c r="W969" i="61"/>
  <c r="V969" i="61"/>
  <c r="U969" i="61"/>
  <c r="T969" i="61"/>
  <c r="S969" i="61"/>
  <c r="R969" i="61"/>
  <c r="Q969" i="61"/>
  <c r="P969" i="61"/>
  <c r="X968" i="61"/>
  <c r="W968" i="61"/>
  <c r="V968" i="61"/>
  <c r="U968" i="61"/>
  <c r="T968" i="61"/>
  <c r="S968" i="61"/>
  <c r="R968" i="61"/>
  <c r="Q968" i="61"/>
  <c r="P968" i="61"/>
  <c r="X967" i="61"/>
  <c r="W967" i="61"/>
  <c r="V967" i="61"/>
  <c r="U967" i="61"/>
  <c r="T967" i="61"/>
  <c r="S967" i="61"/>
  <c r="R967" i="61"/>
  <c r="Q967" i="61"/>
  <c r="P967" i="61"/>
  <c r="X966" i="61"/>
  <c r="W966" i="61"/>
  <c r="V966" i="61"/>
  <c r="U966" i="61"/>
  <c r="T966" i="61"/>
  <c r="S966" i="61"/>
  <c r="R966" i="61"/>
  <c r="Q966" i="61"/>
  <c r="P966" i="61"/>
  <c r="X965" i="61"/>
  <c r="W965" i="61"/>
  <c r="V965" i="61"/>
  <c r="U965" i="61"/>
  <c r="T965" i="61"/>
  <c r="S965" i="61"/>
  <c r="R965" i="61"/>
  <c r="Q965" i="61"/>
  <c r="P965" i="61"/>
  <c r="X964" i="61"/>
  <c r="W964" i="61"/>
  <c r="V964" i="61"/>
  <c r="U964" i="61"/>
  <c r="T964" i="61"/>
  <c r="S964" i="61"/>
  <c r="R964" i="61"/>
  <c r="Q964" i="61"/>
  <c r="P964" i="61"/>
  <c r="X963" i="61"/>
  <c r="W963" i="61"/>
  <c r="V963" i="61"/>
  <c r="U963" i="61"/>
  <c r="T963" i="61"/>
  <c r="S963" i="61"/>
  <c r="R963" i="61"/>
  <c r="Q963" i="61"/>
  <c r="P963" i="61"/>
  <c r="X962" i="61"/>
  <c r="W962" i="61"/>
  <c r="V962" i="61"/>
  <c r="U962" i="61"/>
  <c r="T962" i="61"/>
  <c r="S962" i="61"/>
  <c r="R962" i="61"/>
  <c r="Q962" i="61"/>
  <c r="P962" i="61"/>
  <c r="X961" i="61"/>
  <c r="W961" i="61"/>
  <c r="V961" i="61"/>
  <c r="U961" i="61"/>
  <c r="T961" i="61"/>
  <c r="S961" i="61"/>
  <c r="R961" i="61"/>
  <c r="Q961" i="61"/>
  <c r="P961" i="61"/>
  <c r="X960" i="61"/>
  <c r="W960" i="61"/>
  <c r="V960" i="61"/>
  <c r="U960" i="61"/>
  <c r="T960" i="61"/>
  <c r="S960" i="61"/>
  <c r="R960" i="61"/>
  <c r="Q960" i="61"/>
  <c r="P960" i="61"/>
  <c r="X959" i="61"/>
  <c r="W959" i="61"/>
  <c r="V959" i="61"/>
  <c r="U959" i="61"/>
  <c r="T959" i="61"/>
  <c r="S959" i="61"/>
  <c r="R959" i="61"/>
  <c r="Q959" i="61"/>
  <c r="P959" i="61"/>
  <c r="X958" i="61"/>
  <c r="W958" i="61"/>
  <c r="V958" i="61"/>
  <c r="U958" i="61"/>
  <c r="T958" i="61"/>
  <c r="S958" i="61"/>
  <c r="R958" i="61"/>
  <c r="Q958" i="61"/>
  <c r="P958" i="61"/>
  <c r="X957" i="61"/>
  <c r="W957" i="61"/>
  <c r="V957" i="61"/>
  <c r="U957" i="61"/>
  <c r="T957" i="61"/>
  <c r="S957" i="61"/>
  <c r="R957" i="61"/>
  <c r="Q957" i="61"/>
  <c r="P957" i="61"/>
  <c r="X956" i="61"/>
  <c r="W956" i="61"/>
  <c r="V956" i="61"/>
  <c r="U956" i="61"/>
  <c r="T956" i="61"/>
  <c r="S956" i="61"/>
  <c r="R956" i="61"/>
  <c r="Q956" i="61"/>
  <c r="P956" i="61"/>
  <c r="X955" i="61"/>
  <c r="W955" i="61"/>
  <c r="V955" i="61"/>
  <c r="U955" i="61"/>
  <c r="T955" i="61"/>
  <c r="S955" i="61"/>
  <c r="R955" i="61"/>
  <c r="Q955" i="61"/>
  <c r="P955" i="61"/>
  <c r="X954" i="61"/>
  <c r="W954" i="61"/>
  <c r="V954" i="61"/>
  <c r="U954" i="61"/>
  <c r="T954" i="61"/>
  <c r="S954" i="61"/>
  <c r="R954" i="61"/>
  <c r="Q954" i="61"/>
  <c r="P954" i="61"/>
  <c r="X953" i="61"/>
  <c r="W953" i="61"/>
  <c r="V953" i="61"/>
  <c r="U953" i="61"/>
  <c r="T953" i="61"/>
  <c r="S953" i="61"/>
  <c r="R953" i="61"/>
  <c r="Q953" i="61"/>
  <c r="P953" i="61"/>
  <c r="X952" i="61"/>
  <c r="W952" i="61"/>
  <c r="V952" i="61"/>
  <c r="U952" i="61"/>
  <c r="T952" i="61"/>
  <c r="S952" i="61"/>
  <c r="R952" i="61"/>
  <c r="Q952" i="61"/>
  <c r="P952" i="61"/>
  <c r="X951" i="61"/>
  <c r="W951" i="61"/>
  <c r="V951" i="61"/>
  <c r="U951" i="61"/>
  <c r="T951" i="61"/>
  <c r="S951" i="61"/>
  <c r="R951" i="61"/>
  <c r="Q951" i="61"/>
  <c r="P951" i="61"/>
  <c r="X950" i="61"/>
  <c r="W950" i="61"/>
  <c r="V950" i="61"/>
  <c r="U950" i="61"/>
  <c r="T950" i="61"/>
  <c r="S950" i="61"/>
  <c r="R950" i="61"/>
  <c r="Q950" i="61"/>
  <c r="P950" i="61"/>
  <c r="X949" i="61"/>
  <c r="W949" i="61"/>
  <c r="V949" i="61"/>
  <c r="U949" i="61"/>
  <c r="T949" i="61"/>
  <c r="S949" i="61"/>
  <c r="R949" i="61"/>
  <c r="Q949" i="61"/>
  <c r="P949" i="61"/>
  <c r="X948" i="61"/>
  <c r="W948" i="61"/>
  <c r="V948" i="61"/>
  <c r="U948" i="61"/>
  <c r="T948" i="61"/>
  <c r="S948" i="61"/>
  <c r="R948" i="61"/>
  <c r="Q948" i="61"/>
  <c r="X947" i="61"/>
  <c r="W947" i="61"/>
  <c r="V947" i="61"/>
  <c r="U947" i="61"/>
  <c r="T947" i="61"/>
  <c r="S947" i="61"/>
  <c r="R947" i="61"/>
  <c r="Q947" i="61"/>
  <c r="P947" i="61"/>
  <c r="X946" i="61"/>
  <c r="W946" i="61"/>
  <c r="V946" i="61"/>
  <c r="U946" i="61"/>
  <c r="T946" i="61"/>
  <c r="S946" i="61"/>
  <c r="R946" i="61"/>
  <c r="Q946" i="61"/>
  <c r="P946" i="61"/>
  <c r="X945" i="61"/>
  <c r="W945" i="61"/>
  <c r="V945" i="61"/>
  <c r="U945" i="61"/>
  <c r="T945" i="61"/>
  <c r="S945" i="61"/>
  <c r="R945" i="61"/>
  <c r="Q945" i="61"/>
  <c r="P945" i="61"/>
  <c r="X944" i="61"/>
  <c r="W944" i="61"/>
  <c r="V944" i="61"/>
  <c r="U944" i="61"/>
  <c r="T944" i="61"/>
  <c r="S944" i="61"/>
  <c r="R944" i="61"/>
  <c r="Q944" i="61"/>
  <c r="P944" i="61"/>
  <c r="X943" i="61"/>
  <c r="W943" i="61"/>
  <c r="V943" i="61"/>
  <c r="U943" i="61"/>
  <c r="T943" i="61"/>
  <c r="S943" i="61"/>
  <c r="R943" i="61"/>
  <c r="Q943" i="61"/>
  <c r="P943" i="61"/>
  <c r="X942" i="61"/>
  <c r="W942" i="61"/>
  <c r="V942" i="61"/>
  <c r="U942" i="61"/>
  <c r="T942" i="61"/>
  <c r="S942" i="61"/>
  <c r="R942" i="61"/>
  <c r="Q942" i="61"/>
  <c r="P942" i="61"/>
  <c r="X941" i="61"/>
  <c r="W941" i="61"/>
  <c r="V941" i="61"/>
  <c r="U941" i="61"/>
  <c r="T941" i="61"/>
  <c r="S941" i="61"/>
  <c r="R941" i="61"/>
  <c r="Q941" i="61"/>
  <c r="P941" i="61"/>
  <c r="X940" i="61"/>
  <c r="W940" i="61"/>
  <c r="V940" i="61"/>
  <c r="U940" i="61"/>
  <c r="T940" i="61"/>
  <c r="S940" i="61"/>
  <c r="R940" i="61"/>
  <c r="Q940" i="61"/>
  <c r="P940" i="61"/>
  <c r="X939" i="61"/>
  <c r="W939" i="61"/>
  <c r="V939" i="61"/>
  <c r="U939" i="61"/>
  <c r="T939" i="61"/>
  <c r="S939" i="61"/>
  <c r="R939" i="61"/>
  <c r="Q939" i="61"/>
  <c r="P939" i="61"/>
  <c r="X938" i="61"/>
  <c r="W938" i="61"/>
  <c r="V938" i="61"/>
  <c r="U938" i="61"/>
  <c r="T938" i="61"/>
  <c r="S938" i="61"/>
  <c r="R938" i="61"/>
  <c r="Q938" i="61"/>
  <c r="P938" i="61"/>
  <c r="X937" i="61"/>
  <c r="W937" i="61"/>
  <c r="V937" i="61"/>
  <c r="U937" i="61"/>
  <c r="T937" i="61"/>
  <c r="S937" i="61"/>
  <c r="R937" i="61"/>
  <c r="Q937" i="61"/>
  <c r="P937" i="61"/>
  <c r="X936" i="61"/>
  <c r="W936" i="61"/>
  <c r="V936" i="61"/>
  <c r="U936" i="61"/>
  <c r="T936" i="61"/>
  <c r="S936" i="61"/>
  <c r="R936" i="61"/>
  <c r="Q936" i="61"/>
  <c r="P936" i="61"/>
  <c r="X935" i="61"/>
  <c r="W935" i="61"/>
  <c r="V935" i="61"/>
  <c r="U935" i="61"/>
  <c r="T935" i="61"/>
  <c r="S935" i="61"/>
  <c r="R935" i="61"/>
  <c r="Q935" i="61"/>
  <c r="P935" i="61"/>
  <c r="X934" i="61"/>
  <c r="W934" i="61"/>
  <c r="V934" i="61"/>
  <c r="U934" i="61"/>
  <c r="T934" i="61"/>
  <c r="S934" i="61"/>
  <c r="R934" i="61"/>
  <c r="Q934" i="61"/>
  <c r="P934" i="61"/>
  <c r="X933" i="61"/>
  <c r="W933" i="61"/>
  <c r="V933" i="61"/>
  <c r="U933" i="61"/>
  <c r="T933" i="61"/>
  <c r="S933" i="61"/>
  <c r="R933" i="61"/>
  <c r="Q933" i="61"/>
  <c r="P933" i="61"/>
  <c r="X932" i="61"/>
  <c r="W932" i="61"/>
  <c r="V932" i="61"/>
  <c r="U932" i="61"/>
  <c r="T932" i="61"/>
  <c r="S932" i="61"/>
  <c r="R932" i="61"/>
  <c r="Q932" i="61"/>
  <c r="P932" i="61"/>
  <c r="X931" i="61"/>
  <c r="W931" i="61"/>
  <c r="V931" i="61"/>
  <c r="U931" i="61"/>
  <c r="T931" i="61"/>
  <c r="S931" i="61"/>
  <c r="R931" i="61"/>
  <c r="Q931" i="61"/>
  <c r="P931" i="61"/>
  <c r="X930" i="61"/>
  <c r="W930" i="61"/>
  <c r="V930" i="61"/>
  <c r="U930" i="61"/>
  <c r="T930" i="61"/>
  <c r="S930" i="61"/>
  <c r="R930" i="61"/>
  <c r="Q930" i="61"/>
  <c r="P930" i="61"/>
  <c r="X929" i="61"/>
  <c r="W929" i="61"/>
  <c r="V929" i="61"/>
  <c r="U929" i="61"/>
  <c r="T929" i="61"/>
  <c r="S929" i="61"/>
  <c r="R929" i="61"/>
  <c r="Q929" i="61"/>
  <c r="P929" i="61"/>
  <c r="X928" i="61"/>
  <c r="W928" i="61"/>
  <c r="V928" i="61"/>
  <c r="U928" i="61"/>
  <c r="T928" i="61"/>
  <c r="S928" i="61"/>
  <c r="R928" i="61"/>
  <c r="Q928" i="61"/>
  <c r="P928" i="61"/>
  <c r="X927" i="61"/>
  <c r="W927" i="61"/>
  <c r="V927" i="61"/>
  <c r="U927" i="61"/>
  <c r="T927" i="61"/>
  <c r="S927" i="61"/>
  <c r="R927" i="61"/>
  <c r="Q927" i="61"/>
  <c r="P927" i="61"/>
  <c r="X926" i="61"/>
  <c r="W926" i="61"/>
  <c r="V926" i="61"/>
  <c r="U926" i="61"/>
  <c r="T926" i="61"/>
  <c r="S926" i="61"/>
  <c r="R926" i="61"/>
  <c r="Q926" i="61"/>
  <c r="P926" i="61"/>
  <c r="X925" i="61"/>
  <c r="W925" i="61"/>
  <c r="V925" i="61"/>
  <c r="U925" i="61"/>
  <c r="T925" i="61"/>
  <c r="S925" i="61"/>
  <c r="R925" i="61"/>
  <c r="Q925" i="61"/>
  <c r="P925" i="61"/>
  <c r="X924" i="61"/>
  <c r="W924" i="61"/>
  <c r="V924" i="61"/>
  <c r="U924" i="61"/>
  <c r="T924" i="61"/>
  <c r="S924" i="61"/>
  <c r="R924" i="61"/>
  <c r="Q924" i="61"/>
  <c r="P924" i="61"/>
  <c r="X923" i="61"/>
  <c r="W923" i="61"/>
  <c r="V923" i="61"/>
  <c r="U923" i="61"/>
  <c r="T923" i="61"/>
  <c r="S923" i="61"/>
  <c r="R923" i="61"/>
  <c r="Q923" i="61"/>
  <c r="P923" i="61"/>
  <c r="X922" i="61"/>
  <c r="W922" i="61"/>
  <c r="V922" i="61"/>
  <c r="U922" i="61"/>
  <c r="T922" i="61"/>
  <c r="S922" i="61"/>
  <c r="R922" i="61"/>
  <c r="Q922" i="61"/>
  <c r="P922" i="61"/>
  <c r="X921" i="61"/>
  <c r="W921" i="61"/>
  <c r="V921" i="61"/>
  <c r="U921" i="61"/>
  <c r="T921" i="61"/>
  <c r="S921" i="61"/>
  <c r="R921" i="61"/>
  <c r="Q921" i="61"/>
  <c r="P921" i="61"/>
  <c r="X920" i="61"/>
  <c r="W920" i="61"/>
  <c r="V920" i="61"/>
  <c r="U920" i="61"/>
  <c r="T920" i="61"/>
  <c r="S920" i="61"/>
  <c r="R920" i="61"/>
  <c r="Q920" i="61"/>
  <c r="P920" i="61"/>
  <c r="X919" i="61"/>
  <c r="W919" i="61"/>
  <c r="V919" i="61"/>
  <c r="U919" i="61"/>
  <c r="T919" i="61"/>
  <c r="S919" i="61"/>
  <c r="R919" i="61"/>
  <c r="Q919" i="61"/>
  <c r="P919" i="61"/>
  <c r="X918" i="61"/>
  <c r="W918" i="61"/>
  <c r="V918" i="61"/>
  <c r="U918" i="61"/>
  <c r="T918" i="61"/>
  <c r="S918" i="61"/>
  <c r="R918" i="61"/>
  <c r="Q918" i="61"/>
  <c r="P918" i="61"/>
  <c r="X917" i="61"/>
  <c r="W917" i="61"/>
  <c r="V917" i="61"/>
  <c r="U917" i="61"/>
  <c r="T917" i="61"/>
  <c r="S917" i="61"/>
  <c r="R917" i="61"/>
  <c r="Q917" i="61"/>
  <c r="P917" i="61"/>
  <c r="X916" i="61"/>
  <c r="W916" i="61"/>
  <c r="V916" i="61"/>
  <c r="U916" i="61"/>
  <c r="T916" i="61"/>
  <c r="S916" i="61"/>
  <c r="R916" i="61"/>
  <c r="Q916" i="61"/>
  <c r="P916" i="61"/>
  <c r="X915" i="61"/>
  <c r="W915" i="61"/>
  <c r="V915" i="61"/>
  <c r="U915" i="61"/>
  <c r="T915" i="61"/>
  <c r="S915" i="61"/>
  <c r="R915" i="61"/>
  <c r="Q915" i="61"/>
  <c r="P915" i="61"/>
  <c r="X914" i="61"/>
  <c r="W914" i="61"/>
  <c r="V914" i="61"/>
  <c r="U914" i="61"/>
  <c r="T914" i="61"/>
  <c r="S914" i="61"/>
  <c r="R914" i="61"/>
  <c r="Q914" i="61"/>
  <c r="P914" i="61"/>
  <c r="X913" i="61"/>
  <c r="W913" i="61"/>
  <c r="V913" i="61"/>
  <c r="U913" i="61"/>
  <c r="T913" i="61"/>
  <c r="S913" i="61"/>
  <c r="R913" i="61"/>
  <c r="Q913" i="61"/>
  <c r="P913" i="61"/>
  <c r="X912" i="61"/>
  <c r="W912" i="61"/>
  <c r="V912" i="61"/>
  <c r="U912" i="61"/>
  <c r="T912" i="61"/>
  <c r="S912" i="61"/>
  <c r="R912" i="61"/>
  <c r="Q912" i="61"/>
  <c r="P912" i="61"/>
  <c r="X911" i="61"/>
  <c r="W911" i="61"/>
  <c r="V911" i="61"/>
  <c r="U911" i="61"/>
  <c r="T911" i="61"/>
  <c r="S911" i="61"/>
  <c r="R911" i="61"/>
  <c r="Q911" i="61"/>
  <c r="P911" i="61"/>
  <c r="X910" i="61"/>
  <c r="W910" i="61"/>
  <c r="V910" i="61"/>
  <c r="U910" i="61"/>
  <c r="T910" i="61"/>
  <c r="S910" i="61"/>
  <c r="R910" i="61"/>
  <c r="Q910" i="61"/>
  <c r="P910" i="61"/>
  <c r="X909" i="61"/>
  <c r="W909" i="61"/>
  <c r="V909" i="61"/>
  <c r="U909" i="61"/>
  <c r="T909" i="61"/>
  <c r="S909" i="61"/>
  <c r="R909" i="61"/>
  <c r="Q909" i="61"/>
  <c r="P909" i="61"/>
  <c r="X908" i="61"/>
  <c r="W908" i="61"/>
  <c r="V908" i="61"/>
  <c r="U908" i="61"/>
  <c r="T908" i="61"/>
  <c r="S908" i="61"/>
  <c r="R908" i="61"/>
  <c r="Q908" i="61"/>
  <c r="P908" i="61"/>
  <c r="X907" i="61"/>
  <c r="W907" i="61"/>
  <c r="V907" i="61"/>
  <c r="U907" i="61"/>
  <c r="T907" i="61"/>
  <c r="S907" i="61"/>
  <c r="R907" i="61"/>
  <c r="Q907" i="61"/>
  <c r="P907" i="61"/>
  <c r="X906" i="61"/>
  <c r="W906" i="61"/>
  <c r="V906" i="61"/>
  <c r="U906" i="61"/>
  <c r="T906" i="61"/>
  <c r="S906" i="61"/>
  <c r="R906" i="61"/>
  <c r="Q906" i="61"/>
  <c r="P906" i="61"/>
  <c r="X905" i="61"/>
  <c r="W905" i="61"/>
  <c r="V905" i="61"/>
  <c r="U905" i="61"/>
  <c r="T905" i="61"/>
  <c r="S905" i="61"/>
  <c r="R905" i="61"/>
  <c r="Q905" i="61"/>
  <c r="P905" i="61"/>
  <c r="X904" i="61"/>
  <c r="W904" i="61"/>
  <c r="V904" i="61"/>
  <c r="U904" i="61"/>
  <c r="T904" i="61"/>
  <c r="S904" i="61"/>
  <c r="R904" i="61"/>
  <c r="Q904" i="61"/>
  <c r="P904" i="61"/>
  <c r="X903" i="61"/>
  <c r="W903" i="61"/>
  <c r="V903" i="61"/>
  <c r="U903" i="61"/>
  <c r="T903" i="61"/>
  <c r="S903" i="61"/>
  <c r="R903" i="61"/>
  <c r="Q903" i="61"/>
  <c r="P903" i="61"/>
  <c r="X902" i="61"/>
  <c r="W902" i="61"/>
  <c r="V902" i="61"/>
  <c r="U902" i="61"/>
  <c r="T902" i="61"/>
  <c r="S902" i="61"/>
  <c r="R902" i="61"/>
  <c r="Q902" i="61"/>
  <c r="P902" i="61"/>
  <c r="X901" i="61"/>
  <c r="W901" i="61"/>
  <c r="V901" i="61"/>
  <c r="U901" i="61"/>
  <c r="T901" i="61"/>
  <c r="S901" i="61"/>
  <c r="R901" i="61"/>
  <c r="Q901" i="61"/>
  <c r="P901" i="61"/>
  <c r="X900" i="61"/>
  <c r="W900" i="61"/>
  <c r="V900" i="61"/>
  <c r="U900" i="61"/>
  <c r="T900" i="61"/>
  <c r="S900" i="61"/>
  <c r="R900" i="61"/>
  <c r="Q900" i="61"/>
  <c r="P900" i="61"/>
  <c r="X899" i="61"/>
  <c r="W899" i="61"/>
  <c r="V899" i="61"/>
  <c r="U899" i="61"/>
  <c r="T899" i="61"/>
  <c r="S899" i="61"/>
  <c r="R899" i="61"/>
  <c r="Q899" i="61"/>
  <c r="P899" i="61"/>
  <c r="X898" i="61"/>
  <c r="W898" i="61"/>
  <c r="V898" i="61"/>
  <c r="U898" i="61"/>
  <c r="T898" i="61"/>
  <c r="S898" i="61"/>
  <c r="R898" i="61"/>
  <c r="Q898" i="61"/>
  <c r="P898" i="61"/>
  <c r="X897" i="61"/>
  <c r="W897" i="61"/>
  <c r="V897" i="61"/>
  <c r="U897" i="61"/>
  <c r="T897" i="61"/>
  <c r="S897" i="61"/>
  <c r="R897" i="61"/>
  <c r="Q897" i="61"/>
  <c r="P897" i="61"/>
  <c r="X896" i="61"/>
  <c r="W896" i="61"/>
  <c r="V896" i="61"/>
  <c r="U896" i="61"/>
  <c r="T896" i="61"/>
  <c r="S896" i="61"/>
  <c r="R896" i="61"/>
  <c r="Q896" i="61"/>
  <c r="P896" i="61"/>
  <c r="X895" i="61"/>
  <c r="W895" i="61"/>
  <c r="V895" i="61"/>
  <c r="U895" i="61"/>
  <c r="T895" i="61"/>
  <c r="S895" i="61"/>
  <c r="R895" i="61"/>
  <c r="Q895" i="61"/>
  <c r="P895" i="61"/>
  <c r="X894" i="61"/>
  <c r="W894" i="61"/>
  <c r="V894" i="61"/>
  <c r="U894" i="61"/>
  <c r="T894" i="61"/>
  <c r="S894" i="61"/>
  <c r="R894" i="61"/>
  <c r="Q894" i="61"/>
  <c r="P894" i="61"/>
  <c r="X893" i="61"/>
  <c r="W893" i="61"/>
  <c r="V893" i="61"/>
  <c r="U893" i="61"/>
  <c r="T893" i="61"/>
  <c r="S893" i="61"/>
  <c r="R893" i="61"/>
  <c r="Q893" i="61"/>
  <c r="P893" i="61"/>
  <c r="X892" i="61"/>
  <c r="W892" i="61"/>
  <c r="V892" i="61"/>
  <c r="U892" i="61"/>
  <c r="T892" i="61"/>
  <c r="S892" i="61"/>
  <c r="R892" i="61"/>
  <c r="Q892" i="61"/>
  <c r="P892" i="61"/>
  <c r="X891" i="61"/>
  <c r="W891" i="61"/>
  <c r="V891" i="61"/>
  <c r="U891" i="61"/>
  <c r="T891" i="61"/>
  <c r="S891" i="61"/>
  <c r="R891" i="61"/>
  <c r="Q891" i="61"/>
  <c r="P891" i="61"/>
  <c r="X890" i="61"/>
  <c r="W890" i="61"/>
  <c r="V890" i="61"/>
  <c r="U890" i="61"/>
  <c r="T890" i="61"/>
  <c r="S890" i="61"/>
  <c r="R890" i="61"/>
  <c r="Q890" i="61"/>
  <c r="P890" i="61"/>
  <c r="X889" i="61"/>
  <c r="W889" i="61"/>
  <c r="V889" i="61"/>
  <c r="U889" i="61"/>
  <c r="T889" i="61"/>
  <c r="S889" i="61"/>
  <c r="R889" i="61"/>
  <c r="Q889" i="61"/>
  <c r="P889" i="61"/>
  <c r="X888" i="61"/>
  <c r="W888" i="61"/>
  <c r="V888" i="61"/>
  <c r="U888" i="61"/>
  <c r="T888" i="61"/>
  <c r="S888" i="61"/>
  <c r="R888" i="61"/>
  <c r="Q888" i="61"/>
  <c r="P888" i="61"/>
  <c r="X887" i="61"/>
  <c r="W887" i="61"/>
  <c r="V887" i="61"/>
  <c r="U887" i="61"/>
  <c r="T887" i="61"/>
  <c r="S887" i="61"/>
  <c r="R887" i="61"/>
  <c r="Q887" i="61"/>
  <c r="P887" i="61"/>
  <c r="X886" i="61"/>
  <c r="W886" i="61"/>
  <c r="V886" i="61"/>
  <c r="U886" i="61"/>
  <c r="T886" i="61"/>
  <c r="S886" i="61"/>
  <c r="R886" i="61"/>
  <c r="Q886" i="61"/>
  <c r="P886" i="61"/>
  <c r="X885" i="61"/>
  <c r="W885" i="61"/>
  <c r="V885" i="61"/>
  <c r="U885" i="61"/>
  <c r="T885" i="61"/>
  <c r="S885" i="61"/>
  <c r="R885" i="61"/>
  <c r="Q885" i="61"/>
  <c r="P885" i="61"/>
  <c r="X884" i="61"/>
  <c r="W884" i="61"/>
  <c r="V884" i="61"/>
  <c r="U884" i="61"/>
  <c r="T884" i="61"/>
  <c r="S884" i="61"/>
  <c r="R884" i="61"/>
  <c r="Q884" i="61"/>
  <c r="P884" i="61"/>
  <c r="X883" i="61"/>
  <c r="W883" i="61"/>
  <c r="V883" i="61"/>
  <c r="U883" i="61"/>
  <c r="T883" i="61"/>
  <c r="S883" i="61"/>
  <c r="R883" i="61"/>
  <c r="Q883" i="61"/>
  <c r="P883" i="61"/>
  <c r="X882" i="61"/>
  <c r="W882" i="61"/>
  <c r="V882" i="61"/>
  <c r="U882" i="61"/>
  <c r="T882" i="61"/>
  <c r="S882" i="61"/>
  <c r="R882" i="61"/>
  <c r="Q882" i="61"/>
  <c r="P882" i="61"/>
  <c r="X881" i="61"/>
  <c r="W881" i="61"/>
  <c r="V881" i="61"/>
  <c r="U881" i="61"/>
  <c r="T881" i="61"/>
  <c r="S881" i="61"/>
  <c r="R881" i="61"/>
  <c r="Q881" i="61"/>
  <c r="P881" i="61"/>
  <c r="X880" i="61"/>
  <c r="W880" i="61"/>
  <c r="V880" i="61"/>
  <c r="U880" i="61"/>
  <c r="T880" i="61"/>
  <c r="S880" i="61"/>
  <c r="R880" i="61"/>
  <c r="Q880" i="61"/>
  <c r="P880" i="61"/>
  <c r="X879" i="61"/>
  <c r="W879" i="61"/>
  <c r="V879" i="61"/>
  <c r="U879" i="61"/>
  <c r="T879" i="61"/>
  <c r="S879" i="61"/>
  <c r="R879" i="61"/>
  <c r="Q879" i="61"/>
  <c r="P879" i="61"/>
  <c r="X878" i="61"/>
  <c r="W878" i="61"/>
  <c r="V878" i="61"/>
  <c r="U878" i="61"/>
  <c r="T878" i="61"/>
  <c r="S878" i="61"/>
  <c r="R878" i="61"/>
  <c r="Q878" i="61"/>
  <c r="P878" i="61"/>
  <c r="X877" i="61"/>
  <c r="W877" i="61"/>
  <c r="V877" i="61"/>
  <c r="U877" i="61"/>
  <c r="T877" i="61"/>
  <c r="S877" i="61"/>
  <c r="R877" i="61"/>
  <c r="Q877" i="61"/>
  <c r="P877" i="61"/>
  <c r="X876" i="61"/>
  <c r="W876" i="61"/>
  <c r="V876" i="61"/>
  <c r="U876" i="61"/>
  <c r="T876" i="61"/>
  <c r="S876" i="61"/>
  <c r="R876" i="61"/>
  <c r="Q876" i="61"/>
  <c r="X875" i="61"/>
  <c r="W875" i="61"/>
  <c r="V875" i="61"/>
  <c r="U875" i="61"/>
  <c r="T875" i="61"/>
  <c r="S875" i="61"/>
  <c r="R875" i="61"/>
  <c r="Q875" i="61"/>
  <c r="P875" i="61"/>
  <c r="X874" i="61"/>
  <c r="W874" i="61"/>
  <c r="V874" i="61"/>
  <c r="U874" i="61"/>
  <c r="T874" i="61"/>
  <c r="S874" i="61"/>
  <c r="R874" i="61"/>
  <c r="Q874" i="61"/>
  <c r="P874" i="61"/>
  <c r="X873" i="61"/>
  <c r="W873" i="61"/>
  <c r="V873" i="61"/>
  <c r="U873" i="61"/>
  <c r="T873" i="61"/>
  <c r="S873" i="61"/>
  <c r="R873" i="61"/>
  <c r="Q873" i="61"/>
  <c r="P873" i="61"/>
  <c r="X872" i="61"/>
  <c r="W872" i="61"/>
  <c r="V872" i="61"/>
  <c r="U872" i="61"/>
  <c r="T872" i="61"/>
  <c r="S872" i="61"/>
  <c r="R872" i="61"/>
  <c r="Q872" i="61"/>
  <c r="P872" i="61"/>
  <c r="X871" i="61"/>
  <c r="W871" i="61"/>
  <c r="V871" i="61"/>
  <c r="U871" i="61"/>
  <c r="T871" i="61"/>
  <c r="S871" i="61"/>
  <c r="R871" i="61"/>
  <c r="Q871" i="61"/>
  <c r="P871" i="61"/>
  <c r="X870" i="61"/>
  <c r="W870" i="61"/>
  <c r="V870" i="61"/>
  <c r="U870" i="61"/>
  <c r="T870" i="61"/>
  <c r="S870" i="61"/>
  <c r="R870" i="61"/>
  <c r="Q870" i="61"/>
  <c r="P870" i="61"/>
  <c r="X869" i="61"/>
  <c r="W869" i="61"/>
  <c r="V869" i="61"/>
  <c r="U869" i="61"/>
  <c r="T869" i="61"/>
  <c r="S869" i="61"/>
  <c r="R869" i="61"/>
  <c r="Q869" i="61"/>
  <c r="P869" i="61"/>
  <c r="X868" i="61"/>
  <c r="W868" i="61"/>
  <c r="V868" i="61"/>
  <c r="U868" i="61"/>
  <c r="T868" i="61"/>
  <c r="S868" i="61"/>
  <c r="R868" i="61"/>
  <c r="Q868" i="61"/>
  <c r="P868" i="61"/>
  <c r="X867" i="61"/>
  <c r="W867" i="61"/>
  <c r="V867" i="61"/>
  <c r="U867" i="61"/>
  <c r="T867" i="61"/>
  <c r="S867" i="61"/>
  <c r="R867" i="61"/>
  <c r="Q867" i="61"/>
  <c r="P867" i="61"/>
  <c r="X866" i="61"/>
  <c r="W866" i="61"/>
  <c r="V866" i="61"/>
  <c r="U866" i="61"/>
  <c r="T866" i="61"/>
  <c r="S866" i="61"/>
  <c r="R866" i="61"/>
  <c r="Q866" i="61"/>
  <c r="P866" i="61"/>
  <c r="X865" i="61"/>
  <c r="W865" i="61"/>
  <c r="V865" i="61"/>
  <c r="U865" i="61"/>
  <c r="T865" i="61"/>
  <c r="S865" i="61"/>
  <c r="R865" i="61"/>
  <c r="Q865" i="61"/>
  <c r="P865" i="61"/>
  <c r="X864" i="61"/>
  <c r="W864" i="61"/>
  <c r="V864" i="61"/>
  <c r="U864" i="61"/>
  <c r="T864" i="61"/>
  <c r="S864" i="61"/>
  <c r="R864" i="61"/>
  <c r="Q864" i="61"/>
  <c r="P864" i="61"/>
  <c r="X863" i="61"/>
  <c r="W863" i="61"/>
  <c r="V863" i="61"/>
  <c r="U863" i="61"/>
  <c r="T863" i="61"/>
  <c r="S863" i="61"/>
  <c r="R863" i="61"/>
  <c r="Q863" i="61"/>
  <c r="P863" i="61"/>
  <c r="X862" i="61"/>
  <c r="W862" i="61"/>
  <c r="V862" i="61"/>
  <c r="U862" i="61"/>
  <c r="T862" i="61"/>
  <c r="S862" i="61"/>
  <c r="R862" i="61"/>
  <c r="Q862" i="61"/>
  <c r="P862" i="61"/>
  <c r="X861" i="61"/>
  <c r="W861" i="61"/>
  <c r="V861" i="61"/>
  <c r="U861" i="61"/>
  <c r="T861" i="61"/>
  <c r="S861" i="61"/>
  <c r="R861" i="61"/>
  <c r="Q861" i="61"/>
  <c r="P861" i="61"/>
  <c r="X860" i="61"/>
  <c r="W860" i="61"/>
  <c r="V860" i="61"/>
  <c r="U860" i="61"/>
  <c r="T860" i="61"/>
  <c r="S860" i="61"/>
  <c r="R860" i="61"/>
  <c r="Q860" i="61"/>
  <c r="P860" i="61"/>
  <c r="X859" i="61"/>
  <c r="W859" i="61"/>
  <c r="V859" i="61"/>
  <c r="U859" i="61"/>
  <c r="T859" i="61"/>
  <c r="S859" i="61"/>
  <c r="R859" i="61"/>
  <c r="Q859" i="61"/>
  <c r="P859" i="61"/>
  <c r="X858" i="61"/>
  <c r="W858" i="61"/>
  <c r="V858" i="61"/>
  <c r="U858" i="61"/>
  <c r="T858" i="61"/>
  <c r="S858" i="61"/>
  <c r="R858" i="61"/>
  <c r="Q858" i="61"/>
  <c r="P858" i="61"/>
  <c r="X857" i="61"/>
  <c r="W857" i="61"/>
  <c r="V857" i="61"/>
  <c r="U857" i="61"/>
  <c r="T857" i="61"/>
  <c r="S857" i="61"/>
  <c r="R857" i="61"/>
  <c r="Q857" i="61"/>
  <c r="P857" i="61"/>
  <c r="X856" i="61"/>
  <c r="W856" i="61"/>
  <c r="V856" i="61"/>
  <c r="U856" i="61"/>
  <c r="T856" i="61"/>
  <c r="S856" i="61"/>
  <c r="R856" i="61"/>
  <c r="Q856" i="61"/>
  <c r="P856" i="61"/>
  <c r="X855" i="61"/>
  <c r="W855" i="61"/>
  <c r="V855" i="61"/>
  <c r="U855" i="61"/>
  <c r="T855" i="61"/>
  <c r="S855" i="61"/>
  <c r="R855" i="61"/>
  <c r="Q855" i="61"/>
  <c r="P855" i="61"/>
  <c r="X854" i="61"/>
  <c r="W854" i="61"/>
  <c r="V854" i="61"/>
  <c r="U854" i="61"/>
  <c r="T854" i="61"/>
  <c r="S854" i="61"/>
  <c r="R854" i="61"/>
  <c r="Q854" i="61"/>
  <c r="P854" i="61"/>
  <c r="X853" i="61"/>
  <c r="W853" i="61"/>
  <c r="V853" i="61"/>
  <c r="U853" i="61"/>
  <c r="T853" i="61"/>
  <c r="S853" i="61"/>
  <c r="R853" i="61"/>
  <c r="Q853" i="61"/>
  <c r="P853" i="61"/>
  <c r="X852" i="61"/>
  <c r="W852" i="61"/>
  <c r="V852" i="61"/>
  <c r="U852" i="61"/>
  <c r="T852" i="61"/>
  <c r="S852" i="61"/>
  <c r="R852" i="61"/>
  <c r="Q852" i="61"/>
  <c r="P852" i="61"/>
  <c r="X851" i="61"/>
  <c r="W851" i="61"/>
  <c r="V851" i="61"/>
  <c r="U851" i="61"/>
  <c r="T851" i="61"/>
  <c r="S851" i="61"/>
  <c r="R851" i="61"/>
  <c r="Q851" i="61"/>
  <c r="P851" i="61"/>
  <c r="X850" i="61"/>
  <c r="W850" i="61"/>
  <c r="V850" i="61"/>
  <c r="U850" i="61"/>
  <c r="T850" i="61"/>
  <c r="S850" i="61"/>
  <c r="R850" i="61"/>
  <c r="Q850" i="61"/>
  <c r="P850" i="61"/>
  <c r="X849" i="61"/>
  <c r="W849" i="61"/>
  <c r="V849" i="61"/>
  <c r="U849" i="61"/>
  <c r="T849" i="61"/>
  <c r="S849" i="61"/>
  <c r="R849" i="61"/>
  <c r="Q849" i="61"/>
  <c r="P849" i="61"/>
  <c r="X848" i="61"/>
  <c r="W848" i="61"/>
  <c r="V848" i="61"/>
  <c r="U848" i="61"/>
  <c r="T848" i="61"/>
  <c r="S848" i="61"/>
  <c r="R848" i="61"/>
  <c r="Q848" i="61"/>
  <c r="P848" i="61"/>
  <c r="X847" i="61"/>
  <c r="W847" i="61"/>
  <c r="V847" i="61"/>
  <c r="U847" i="61"/>
  <c r="T847" i="61"/>
  <c r="S847" i="61"/>
  <c r="R847" i="61"/>
  <c r="Q847" i="61"/>
  <c r="P847" i="61"/>
  <c r="X846" i="61"/>
  <c r="W846" i="61"/>
  <c r="V846" i="61"/>
  <c r="U846" i="61"/>
  <c r="T846" i="61"/>
  <c r="S846" i="61"/>
  <c r="R846" i="61"/>
  <c r="Q846" i="61"/>
  <c r="P846" i="61"/>
  <c r="X845" i="61"/>
  <c r="W845" i="61"/>
  <c r="V845" i="61"/>
  <c r="U845" i="61"/>
  <c r="T845" i="61"/>
  <c r="S845" i="61"/>
  <c r="R845" i="61"/>
  <c r="Q845" i="61"/>
  <c r="P845" i="61"/>
  <c r="X844" i="61"/>
  <c r="W844" i="61"/>
  <c r="V844" i="61"/>
  <c r="U844" i="61"/>
  <c r="T844" i="61"/>
  <c r="S844" i="61"/>
  <c r="R844" i="61"/>
  <c r="Q844" i="61"/>
  <c r="P844" i="61"/>
  <c r="X843" i="61"/>
  <c r="W843" i="61"/>
  <c r="V843" i="61"/>
  <c r="U843" i="61"/>
  <c r="T843" i="61"/>
  <c r="S843" i="61"/>
  <c r="R843" i="61"/>
  <c r="Q843" i="61"/>
  <c r="P843" i="61"/>
  <c r="X842" i="61"/>
  <c r="W842" i="61"/>
  <c r="V842" i="61"/>
  <c r="U842" i="61"/>
  <c r="T842" i="61"/>
  <c r="S842" i="61"/>
  <c r="R842" i="61"/>
  <c r="Q842" i="61"/>
  <c r="P842" i="61"/>
  <c r="X841" i="61"/>
  <c r="W841" i="61"/>
  <c r="V841" i="61"/>
  <c r="U841" i="61"/>
  <c r="T841" i="61"/>
  <c r="S841" i="61"/>
  <c r="R841" i="61"/>
  <c r="Q841" i="61"/>
  <c r="P841" i="61"/>
  <c r="X840" i="61"/>
  <c r="W840" i="61"/>
  <c r="V840" i="61"/>
  <c r="U840" i="61"/>
  <c r="T840" i="61"/>
  <c r="S840" i="61"/>
  <c r="R840" i="61"/>
  <c r="Q840" i="61"/>
  <c r="P840" i="61"/>
  <c r="X839" i="61"/>
  <c r="W839" i="61"/>
  <c r="V839" i="61"/>
  <c r="U839" i="61"/>
  <c r="T839" i="61"/>
  <c r="S839" i="61"/>
  <c r="R839" i="61"/>
  <c r="Q839" i="61"/>
  <c r="P839" i="61"/>
  <c r="X838" i="61"/>
  <c r="W838" i="61"/>
  <c r="V838" i="61"/>
  <c r="U838" i="61"/>
  <c r="T838" i="61"/>
  <c r="S838" i="61"/>
  <c r="R838" i="61"/>
  <c r="Q838" i="61"/>
  <c r="P838" i="61"/>
  <c r="X837" i="61"/>
  <c r="W837" i="61"/>
  <c r="V837" i="61"/>
  <c r="U837" i="61"/>
  <c r="T837" i="61"/>
  <c r="S837" i="61"/>
  <c r="R837" i="61"/>
  <c r="Q837" i="61"/>
  <c r="P837" i="61"/>
  <c r="X836" i="61"/>
  <c r="W836" i="61"/>
  <c r="V836" i="61"/>
  <c r="U836" i="61"/>
  <c r="T836" i="61"/>
  <c r="S836" i="61"/>
  <c r="R836" i="61"/>
  <c r="Q836" i="61"/>
  <c r="P836" i="61"/>
  <c r="X835" i="61"/>
  <c r="W835" i="61"/>
  <c r="V835" i="61"/>
  <c r="U835" i="61"/>
  <c r="T835" i="61"/>
  <c r="S835" i="61"/>
  <c r="R835" i="61"/>
  <c r="Q835" i="61"/>
  <c r="P835" i="61"/>
  <c r="X834" i="61"/>
  <c r="W834" i="61"/>
  <c r="V834" i="61"/>
  <c r="U834" i="61"/>
  <c r="T834" i="61"/>
  <c r="S834" i="61"/>
  <c r="R834" i="61"/>
  <c r="Q834" i="61"/>
  <c r="P834" i="61"/>
  <c r="X833" i="61"/>
  <c r="W833" i="61"/>
  <c r="V833" i="61"/>
  <c r="U833" i="61"/>
  <c r="T833" i="61"/>
  <c r="S833" i="61"/>
  <c r="R833" i="61"/>
  <c r="Q833" i="61"/>
  <c r="P833" i="61"/>
  <c r="X832" i="61"/>
  <c r="W832" i="61"/>
  <c r="V832" i="61"/>
  <c r="U832" i="61"/>
  <c r="T832" i="61"/>
  <c r="S832" i="61"/>
  <c r="R832" i="61"/>
  <c r="Q832" i="61"/>
  <c r="P832" i="61"/>
  <c r="X831" i="61"/>
  <c r="W831" i="61"/>
  <c r="V831" i="61"/>
  <c r="U831" i="61"/>
  <c r="T831" i="61"/>
  <c r="S831" i="61"/>
  <c r="R831" i="61"/>
  <c r="Q831" i="61"/>
  <c r="P831" i="61"/>
  <c r="X830" i="61"/>
  <c r="W830" i="61"/>
  <c r="V830" i="61"/>
  <c r="U830" i="61"/>
  <c r="T830" i="61"/>
  <c r="S830" i="61"/>
  <c r="R830" i="61"/>
  <c r="Q830" i="61"/>
  <c r="P830" i="61"/>
  <c r="X829" i="61"/>
  <c r="W829" i="61"/>
  <c r="V829" i="61"/>
  <c r="U829" i="61"/>
  <c r="T829" i="61"/>
  <c r="S829" i="61"/>
  <c r="R829" i="61"/>
  <c r="Q829" i="61"/>
  <c r="P829" i="61"/>
  <c r="X828" i="61"/>
  <c r="W828" i="61"/>
  <c r="V828" i="61"/>
  <c r="U828" i="61"/>
  <c r="T828" i="61"/>
  <c r="S828" i="61"/>
  <c r="R828" i="61"/>
  <c r="Q828" i="61"/>
  <c r="P828" i="61"/>
  <c r="X827" i="61"/>
  <c r="W827" i="61"/>
  <c r="V827" i="61"/>
  <c r="U827" i="61"/>
  <c r="T827" i="61"/>
  <c r="S827" i="61"/>
  <c r="R827" i="61"/>
  <c r="Q827" i="61"/>
  <c r="X826" i="61"/>
  <c r="W826" i="61"/>
  <c r="V826" i="61"/>
  <c r="U826" i="61"/>
  <c r="T826" i="61"/>
  <c r="S826" i="61"/>
  <c r="R826" i="61"/>
  <c r="Q826" i="61"/>
  <c r="P826" i="61"/>
  <c r="X825" i="61"/>
  <c r="W825" i="61"/>
  <c r="V825" i="61"/>
  <c r="U825" i="61"/>
  <c r="T825" i="61"/>
  <c r="S825" i="61"/>
  <c r="R825" i="61"/>
  <c r="Q825" i="61"/>
  <c r="P825" i="61"/>
  <c r="X824" i="61"/>
  <c r="W824" i="61"/>
  <c r="V824" i="61"/>
  <c r="U824" i="61"/>
  <c r="T824" i="61"/>
  <c r="S824" i="61"/>
  <c r="R824" i="61"/>
  <c r="Q824" i="61"/>
  <c r="P824" i="61"/>
  <c r="X823" i="61"/>
  <c r="W823" i="61"/>
  <c r="V823" i="61"/>
  <c r="U823" i="61"/>
  <c r="T823" i="61"/>
  <c r="S823" i="61"/>
  <c r="R823" i="61"/>
  <c r="Q823" i="61"/>
  <c r="P823" i="61"/>
  <c r="X822" i="61"/>
  <c r="W822" i="61"/>
  <c r="V822" i="61"/>
  <c r="U822" i="61"/>
  <c r="T822" i="61"/>
  <c r="S822" i="61"/>
  <c r="R822" i="61"/>
  <c r="Q822" i="61"/>
  <c r="P822" i="61"/>
  <c r="X821" i="61"/>
  <c r="W821" i="61"/>
  <c r="V821" i="61"/>
  <c r="U821" i="61"/>
  <c r="T821" i="61"/>
  <c r="S821" i="61"/>
  <c r="R821" i="61"/>
  <c r="Q821" i="61"/>
  <c r="P821" i="61"/>
  <c r="X820" i="61"/>
  <c r="W820" i="61"/>
  <c r="V820" i="61"/>
  <c r="U820" i="61"/>
  <c r="T820" i="61"/>
  <c r="S820" i="61"/>
  <c r="R820" i="61"/>
  <c r="Q820" i="61"/>
  <c r="P820" i="61"/>
  <c r="X819" i="61"/>
  <c r="W819" i="61"/>
  <c r="V819" i="61"/>
  <c r="U819" i="61"/>
  <c r="T819" i="61"/>
  <c r="S819" i="61"/>
  <c r="R819" i="61"/>
  <c r="Q819" i="61"/>
  <c r="P819" i="61"/>
  <c r="X818" i="61"/>
  <c r="W818" i="61"/>
  <c r="V818" i="61"/>
  <c r="U818" i="61"/>
  <c r="T818" i="61"/>
  <c r="S818" i="61"/>
  <c r="R818" i="61"/>
  <c r="Q818" i="61"/>
  <c r="P818" i="61"/>
  <c r="X817" i="61"/>
  <c r="W817" i="61"/>
  <c r="V817" i="61"/>
  <c r="U817" i="61"/>
  <c r="T817" i="61"/>
  <c r="S817" i="61"/>
  <c r="R817" i="61"/>
  <c r="Q817" i="61"/>
  <c r="P817" i="61"/>
  <c r="X816" i="61"/>
  <c r="W816" i="61"/>
  <c r="V816" i="61"/>
  <c r="U816" i="61"/>
  <c r="T816" i="61"/>
  <c r="S816" i="61"/>
  <c r="R816" i="61"/>
  <c r="Q816" i="61"/>
  <c r="P816" i="61"/>
  <c r="X815" i="61"/>
  <c r="W815" i="61"/>
  <c r="V815" i="61"/>
  <c r="U815" i="61"/>
  <c r="T815" i="61"/>
  <c r="S815" i="61"/>
  <c r="R815" i="61"/>
  <c r="Q815" i="61"/>
  <c r="P815" i="61"/>
  <c r="X814" i="61"/>
  <c r="W814" i="61"/>
  <c r="V814" i="61"/>
  <c r="U814" i="61"/>
  <c r="T814" i="61"/>
  <c r="S814" i="61"/>
  <c r="R814" i="61"/>
  <c r="Q814" i="61"/>
  <c r="P814" i="61"/>
  <c r="X813" i="61"/>
  <c r="W813" i="61"/>
  <c r="V813" i="61"/>
  <c r="U813" i="61"/>
  <c r="T813" i="61"/>
  <c r="S813" i="61"/>
  <c r="R813" i="61"/>
  <c r="Q813" i="61"/>
  <c r="P813" i="61"/>
  <c r="X812" i="61"/>
  <c r="W812" i="61"/>
  <c r="V812" i="61"/>
  <c r="U812" i="61"/>
  <c r="T812" i="61"/>
  <c r="S812" i="61"/>
  <c r="R812" i="61"/>
  <c r="Q812" i="61"/>
  <c r="P812" i="61"/>
  <c r="X811" i="61"/>
  <c r="W811" i="61"/>
  <c r="V811" i="61"/>
  <c r="U811" i="61"/>
  <c r="T811" i="61"/>
  <c r="S811" i="61"/>
  <c r="R811" i="61"/>
  <c r="Q811" i="61"/>
  <c r="P811" i="61"/>
  <c r="X810" i="61"/>
  <c r="W810" i="61"/>
  <c r="V810" i="61"/>
  <c r="U810" i="61"/>
  <c r="T810" i="61"/>
  <c r="S810" i="61"/>
  <c r="R810" i="61"/>
  <c r="Q810" i="61"/>
  <c r="P810" i="61"/>
  <c r="X809" i="61"/>
  <c r="W809" i="61"/>
  <c r="V809" i="61"/>
  <c r="U809" i="61"/>
  <c r="T809" i="61"/>
  <c r="S809" i="61"/>
  <c r="R809" i="61"/>
  <c r="Q809" i="61"/>
  <c r="X808" i="61"/>
  <c r="W808" i="61"/>
  <c r="V808" i="61"/>
  <c r="U808" i="61"/>
  <c r="T808" i="61"/>
  <c r="S808" i="61"/>
  <c r="R808" i="61"/>
  <c r="Q808" i="61"/>
  <c r="P808" i="61"/>
  <c r="X807" i="61"/>
  <c r="W807" i="61"/>
  <c r="V807" i="61"/>
  <c r="U807" i="61"/>
  <c r="T807" i="61"/>
  <c r="S807" i="61"/>
  <c r="R807" i="61"/>
  <c r="Q807" i="61"/>
  <c r="P807" i="61"/>
  <c r="X806" i="61"/>
  <c r="W806" i="61"/>
  <c r="V806" i="61"/>
  <c r="U806" i="61"/>
  <c r="T806" i="61"/>
  <c r="S806" i="61"/>
  <c r="R806" i="61"/>
  <c r="Q806" i="61"/>
  <c r="P806" i="61"/>
  <c r="X805" i="61"/>
  <c r="W805" i="61"/>
  <c r="V805" i="61"/>
  <c r="U805" i="61"/>
  <c r="T805" i="61"/>
  <c r="S805" i="61"/>
  <c r="R805" i="61"/>
  <c r="Q805" i="61"/>
  <c r="P805" i="61"/>
  <c r="X804" i="61"/>
  <c r="W804" i="61"/>
  <c r="V804" i="61"/>
  <c r="U804" i="61"/>
  <c r="T804" i="61"/>
  <c r="S804" i="61"/>
  <c r="R804" i="61"/>
  <c r="Q804" i="61"/>
  <c r="P804" i="61"/>
  <c r="X803" i="61"/>
  <c r="W803" i="61"/>
  <c r="V803" i="61"/>
  <c r="U803" i="61"/>
  <c r="T803" i="61"/>
  <c r="S803" i="61"/>
  <c r="R803" i="61"/>
  <c r="Q803" i="61"/>
  <c r="P803" i="61"/>
  <c r="X802" i="61"/>
  <c r="W802" i="61"/>
  <c r="V802" i="61"/>
  <c r="U802" i="61"/>
  <c r="T802" i="61"/>
  <c r="S802" i="61"/>
  <c r="R802" i="61"/>
  <c r="Q802" i="61"/>
  <c r="P802" i="61"/>
  <c r="X801" i="61"/>
  <c r="W801" i="61"/>
  <c r="V801" i="61"/>
  <c r="U801" i="61"/>
  <c r="T801" i="61"/>
  <c r="S801" i="61"/>
  <c r="R801" i="61"/>
  <c r="Q801" i="61"/>
  <c r="P801" i="61"/>
  <c r="X800" i="61"/>
  <c r="W800" i="61"/>
  <c r="V800" i="61"/>
  <c r="U800" i="61"/>
  <c r="T800" i="61"/>
  <c r="S800" i="61"/>
  <c r="R800" i="61"/>
  <c r="Q800" i="61"/>
  <c r="P800" i="61"/>
  <c r="X799" i="61"/>
  <c r="W799" i="61"/>
  <c r="V799" i="61"/>
  <c r="U799" i="61"/>
  <c r="T799" i="61"/>
  <c r="S799" i="61"/>
  <c r="R799" i="61"/>
  <c r="Q799" i="61"/>
  <c r="P799" i="61"/>
  <c r="X798" i="61"/>
  <c r="W798" i="61"/>
  <c r="V798" i="61"/>
  <c r="U798" i="61"/>
  <c r="T798" i="61"/>
  <c r="S798" i="61"/>
  <c r="R798" i="61"/>
  <c r="Q798" i="61"/>
  <c r="P798" i="61"/>
  <c r="X797" i="61"/>
  <c r="W797" i="61"/>
  <c r="V797" i="61"/>
  <c r="U797" i="61"/>
  <c r="T797" i="61"/>
  <c r="S797" i="61"/>
  <c r="R797" i="61"/>
  <c r="Q797" i="61"/>
  <c r="P797" i="61"/>
  <c r="X796" i="61"/>
  <c r="W796" i="61"/>
  <c r="V796" i="61"/>
  <c r="U796" i="61"/>
  <c r="T796" i="61"/>
  <c r="S796" i="61"/>
  <c r="R796" i="61"/>
  <c r="Q796" i="61"/>
  <c r="P796" i="61"/>
  <c r="X795" i="61"/>
  <c r="W795" i="61"/>
  <c r="V795" i="61"/>
  <c r="U795" i="61"/>
  <c r="T795" i="61"/>
  <c r="S795" i="61"/>
  <c r="R795" i="61"/>
  <c r="Q795" i="61"/>
  <c r="P795" i="61"/>
  <c r="X794" i="61"/>
  <c r="W794" i="61"/>
  <c r="V794" i="61"/>
  <c r="U794" i="61"/>
  <c r="T794" i="61"/>
  <c r="S794" i="61"/>
  <c r="R794" i="61"/>
  <c r="Q794" i="61"/>
  <c r="P794" i="61"/>
  <c r="X793" i="61"/>
  <c r="W793" i="61"/>
  <c r="V793" i="61"/>
  <c r="U793" i="61"/>
  <c r="T793" i="61"/>
  <c r="S793" i="61"/>
  <c r="R793" i="61"/>
  <c r="Q793" i="61"/>
  <c r="P793" i="61"/>
  <c r="X792" i="61"/>
  <c r="W792" i="61"/>
  <c r="V792" i="61"/>
  <c r="U792" i="61"/>
  <c r="T792" i="61"/>
  <c r="S792" i="61"/>
  <c r="R792" i="61"/>
  <c r="Q792" i="61"/>
  <c r="P792" i="61"/>
  <c r="X791" i="61"/>
  <c r="W791" i="61"/>
  <c r="V791" i="61"/>
  <c r="U791" i="61"/>
  <c r="T791" i="61"/>
  <c r="S791" i="61"/>
  <c r="R791" i="61"/>
  <c r="Q791" i="61"/>
  <c r="P791" i="61"/>
  <c r="X790" i="61"/>
  <c r="W790" i="61"/>
  <c r="V790" i="61"/>
  <c r="U790" i="61"/>
  <c r="T790" i="61"/>
  <c r="S790" i="61"/>
  <c r="R790" i="61"/>
  <c r="Q790" i="61"/>
  <c r="P790" i="61"/>
  <c r="X789" i="61"/>
  <c r="W789" i="61"/>
  <c r="V789" i="61"/>
  <c r="U789" i="61"/>
  <c r="T789" i="61"/>
  <c r="S789" i="61"/>
  <c r="R789" i="61"/>
  <c r="Q789" i="61"/>
  <c r="P789" i="61"/>
  <c r="X788" i="61"/>
  <c r="W788" i="61"/>
  <c r="V788" i="61"/>
  <c r="U788" i="61"/>
  <c r="T788" i="61"/>
  <c r="S788" i="61"/>
  <c r="R788" i="61"/>
  <c r="Q788" i="61"/>
  <c r="P788" i="61"/>
  <c r="X787" i="61"/>
  <c r="W787" i="61"/>
  <c r="V787" i="61"/>
  <c r="U787" i="61"/>
  <c r="T787" i="61"/>
  <c r="S787" i="61"/>
  <c r="R787" i="61"/>
  <c r="Q787" i="61"/>
  <c r="P787" i="61"/>
  <c r="X786" i="61"/>
  <c r="W786" i="61"/>
  <c r="V786" i="61"/>
  <c r="U786" i="61"/>
  <c r="T786" i="61"/>
  <c r="S786" i="61"/>
  <c r="R786" i="61"/>
  <c r="Q786" i="61"/>
  <c r="P786" i="61"/>
  <c r="X785" i="61"/>
  <c r="W785" i="61"/>
  <c r="V785" i="61"/>
  <c r="U785" i="61"/>
  <c r="T785" i="61"/>
  <c r="S785" i="61"/>
  <c r="R785" i="61"/>
  <c r="Q785" i="61"/>
  <c r="P785" i="61"/>
  <c r="X784" i="61"/>
  <c r="W784" i="61"/>
  <c r="V784" i="61"/>
  <c r="U784" i="61"/>
  <c r="T784" i="61"/>
  <c r="S784" i="61"/>
  <c r="R784" i="61"/>
  <c r="Q784" i="61"/>
  <c r="P784" i="61"/>
  <c r="X783" i="61"/>
  <c r="W783" i="61"/>
  <c r="V783" i="61"/>
  <c r="U783" i="61"/>
  <c r="T783" i="61"/>
  <c r="S783" i="61"/>
  <c r="R783" i="61"/>
  <c r="Q783" i="61"/>
  <c r="P783" i="61"/>
  <c r="X782" i="61"/>
  <c r="W782" i="61"/>
  <c r="V782" i="61"/>
  <c r="U782" i="61"/>
  <c r="T782" i="61"/>
  <c r="S782" i="61"/>
  <c r="R782" i="61"/>
  <c r="Q782" i="61"/>
  <c r="P782" i="61"/>
  <c r="X781" i="61"/>
  <c r="W781" i="61"/>
  <c r="V781" i="61"/>
  <c r="U781" i="61"/>
  <c r="T781" i="61"/>
  <c r="S781" i="61"/>
  <c r="R781" i="61"/>
  <c r="Q781" i="61"/>
  <c r="P781" i="61"/>
  <c r="X780" i="61"/>
  <c r="W780" i="61"/>
  <c r="V780" i="61"/>
  <c r="U780" i="61"/>
  <c r="T780" i="61"/>
  <c r="S780" i="61"/>
  <c r="R780" i="61"/>
  <c r="Q780" i="61"/>
  <c r="P780" i="61"/>
  <c r="X779" i="61"/>
  <c r="W779" i="61"/>
  <c r="V779" i="61"/>
  <c r="U779" i="61"/>
  <c r="T779" i="61"/>
  <c r="S779" i="61"/>
  <c r="R779" i="61"/>
  <c r="Q779" i="61"/>
  <c r="P779" i="61"/>
  <c r="X778" i="61"/>
  <c r="W778" i="61"/>
  <c r="V778" i="61"/>
  <c r="U778" i="61"/>
  <c r="T778" i="61"/>
  <c r="S778" i="61"/>
  <c r="R778" i="61"/>
  <c r="Q778" i="61"/>
  <c r="P778" i="61"/>
  <c r="X777" i="61"/>
  <c r="W777" i="61"/>
  <c r="V777" i="61"/>
  <c r="U777" i="61"/>
  <c r="T777" i="61"/>
  <c r="S777" i="61"/>
  <c r="R777" i="61"/>
  <c r="Q777" i="61"/>
  <c r="P777" i="61"/>
  <c r="X776" i="61"/>
  <c r="W776" i="61"/>
  <c r="V776" i="61"/>
  <c r="U776" i="61"/>
  <c r="T776" i="61"/>
  <c r="S776" i="61"/>
  <c r="R776" i="61"/>
  <c r="Q776" i="61"/>
  <c r="P776" i="61"/>
  <c r="X775" i="61"/>
  <c r="W775" i="61"/>
  <c r="V775" i="61"/>
  <c r="U775" i="61"/>
  <c r="T775" i="61"/>
  <c r="S775" i="61"/>
  <c r="R775" i="61"/>
  <c r="Q775" i="61"/>
  <c r="P775" i="61"/>
  <c r="X774" i="61"/>
  <c r="W774" i="61"/>
  <c r="V774" i="61"/>
  <c r="U774" i="61"/>
  <c r="T774" i="61"/>
  <c r="S774" i="61"/>
  <c r="R774" i="61"/>
  <c r="Q774" i="61"/>
  <c r="P774" i="61"/>
  <c r="X773" i="61"/>
  <c r="W773" i="61"/>
  <c r="V773" i="61"/>
  <c r="U773" i="61"/>
  <c r="T773" i="61"/>
  <c r="S773" i="61"/>
  <c r="R773" i="61"/>
  <c r="Q773" i="61"/>
  <c r="P773" i="61"/>
  <c r="X772" i="61"/>
  <c r="W772" i="61"/>
  <c r="V772" i="61"/>
  <c r="U772" i="61"/>
  <c r="T772" i="61"/>
  <c r="S772" i="61"/>
  <c r="R772" i="61"/>
  <c r="Q772" i="61"/>
  <c r="P772" i="61"/>
  <c r="X771" i="61"/>
  <c r="W771" i="61"/>
  <c r="V771" i="61"/>
  <c r="U771" i="61"/>
  <c r="T771" i="61"/>
  <c r="S771" i="61"/>
  <c r="R771" i="61"/>
  <c r="Q771" i="61"/>
  <c r="P771" i="61"/>
  <c r="X770" i="61"/>
  <c r="W770" i="61"/>
  <c r="V770" i="61"/>
  <c r="U770" i="61"/>
  <c r="T770" i="61"/>
  <c r="S770" i="61"/>
  <c r="R770" i="61"/>
  <c r="Q770" i="61"/>
  <c r="P770" i="61"/>
  <c r="X769" i="61"/>
  <c r="W769" i="61"/>
  <c r="V769" i="61"/>
  <c r="U769" i="61"/>
  <c r="T769" i="61"/>
  <c r="S769" i="61"/>
  <c r="R769" i="61"/>
  <c r="Q769" i="61"/>
  <c r="P769" i="61"/>
  <c r="X768" i="61"/>
  <c r="W768" i="61"/>
  <c r="V768" i="61"/>
  <c r="U768" i="61"/>
  <c r="T768" i="61"/>
  <c r="S768" i="61"/>
  <c r="R768" i="61"/>
  <c r="Q768" i="61"/>
  <c r="P768" i="61"/>
  <c r="X767" i="61"/>
  <c r="W767" i="61"/>
  <c r="V767" i="61"/>
  <c r="U767" i="61"/>
  <c r="T767" i="61"/>
  <c r="S767" i="61"/>
  <c r="R767" i="61"/>
  <c r="Q767" i="61"/>
  <c r="P767" i="61"/>
  <c r="X766" i="61"/>
  <c r="W766" i="61"/>
  <c r="V766" i="61"/>
  <c r="U766" i="61"/>
  <c r="T766" i="61"/>
  <c r="S766" i="61"/>
  <c r="R766" i="61"/>
  <c r="Q766" i="61"/>
  <c r="P766" i="61"/>
  <c r="X765" i="61"/>
  <c r="W765" i="61"/>
  <c r="V765" i="61"/>
  <c r="U765" i="61"/>
  <c r="T765" i="61"/>
  <c r="S765" i="61"/>
  <c r="R765" i="61"/>
  <c r="Q765" i="61"/>
  <c r="P765" i="61"/>
  <c r="X764" i="61"/>
  <c r="W764" i="61"/>
  <c r="V764" i="61"/>
  <c r="U764" i="61"/>
  <c r="T764" i="61"/>
  <c r="S764" i="61"/>
  <c r="R764" i="61"/>
  <c r="Q764" i="61"/>
  <c r="P764" i="61"/>
  <c r="X763" i="61"/>
  <c r="W763" i="61"/>
  <c r="V763" i="61"/>
  <c r="U763" i="61"/>
  <c r="T763" i="61"/>
  <c r="S763" i="61"/>
  <c r="R763" i="61"/>
  <c r="Q763" i="61"/>
  <c r="P763" i="61"/>
  <c r="X762" i="61"/>
  <c r="W762" i="61"/>
  <c r="V762" i="61"/>
  <c r="U762" i="61"/>
  <c r="T762" i="61"/>
  <c r="S762" i="61"/>
  <c r="R762" i="61"/>
  <c r="Q762" i="61"/>
  <c r="P762" i="61"/>
  <c r="X761" i="61"/>
  <c r="W761" i="61"/>
  <c r="V761" i="61"/>
  <c r="U761" i="61"/>
  <c r="T761" i="61"/>
  <c r="S761" i="61"/>
  <c r="R761" i="61"/>
  <c r="Q761" i="61"/>
  <c r="P761" i="61"/>
  <c r="X760" i="61"/>
  <c r="W760" i="61"/>
  <c r="V760" i="61"/>
  <c r="U760" i="61"/>
  <c r="T760" i="61"/>
  <c r="S760" i="61"/>
  <c r="R760" i="61"/>
  <c r="Q760" i="61"/>
  <c r="P760" i="61"/>
  <c r="X759" i="61"/>
  <c r="W759" i="61"/>
  <c r="V759" i="61"/>
  <c r="U759" i="61"/>
  <c r="T759" i="61"/>
  <c r="S759" i="61"/>
  <c r="R759" i="61"/>
  <c r="Q759" i="61"/>
  <c r="P759" i="61"/>
  <c r="X758" i="61"/>
  <c r="W758" i="61"/>
  <c r="V758" i="61"/>
  <c r="U758" i="61"/>
  <c r="T758" i="61"/>
  <c r="S758" i="61"/>
  <c r="R758" i="61"/>
  <c r="Q758" i="61"/>
  <c r="P758" i="61"/>
  <c r="X757" i="61"/>
  <c r="W757" i="61"/>
  <c r="V757" i="61"/>
  <c r="U757" i="61"/>
  <c r="T757" i="61"/>
  <c r="S757" i="61"/>
  <c r="R757" i="61"/>
  <c r="Q757" i="61"/>
  <c r="P757" i="61"/>
  <c r="X756" i="61"/>
  <c r="W756" i="61"/>
  <c r="V756" i="61"/>
  <c r="U756" i="61"/>
  <c r="T756" i="61"/>
  <c r="S756" i="61"/>
  <c r="R756" i="61"/>
  <c r="Q756" i="61"/>
  <c r="P756" i="61"/>
  <c r="X755" i="61"/>
  <c r="W755" i="61"/>
  <c r="V755" i="61"/>
  <c r="U755" i="61"/>
  <c r="T755" i="61"/>
  <c r="S755" i="61"/>
  <c r="R755" i="61"/>
  <c r="Q755" i="61"/>
  <c r="P755" i="61"/>
  <c r="X754" i="61"/>
  <c r="W754" i="61"/>
  <c r="V754" i="61"/>
  <c r="U754" i="61"/>
  <c r="T754" i="61"/>
  <c r="S754" i="61"/>
  <c r="R754" i="61"/>
  <c r="Q754" i="61"/>
  <c r="P754" i="61"/>
  <c r="X753" i="61"/>
  <c r="W753" i="61"/>
  <c r="V753" i="61"/>
  <c r="U753" i="61"/>
  <c r="T753" i="61"/>
  <c r="S753" i="61"/>
  <c r="R753" i="61"/>
  <c r="Q753" i="61"/>
  <c r="P753" i="61"/>
  <c r="X752" i="61"/>
  <c r="W752" i="61"/>
  <c r="V752" i="61"/>
  <c r="U752" i="61"/>
  <c r="T752" i="61"/>
  <c r="S752" i="61"/>
  <c r="R752" i="61"/>
  <c r="Q752" i="61"/>
  <c r="P752" i="61"/>
  <c r="X751" i="61"/>
  <c r="W751" i="61"/>
  <c r="V751" i="61"/>
  <c r="U751" i="61"/>
  <c r="T751" i="61"/>
  <c r="S751" i="61"/>
  <c r="R751" i="61"/>
  <c r="Q751" i="61"/>
  <c r="P751" i="61"/>
  <c r="X750" i="61"/>
  <c r="W750" i="61"/>
  <c r="V750" i="61"/>
  <c r="U750" i="61"/>
  <c r="T750" i="61"/>
  <c r="S750" i="61"/>
  <c r="R750" i="61"/>
  <c r="Q750" i="61"/>
  <c r="P750" i="61"/>
  <c r="X749" i="61"/>
  <c r="W749" i="61"/>
  <c r="V749" i="61"/>
  <c r="U749" i="61"/>
  <c r="T749" i="61"/>
  <c r="S749" i="61"/>
  <c r="R749" i="61"/>
  <c r="Q749" i="61"/>
  <c r="P749" i="61"/>
  <c r="X748" i="61"/>
  <c r="W748" i="61"/>
  <c r="V748" i="61"/>
  <c r="U748" i="61"/>
  <c r="T748" i="61"/>
  <c r="S748" i="61"/>
  <c r="R748" i="61"/>
  <c r="Q748" i="61"/>
  <c r="P748" i="61"/>
  <c r="X747" i="61"/>
  <c r="W747" i="61"/>
  <c r="V747" i="61"/>
  <c r="U747" i="61"/>
  <c r="T747" i="61"/>
  <c r="S747" i="61"/>
  <c r="R747" i="61"/>
  <c r="Q747" i="61"/>
  <c r="P747" i="61"/>
  <c r="X746" i="61"/>
  <c r="W746" i="61"/>
  <c r="V746" i="61"/>
  <c r="U746" i="61"/>
  <c r="T746" i="61"/>
  <c r="S746" i="61"/>
  <c r="R746" i="61"/>
  <c r="Q746" i="61"/>
  <c r="P746" i="61"/>
  <c r="X745" i="61"/>
  <c r="W745" i="61"/>
  <c r="V745" i="61"/>
  <c r="U745" i="61"/>
  <c r="T745" i="61"/>
  <c r="S745" i="61"/>
  <c r="R745" i="61"/>
  <c r="Q745" i="61"/>
  <c r="P745" i="61"/>
  <c r="X744" i="61"/>
  <c r="W744" i="61"/>
  <c r="V744" i="61"/>
  <c r="U744" i="61"/>
  <c r="T744" i="61"/>
  <c r="S744" i="61"/>
  <c r="R744" i="61"/>
  <c r="Q744" i="61"/>
  <c r="P744" i="61"/>
  <c r="X743" i="61"/>
  <c r="W743" i="61"/>
  <c r="V743" i="61"/>
  <c r="U743" i="61"/>
  <c r="T743" i="61"/>
  <c r="S743" i="61"/>
  <c r="R743" i="61"/>
  <c r="Q743" i="61"/>
  <c r="P743" i="61"/>
  <c r="X742" i="61"/>
  <c r="W742" i="61"/>
  <c r="V742" i="61"/>
  <c r="U742" i="61"/>
  <c r="T742" i="61"/>
  <c r="S742" i="61"/>
  <c r="R742" i="61"/>
  <c r="Q742" i="61"/>
  <c r="P742" i="61"/>
  <c r="X741" i="61"/>
  <c r="W741" i="61"/>
  <c r="V741" i="61"/>
  <c r="U741" i="61"/>
  <c r="T741" i="61"/>
  <c r="S741" i="61"/>
  <c r="R741" i="61"/>
  <c r="Q741" i="61"/>
  <c r="P741" i="61"/>
  <c r="X740" i="61"/>
  <c r="W740" i="61"/>
  <c r="V740" i="61"/>
  <c r="U740" i="61"/>
  <c r="T740" i="61"/>
  <c r="S740" i="61"/>
  <c r="R740" i="61"/>
  <c r="Q740" i="61"/>
  <c r="P740" i="61"/>
  <c r="X739" i="61"/>
  <c r="W739" i="61"/>
  <c r="V739" i="61"/>
  <c r="U739" i="61"/>
  <c r="T739" i="61"/>
  <c r="S739" i="61"/>
  <c r="R739" i="61"/>
  <c r="Q739" i="61"/>
  <c r="P739" i="61"/>
  <c r="X738" i="61"/>
  <c r="W738" i="61"/>
  <c r="V738" i="61"/>
  <c r="U738" i="61"/>
  <c r="T738" i="61"/>
  <c r="S738" i="61"/>
  <c r="R738" i="61"/>
  <c r="Q738" i="61"/>
  <c r="P738" i="61"/>
  <c r="X737" i="61"/>
  <c r="W737" i="61"/>
  <c r="V737" i="61"/>
  <c r="U737" i="61"/>
  <c r="T737" i="61"/>
  <c r="S737" i="61"/>
  <c r="R737" i="61"/>
  <c r="Q737" i="61"/>
  <c r="P737" i="61"/>
  <c r="X736" i="61"/>
  <c r="W736" i="61"/>
  <c r="V736" i="61"/>
  <c r="U736" i="61"/>
  <c r="T736" i="61"/>
  <c r="S736" i="61"/>
  <c r="R736" i="61"/>
  <c r="Q736" i="61"/>
  <c r="P736" i="61"/>
  <c r="X735" i="61"/>
  <c r="W735" i="61"/>
  <c r="V735" i="61"/>
  <c r="U735" i="61"/>
  <c r="T735" i="61"/>
  <c r="S735" i="61"/>
  <c r="R735" i="61"/>
  <c r="Q735" i="61"/>
  <c r="P735" i="61"/>
  <c r="X734" i="61"/>
  <c r="W734" i="61"/>
  <c r="V734" i="61"/>
  <c r="U734" i="61"/>
  <c r="T734" i="61"/>
  <c r="S734" i="61"/>
  <c r="R734" i="61"/>
  <c r="Q734" i="61"/>
  <c r="P734" i="61"/>
  <c r="X733" i="61"/>
  <c r="W733" i="61"/>
  <c r="V733" i="61"/>
  <c r="U733" i="61"/>
  <c r="T733" i="61"/>
  <c r="S733" i="61"/>
  <c r="R733" i="61"/>
  <c r="Q733" i="61"/>
  <c r="P733" i="61"/>
  <c r="X732" i="61"/>
  <c r="W732" i="61"/>
  <c r="V732" i="61"/>
  <c r="U732" i="61"/>
  <c r="T732" i="61"/>
  <c r="S732" i="61"/>
  <c r="R732" i="61"/>
  <c r="Q732" i="61"/>
  <c r="P732" i="61"/>
  <c r="X731" i="61"/>
  <c r="W731" i="61"/>
  <c r="V731" i="61"/>
  <c r="U731" i="61"/>
  <c r="T731" i="61"/>
  <c r="S731" i="61"/>
  <c r="R731" i="61"/>
  <c r="Q731" i="61"/>
  <c r="P731" i="61"/>
  <c r="X730" i="61"/>
  <c r="W730" i="61"/>
  <c r="V730" i="61"/>
  <c r="U730" i="61"/>
  <c r="T730" i="61"/>
  <c r="S730" i="61"/>
  <c r="R730" i="61"/>
  <c r="Q730" i="61"/>
  <c r="P730" i="61"/>
  <c r="X729" i="61"/>
  <c r="W729" i="61"/>
  <c r="V729" i="61"/>
  <c r="U729" i="61"/>
  <c r="T729" i="61"/>
  <c r="S729" i="61"/>
  <c r="R729" i="61"/>
  <c r="Q729" i="61"/>
  <c r="P729" i="61"/>
  <c r="X728" i="61"/>
  <c r="W728" i="61"/>
  <c r="V728" i="61"/>
  <c r="U728" i="61"/>
  <c r="T728" i="61"/>
  <c r="S728" i="61"/>
  <c r="R728" i="61"/>
  <c r="Q728" i="61"/>
  <c r="P728" i="61"/>
  <c r="X727" i="61"/>
  <c r="W727" i="61"/>
  <c r="V727" i="61"/>
  <c r="U727" i="61"/>
  <c r="T727" i="61"/>
  <c r="S727" i="61"/>
  <c r="R727" i="61"/>
  <c r="Q727" i="61"/>
  <c r="P727" i="61"/>
  <c r="X726" i="61"/>
  <c r="W726" i="61"/>
  <c r="V726" i="61"/>
  <c r="U726" i="61"/>
  <c r="T726" i="61"/>
  <c r="S726" i="61"/>
  <c r="R726" i="61"/>
  <c r="Q726" i="61"/>
  <c r="P726" i="61"/>
  <c r="X725" i="61"/>
  <c r="W725" i="61"/>
  <c r="V725" i="61"/>
  <c r="U725" i="61"/>
  <c r="T725" i="61"/>
  <c r="S725" i="61"/>
  <c r="R725" i="61"/>
  <c r="Q725" i="61"/>
  <c r="P725" i="61"/>
  <c r="X724" i="61"/>
  <c r="W724" i="61"/>
  <c r="V724" i="61"/>
  <c r="U724" i="61"/>
  <c r="T724" i="61"/>
  <c r="S724" i="61"/>
  <c r="R724" i="61"/>
  <c r="Q724" i="61"/>
  <c r="P724" i="61"/>
  <c r="X723" i="61"/>
  <c r="W723" i="61"/>
  <c r="V723" i="61"/>
  <c r="U723" i="61"/>
  <c r="T723" i="61"/>
  <c r="S723" i="61"/>
  <c r="R723" i="61"/>
  <c r="Q723" i="61"/>
  <c r="P723" i="61"/>
  <c r="X722" i="61"/>
  <c r="W722" i="61"/>
  <c r="V722" i="61"/>
  <c r="U722" i="61"/>
  <c r="T722" i="61"/>
  <c r="S722" i="61"/>
  <c r="R722" i="61"/>
  <c r="Q722" i="61"/>
  <c r="P722" i="61"/>
  <c r="X721" i="61"/>
  <c r="W721" i="61"/>
  <c r="V721" i="61"/>
  <c r="U721" i="61"/>
  <c r="T721" i="61"/>
  <c r="S721" i="61"/>
  <c r="R721" i="61"/>
  <c r="Q721" i="61"/>
  <c r="P721" i="61"/>
  <c r="X720" i="61"/>
  <c r="W720" i="61"/>
  <c r="V720" i="61"/>
  <c r="U720" i="61"/>
  <c r="T720" i="61"/>
  <c r="S720" i="61"/>
  <c r="R720" i="61"/>
  <c r="Q720" i="61"/>
  <c r="P720" i="61"/>
  <c r="X719" i="61"/>
  <c r="W719" i="61"/>
  <c r="V719" i="61"/>
  <c r="U719" i="61"/>
  <c r="T719" i="61"/>
  <c r="S719" i="61"/>
  <c r="R719" i="61"/>
  <c r="Q719" i="61"/>
  <c r="P719" i="61"/>
  <c r="X718" i="61"/>
  <c r="W718" i="61"/>
  <c r="V718" i="61"/>
  <c r="U718" i="61"/>
  <c r="T718" i="61"/>
  <c r="S718" i="61"/>
  <c r="R718" i="61"/>
  <c r="Q718" i="61"/>
  <c r="P718" i="61"/>
  <c r="X717" i="61"/>
  <c r="W717" i="61"/>
  <c r="V717" i="61"/>
  <c r="U717" i="61"/>
  <c r="T717" i="61"/>
  <c r="S717" i="61"/>
  <c r="R717" i="61"/>
  <c r="Q717" i="61"/>
  <c r="P717" i="61"/>
  <c r="X716" i="61"/>
  <c r="W716" i="61"/>
  <c r="V716" i="61"/>
  <c r="U716" i="61"/>
  <c r="T716" i="61"/>
  <c r="S716" i="61"/>
  <c r="R716" i="61"/>
  <c r="Q716" i="61"/>
  <c r="P716" i="61"/>
  <c r="X715" i="61"/>
  <c r="W715" i="61"/>
  <c r="V715" i="61"/>
  <c r="U715" i="61"/>
  <c r="T715" i="61"/>
  <c r="S715" i="61"/>
  <c r="R715" i="61"/>
  <c r="Q715" i="61"/>
  <c r="P715" i="61"/>
  <c r="X714" i="61"/>
  <c r="W714" i="61"/>
  <c r="V714" i="61"/>
  <c r="U714" i="61"/>
  <c r="T714" i="61"/>
  <c r="S714" i="61"/>
  <c r="R714" i="61"/>
  <c r="Q714" i="61"/>
  <c r="P714" i="61"/>
  <c r="X713" i="61"/>
  <c r="W713" i="61"/>
  <c r="V713" i="61"/>
  <c r="U713" i="61"/>
  <c r="T713" i="61"/>
  <c r="S713" i="61"/>
  <c r="R713" i="61"/>
  <c r="Q713" i="61"/>
  <c r="P713" i="61"/>
  <c r="X712" i="61"/>
  <c r="W712" i="61"/>
  <c r="V712" i="61"/>
  <c r="U712" i="61"/>
  <c r="T712" i="61"/>
  <c r="S712" i="61"/>
  <c r="R712" i="61"/>
  <c r="Q712" i="61"/>
  <c r="P712" i="61"/>
  <c r="X711" i="61"/>
  <c r="W711" i="61"/>
  <c r="V711" i="61"/>
  <c r="U711" i="61"/>
  <c r="T711" i="61"/>
  <c r="S711" i="61"/>
  <c r="R711" i="61"/>
  <c r="Q711" i="61"/>
  <c r="P711" i="61"/>
  <c r="X710" i="61"/>
  <c r="W710" i="61"/>
  <c r="V710" i="61"/>
  <c r="U710" i="61"/>
  <c r="T710" i="61"/>
  <c r="S710" i="61"/>
  <c r="R710" i="61"/>
  <c r="Q710" i="61"/>
  <c r="P710" i="61"/>
  <c r="X709" i="61"/>
  <c r="W709" i="61"/>
  <c r="V709" i="61"/>
  <c r="U709" i="61"/>
  <c r="T709" i="61"/>
  <c r="S709" i="61"/>
  <c r="R709" i="61"/>
  <c r="Q709" i="61"/>
  <c r="P709" i="61"/>
  <c r="X708" i="61"/>
  <c r="W708" i="61"/>
  <c r="V708" i="61"/>
  <c r="U708" i="61"/>
  <c r="T708" i="61"/>
  <c r="S708" i="61"/>
  <c r="R708" i="61"/>
  <c r="Q708" i="61"/>
  <c r="P708" i="61"/>
  <c r="X707" i="61"/>
  <c r="W707" i="61"/>
  <c r="V707" i="61"/>
  <c r="U707" i="61"/>
  <c r="T707" i="61"/>
  <c r="S707" i="61"/>
  <c r="R707" i="61"/>
  <c r="Q707" i="61"/>
  <c r="P707" i="61"/>
  <c r="X706" i="61"/>
  <c r="W706" i="61"/>
  <c r="V706" i="61"/>
  <c r="U706" i="61"/>
  <c r="T706" i="61"/>
  <c r="S706" i="61"/>
  <c r="R706" i="61"/>
  <c r="Q706" i="61"/>
  <c r="P706" i="61"/>
  <c r="X705" i="61"/>
  <c r="W705" i="61"/>
  <c r="V705" i="61"/>
  <c r="U705" i="61"/>
  <c r="T705" i="61"/>
  <c r="S705" i="61"/>
  <c r="R705" i="61"/>
  <c r="Q705" i="61"/>
  <c r="P705" i="61"/>
  <c r="X704" i="61"/>
  <c r="W704" i="61"/>
  <c r="V704" i="61"/>
  <c r="U704" i="61"/>
  <c r="T704" i="61"/>
  <c r="S704" i="61"/>
  <c r="R704" i="61"/>
  <c r="Q704" i="61"/>
  <c r="P704" i="61"/>
  <c r="X703" i="61"/>
  <c r="W703" i="61"/>
  <c r="V703" i="61"/>
  <c r="U703" i="61"/>
  <c r="T703" i="61"/>
  <c r="S703" i="61"/>
  <c r="R703" i="61"/>
  <c r="Q703" i="61"/>
  <c r="P703" i="61"/>
  <c r="X702" i="61"/>
  <c r="W702" i="61"/>
  <c r="V702" i="61"/>
  <c r="U702" i="61"/>
  <c r="T702" i="61"/>
  <c r="S702" i="61"/>
  <c r="R702" i="61"/>
  <c r="Q702" i="61"/>
  <c r="P702" i="61"/>
  <c r="X701" i="61"/>
  <c r="W701" i="61"/>
  <c r="V701" i="61"/>
  <c r="U701" i="61"/>
  <c r="T701" i="61"/>
  <c r="S701" i="61"/>
  <c r="R701" i="61"/>
  <c r="Q701" i="61"/>
  <c r="P701" i="61"/>
  <c r="X700" i="61"/>
  <c r="W700" i="61"/>
  <c r="V700" i="61"/>
  <c r="U700" i="61"/>
  <c r="T700" i="61"/>
  <c r="S700" i="61"/>
  <c r="R700" i="61"/>
  <c r="Q700" i="61"/>
  <c r="P700" i="61"/>
  <c r="X699" i="61"/>
  <c r="W699" i="61"/>
  <c r="V699" i="61"/>
  <c r="U699" i="61"/>
  <c r="T699" i="61"/>
  <c r="S699" i="61"/>
  <c r="R699" i="61"/>
  <c r="Q699" i="61"/>
  <c r="P699" i="61"/>
  <c r="X698" i="61"/>
  <c r="W698" i="61"/>
  <c r="V698" i="61"/>
  <c r="U698" i="61"/>
  <c r="T698" i="61"/>
  <c r="S698" i="61"/>
  <c r="R698" i="61"/>
  <c r="Q698" i="61"/>
  <c r="P698" i="61"/>
  <c r="X697" i="61"/>
  <c r="W697" i="61"/>
  <c r="V697" i="61"/>
  <c r="U697" i="61"/>
  <c r="T697" i="61"/>
  <c r="S697" i="61"/>
  <c r="R697" i="61"/>
  <c r="Q697" i="61"/>
  <c r="P697" i="61"/>
  <c r="X696" i="61"/>
  <c r="W696" i="61"/>
  <c r="V696" i="61"/>
  <c r="U696" i="61"/>
  <c r="T696" i="61"/>
  <c r="S696" i="61"/>
  <c r="R696" i="61"/>
  <c r="Q696" i="61"/>
  <c r="P696" i="61"/>
  <c r="X695" i="61"/>
  <c r="W695" i="61"/>
  <c r="V695" i="61"/>
  <c r="U695" i="61"/>
  <c r="T695" i="61"/>
  <c r="S695" i="61"/>
  <c r="R695" i="61"/>
  <c r="Q695" i="61"/>
  <c r="P695" i="61"/>
  <c r="X694" i="61"/>
  <c r="W694" i="61"/>
  <c r="V694" i="61"/>
  <c r="U694" i="61"/>
  <c r="T694" i="61"/>
  <c r="S694" i="61"/>
  <c r="R694" i="61"/>
  <c r="Q694" i="61"/>
  <c r="P694" i="61"/>
  <c r="X693" i="61"/>
  <c r="W693" i="61"/>
  <c r="V693" i="61"/>
  <c r="U693" i="61"/>
  <c r="T693" i="61"/>
  <c r="S693" i="61"/>
  <c r="R693" i="61"/>
  <c r="Q693" i="61"/>
  <c r="P693" i="61"/>
  <c r="X692" i="61"/>
  <c r="W692" i="61"/>
  <c r="V692" i="61"/>
  <c r="U692" i="61"/>
  <c r="T692" i="61"/>
  <c r="S692" i="61"/>
  <c r="R692" i="61"/>
  <c r="Q692" i="61"/>
  <c r="P692" i="61"/>
  <c r="X691" i="61"/>
  <c r="W691" i="61"/>
  <c r="V691" i="61"/>
  <c r="U691" i="61"/>
  <c r="T691" i="61"/>
  <c r="S691" i="61"/>
  <c r="R691" i="61"/>
  <c r="Q691" i="61"/>
  <c r="P691" i="61"/>
  <c r="X690" i="61"/>
  <c r="W690" i="61"/>
  <c r="V690" i="61"/>
  <c r="U690" i="61"/>
  <c r="T690" i="61"/>
  <c r="S690" i="61"/>
  <c r="R690" i="61"/>
  <c r="Q690" i="61"/>
  <c r="P690" i="61"/>
  <c r="X689" i="61"/>
  <c r="W689" i="61"/>
  <c r="V689" i="61"/>
  <c r="U689" i="61"/>
  <c r="T689" i="61"/>
  <c r="S689" i="61"/>
  <c r="R689" i="61"/>
  <c r="Q689" i="61"/>
  <c r="P689" i="61"/>
  <c r="X688" i="61"/>
  <c r="W688" i="61"/>
  <c r="V688" i="61"/>
  <c r="U688" i="61"/>
  <c r="T688" i="61"/>
  <c r="S688" i="61"/>
  <c r="R688" i="61"/>
  <c r="Q688" i="61"/>
  <c r="P688" i="61"/>
  <c r="X687" i="61"/>
  <c r="W687" i="61"/>
  <c r="V687" i="61"/>
  <c r="U687" i="61"/>
  <c r="T687" i="61"/>
  <c r="S687" i="61"/>
  <c r="R687" i="61"/>
  <c r="Q687" i="61"/>
  <c r="P687" i="61"/>
  <c r="X686" i="61"/>
  <c r="W686" i="61"/>
  <c r="V686" i="61"/>
  <c r="U686" i="61"/>
  <c r="T686" i="61"/>
  <c r="S686" i="61"/>
  <c r="R686" i="61"/>
  <c r="Q686" i="61"/>
  <c r="P686" i="61"/>
  <c r="X685" i="61"/>
  <c r="W685" i="61"/>
  <c r="V685" i="61"/>
  <c r="U685" i="61"/>
  <c r="T685" i="61"/>
  <c r="S685" i="61"/>
  <c r="R685" i="61"/>
  <c r="Q685" i="61"/>
  <c r="P685" i="61"/>
  <c r="X684" i="61"/>
  <c r="W684" i="61"/>
  <c r="V684" i="61"/>
  <c r="U684" i="61"/>
  <c r="T684" i="61"/>
  <c r="S684" i="61"/>
  <c r="R684" i="61"/>
  <c r="Q684" i="61"/>
  <c r="P684" i="61"/>
  <c r="X683" i="61"/>
  <c r="W683" i="61"/>
  <c r="V683" i="61"/>
  <c r="U683" i="61"/>
  <c r="T683" i="61"/>
  <c r="S683" i="61"/>
  <c r="R683" i="61"/>
  <c r="Q683" i="61"/>
  <c r="P683" i="61"/>
  <c r="X682" i="61"/>
  <c r="W682" i="61"/>
  <c r="V682" i="61"/>
  <c r="U682" i="61"/>
  <c r="T682" i="61"/>
  <c r="S682" i="61"/>
  <c r="R682" i="61"/>
  <c r="Q682" i="61"/>
  <c r="P682" i="61"/>
  <c r="X681" i="61"/>
  <c r="W681" i="61"/>
  <c r="V681" i="61"/>
  <c r="U681" i="61"/>
  <c r="T681" i="61"/>
  <c r="S681" i="61"/>
  <c r="R681" i="61"/>
  <c r="Q681" i="61"/>
  <c r="P681" i="61"/>
  <c r="X680" i="61"/>
  <c r="W680" i="61"/>
  <c r="V680" i="61"/>
  <c r="U680" i="61"/>
  <c r="T680" i="61"/>
  <c r="S680" i="61"/>
  <c r="R680" i="61"/>
  <c r="Q680" i="61"/>
  <c r="P680" i="61"/>
  <c r="X679" i="61"/>
  <c r="W679" i="61"/>
  <c r="V679" i="61"/>
  <c r="U679" i="61"/>
  <c r="T679" i="61"/>
  <c r="S679" i="61"/>
  <c r="R679" i="61"/>
  <c r="Q679" i="61"/>
  <c r="P679" i="61"/>
  <c r="X678" i="61"/>
  <c r="W678" i="61"/>
  <c r="V678" i="61"/>
  <c r="U678" i="61"/>
  <c r="T678" i="61"/>
  <c r="S678" i="61"/>
  <c r="R678" i="61"/>
  <c r="Q678" i="61"/>
  <c r="P678" i="61"/>
  <c r="X677" i="61"/>
  <c r="W677" i="61"/>
  <c r="V677" i="61"/>
  <c r="U677" i="61"/>
  <c r="T677" i="61"/>
  <c r="S677" i="61"/>
  <c r="R677" i="61"/>
  <c r="Q677" i="61"/>
  <c r="P677" i="61"/>
  <c r="X676" i="61"/>
  <c r="W676" i="61"/>
  <c r="V676" i="61"/>
  <c r="U676" i="61"/>
  <c r="T676" i="61"/>
  <c r="S676" i="61"/>
  <c r="R676" i="61"/>
  <c r="Q676" i="61"/>
  <c r="P676" i="61"/>
  <c r="X675" i="61"/>
  <c r="W675" i="61"/>
  <c r="V675" i="61"/>
  <c r="U675" i="61"/>
  <c r="T675" i="61"/>
  <c r="S675" i="61"/>
  <c r="R675" i="61"/>
  <c r="Q675" i="61"/>
  <c r="P675" i="61"/>
  <c r="X674" i="61"/>
  <c r="W674" i="61"/>
  <c r="V674" i="61"/>
  <c r="U674" i="61"/>
  <c r="T674" i="61"/>
  <c r="S674" i="61"/>
  <c r="R674" i="61"/>
  <c r="Q674" i="61"/>
  <c r="P674" i="61"/>
  <c r="X673" i="61"/>
  <c r="W673" i="61"/>
  <c r="V673" i="61"/>
  <c r="U673" i="61"/>
  <c r="T673" i="61"/>
  <c r="S673" i="61"/>
  <c r="R673" i="61"/>
  <c r="Q673" i="61"/>
  <c r="P673" i="61"/>
  <c r="X672" i="61"/>
  <c r="W672" i="61"/>
  <c r="V672" i="61"/>
  <c r="U672" i="61"/>
  <c r="T672" i="61"/>
  <c r="S672" i="61"/>
  <c r="R672" i="61"/>
  <c r="Q672" i="61"/>
  <c r="P672" i="61"/>
  <c r="X671" i="61"/>
  <c r="W671" i="61"/>
  <c r="V671" i="61"/>
  <c r="U671" i="61"/>
  <c r="T671" i="61"/>
  <c r="S671" i="61"/>
  <c r="R671" i="61"/>
  <c r="Q671" i="61"/>
  <c r="P671" i="61"/>
  <c r="X670" i="61"/>
  <c r="W670" i="61"/>
  <c r="V670" i="61"/>
  <c r="U670" i="61"/>
  <c r="T670" i="61"/>
  <c r="S670" i="61"/>
  <c r="R670" i="61"/>
  <c r="Q670" i="61"/>
  <c r="P670" i="61"/>
  <c r="X669" i="61"/>
  <c r="W669" i="61"/>
  <c r="V669" i="61"/>
  <c r="U669" i="61"/>
  <c r="T669" i="61"/>
  <c r="S669" i="61"/>
  <c r="R669" i="61"/>
  <c r="Q669" i="61"/>
  <c r="P669" i="61"/>
  <c r="X668" i="61"/>
  <c r="W668" i="61"/>
  <c r="V668" i="61"/>
  <c r="U668" i="61"/>
  <c r="T668" i="61"/>
  <c r="S668" i="61"/>
  <c r="R668" i="61"/>
  <c r="Q668" i="61"/>
  <c r="P668" i="61"/>
  <c r="X667" i="61"/>
  <c r="W667" i="61"/>
  <c r="V667" i="61"/>
  <c r="U667" i="61"/>
  <c r="T667" i="61"/>
  <c r="S667" i="61"/>
  <c r="R667" i="61"/>
  <c r="Q667" i="61"/>
  <c r="P667" i="61"/>
  <c r="X666" i="61"/>
  <c r="W666" i="61"/>
  <c r="V666" i="61"/>
  <c r="U666" i="61"/>
  <c r="T666" i="61"/>
  <c r="S666" i="61"/>
  <c r="R666" i="61"/>
  <c r="Q666" i="61"/>
  <c r="P666" i="61"/>
  <c r="X665" i="61"/>
  <c r="W665" i="61"/>
  <c r="V665" i="61"/>
  <c r="U665" i="61"/>
  <c r="T665" i="61"/>
  <c r="S665" i="61"/>
  <c r="R665" i="61"/>
  <c r="Q665" i="61"/>
  <c r="P665" i="61"/>
  <c r="X664" i="61"/>
  <c r="W664" i="61"/>
  <c r="V664" i="61"/>
  <c r="U664" i="61"/>
  <c r="T664" i="61"/>
  <c r="S664" i="61"/>
  <c r="R664" i="61"/>
  <c r="Q664" i="61"/>
  <c r="P664" i="61"/>
  <c r="X663" i="61"/>
  <c r="W663" i="61"/>
  <c r="V663" i="61"/>
  <c r="U663" i="61"/>
  <c r="T663" i="61"/>
  <c r="S663" i="61"/>
  <c r="R663" i="61"/>
  <c r="Q663" i="61"/>
  <c r="P663" i="61"/>
  <c r="X662" i="61"/>
  <c r="W662" i="61"/>
  <c r="V662" i="61"/>
  <c r="U662" i="61"/>
  <c r="T662" i="61"/>
  <c r="S662" i="61"/>
  <c r="R662" i="61"/>
  <c r="Q662" i="61"/>
  <c r="P662" i="61"/>
  <c r="X661" i="61"/>
  <c r="W661" i="61"/>
  <c r="V661" i="61"/>
  <c r="U661" i="61"/>
  <c r="T661" i="61"/>
  <c r="S661" i="61"/>
  <c r="R661" i="61"/>
  <c r="Q661" i="61"/>
  <c r="P661" i="61"/>
  <c r="X660" i="61"/>
  <c r="W660" i="61"/>
  <c r="V660" i="61"/>
  <c r="U660" i="61"/>
  <c r="T660" i="61"/>
  <c r="S660" i="61"/>
  <c r="R660" i="61"/>
  <c r="Q660" i="61"/>
  <c r="P660" i="61"/>
  <c r="X659" i="61"/>
  <c r="W659" i="61"/>
  <c r="V659" i="61"/>
  <c r="U659" i="61"/>
  <c r="T659" i="61"/>
  <c r="S659" i="61"/>
  <c r="R659" i="61"/>
  <c r="Q659" i="61"/>
  <c r="P659" i="61"/>
  <c r="X658" i="61"/>
  <c r="W658" i="61"/>
  <c r="V658" i="61"/>
  <c r="U658" i="61"/>
  <c r="T658" i="61"/>
  <c r="S658" i="61"/>
  <c r="R658" i="61"/>
  <c r="Q658" i="61"/>
  <c r="P658" i="61"/>
  <c r="X657" i="61"/>
  <c r="W657" i="61"/>
  <c r="V657" i="61"/>
  <c r="U657" i="61"/>
  <c r="T657" i="61"/>
  <c r="S657" i="61"/>
  <c r="R657" i="61"/>
  <c r="Q657" i="61"/>
  <c r="P657" i="61"/>
  <c r="X656" i="61"/>
  <c r="W656" i="61"/>
  <c r="V656" i="61"/>
  <c r="U656" i="61"/>
  <c r="T656" i="61"/>
  <c r="S656" i="61"/>
  <c r="R656" i="61"/>
  <c r="Q656" i="61"/>
  <c r="P656" i="61"/>
  <c r="X655" i="61"/>
  <c r="W655" i="61"/>
  <c r="V655" i="61"/>
  <c r="U655" i="61"/>
  <c r="T655" i="61"/>
  <c r="S655" i="61"/>
  <c r="R655" i="61"/>
  <c r="Q655" i="61"/>
  <c r="P655" i="61"/>
  <c r="X654" i="61"/>
  <c r="W654" i="61"/>
  <c r="V654" i="61"/>
  <c r="U654" i="61"/>
  <c r="T654" i="61"/>
  <c r="S654" i="61"/>
  <c r="R654" i="61"/>
  <c r="Q654" i="61"/>
  <c r="P654" i="61"/>
  <c r="X653" i="61"/>
  <c r="W653" i="61"/>
  <c r="V653" i="61"/>
  <c r="U653" i="61"/>
  <c r="T653" i="61"/>
  <c r="S653" i="61"/>
  <c r="R653" i="61"/>
  <c r="Q653" i="61"/>
  <c r="P653" i="61"/>
  <c r="X652" i="61"/>
  <c r="W652" i="61"/>
  <c r="V652" i="61"/>
  <c r="U652" i="61"/>
  <c r="T652" i="61"/>
  <c r="S652" i="61"/>
  <c r="R652" i="61"/>
  <c r="Q652" i="61"/>
  <c r="P652" i="61"/>
  <c r="X651" i="61"/>
  <c r="W651" i="61"/>
  <c r="V651" i="61"/>
  <c r="U651" i="61"/>
  <c r="T651" i="61"/>
  <c r="S651" i="61"/>
  <c r="R651" i="61"/>
  <c r="Q651" i="61"/>
  <c r="P651" i="61"/>
  <c r="X650" i="61"/>
  <c r="W650" i="61"/>
  <c r="V650" i="61"/>
  <c r="U650" i="61"/>
  <c r="T650" i="61"/>
  <c r="S650" i="61"/>
  <c r="R650" i="61"/>
  <c r="Q650" i="61"/>
  <c r="P650" i="61"/>
  <c r="X649" i="61"/>
  <c r="W649" i="61"/>
  <c r="V649" i="61"/>
  <c r="U649" i="61"/>
  <c r="T649" i="61"/>
  <c r="S649" i="61"/>
  <c r="R649" i="61"/>
  <c r="Q649" i="61"/>
  <c r="P649" i="61"/>
  <c r="X648" i="61"/>
  <c r="W648" i="61"/>
  <c r="V648" i="61"/>
  <c r="U648" i="61"/>
  <c r="T648" i="61"/>
  <c r="S648" i="61"/>
  <c r="R648" i="61"/>
  <c r="Q648" i="61"/>
  <c r="P648" i="61"/>
  <c r="X647" i="61"/>
  <c r="W647" i="61"/>
  <c r="V647" i="61"/>
  <c r="U647" i="61"/>
  <c r="T647" i="61"/>
  <c r="S647" i="61"/>
  <c r="R647" i="61"/>
  <c r="Q647" i="61"/>
  <c r="P647" i="61"/>
  <c r="X646" i="61"/>
  <c r="W646" i="61"/>
  <c r="V646" i="61"/>
  <c r="U646" i="61"/>
  <c r="T646" i="61"/>
  <c r="S646" i="61"/>
  <c r="R646" i="61"/>
  <c r="Q646" i="61"/>
  <c r="P646" i="61"/>
  <c r="X645" i="61"/>
  <c r="W645" i="61"/>
  <c r="V645" i="61"/>
  <c r="U645" i="61"/>
  <c r="T645" i="61"/>
  <c r="S645" i="61"/>
  <c r="R645" i="61"/>
  <c r="Q645" i="61"/>
  <c r="P645" i="61"/>
  <c r="X644" i="61"/>
  <c r="W644" i="61"/>
  <c r="V644" i="61"/>
  <c r="U644" i="61"/>
  <c r="T644" i="61"/>
  <c r="S644" i="61"/>
  <c r="R644" i="61"/>
  <c r="Q644" i="61"/>
  <c r="P644" i="61"/>
  <c r="X643" i="61"/>
  <c r="W643" i="61"/>
  <c r="V643" i="61"/>
  <c r="U643" i="61"/>
  <c r="T643" i="61"/>
  <c r="S643" i="61"/>
  <c r="R643" i="61"/>
  <c r="Q643" i="61"/>
  <c r="P643" i="61"/>
  <c r="X642" i="61"/>
  <c r="W642" i="61"/>
  <c r="V642" i="61"/>
  <c r="U642" i="61"/>
  <c r="T642" i="61"/>
  <c r="S642" i="61"/>
  <c r="R642" i="61"/>
  <c r="Q642" i="61"/>
  <c r="P642" i="61"/>
  <c r="X641" i="61"/>
  <c r="W641" i="61"/>
  <c r="V641" i="61"/>
  <c r="U641" i="61"/>
  <c r="T641" i="61"/>
  <c r="S641" i="61"/>
  <c r="R641" i="61"/>
  <c r="Q641" i="61"/>
  <c r="P641" i="61"/>
  <c r="X640" i="61"/>
  <c r="W640" i="61"/>
  <c r="V640" i="61"/>
  <c r="U640" i="61"/>
  <c r="T640" i="61"/>
  <c r="S640" i="61"/>
  <c r="R640" i="61"/>
  <c r="Q640" i="61"/>
  <c r="P640" i="61"/>
  <c r="X639" i="61"/>
  <c r="W639" i="61"/>
  <c r="V639" i="61"/>
  <c r="U639" i="61"/>
  <c r="T639" i="61"/>
  <c r="S639" i="61"/>
  <c r="R639" i="61"/>
  <c r="Q639" i="61"/>
  <c r="P639" i="61"/>
  <c r="X638" i="61"/>
  <c r="W638" i="61"/>
  <c r="V638" i="61"/>
  <c r="U638" i="61"/>
  <c r="T638" i="61"/>
  <c r="S638" i="61"/>
  <c r="R638" i="61"/>
  <c r="Q638" i="61"/>
  <c r="P638" i="61"/>
  <c r="X637" i="61"/>
  <c r="W637" i="61"/>
  <c r="V637" i="61"/>
  <c r="U637" i="61"/>
  <c r="T637" i="61"/>
  <c r="S637" i="61"/>
  <c r="R637" i="61"/>
  <c r="Q637" i="61"/>
  <c r="P637" i="61"/>
  <c r="X636" i="61"/>
  <c r="W636" i="61"/>
  <c r="V636" i="61"/>
  <c r="U636" i="61"/>
  <c r="T636" i="61"/>
  <c r="S636" i="61"/>
  <c r="R636" i="61"/>
  <c r="Q636" i="61"/>
  <c r="P636" i="61"/>
  <c r="X635" i="61"/>
  <c r="W635" i="61"/>
  <c r="V635" i="61"/>
  <c r="U635" i="61"/>
  <c r="T635" i="61"/>
  <c r="S635" i="61"/>
  <c r="R635" i="61"/>
  <c r="Q635" i="61"/>
  <c r="P635" i="61"/>
  <c r="X634" i="61"/>
  <c r="W634" i="61"/>
  <c r="V634" i="61"/>
  <c r="U634" i="61"/>
  <c r="T634" i="61"/>
  <c r="S634" i="61"/>
  <c r="R634" i="61"/>
  <c r="Q634" i="61"/>
  <c r="P634" i="61"/>
  <c r="X633" i="61"/>
  <c r="W633" i="61"/>
  <c r="V633" i="61"/>
  <c r="U633" i="61"/>
  <c r="T633" i="61"/>
  <c r="S633" i="61"/>
  <c r="R633" i="61"/>
  <c r="Q633" i="61"/>
  <c r="P633" i="61"/>
  <c r="X632" i="61"/>
  <c r="W632" i="61"/>
  <c r="V632" i="61"/>
  <c r="U632" i="61"/>
  <c r="T632" i="61"/>
  <c r="S632" i="61"/>
  <c r="R632" i="61"/>
  <c r="Q632" i="61"/>
  <c r="P632" i="61"/>
  <c r="X631" i="61"/>
  <c r="W631" i="61"/>
  <c r="V631" i="61"/>
  <c r="U631" i="61"/>
  <c r="T631" i="61"/>
  <c r="S631" i="61"/>
  <c r="R631" i="61"/>
  <c r="Q631" i="61"/>
  <c r="P631" i="61"/>
  <c r="X630" i="61"/>
  <c r="W630" i="61"/>
  <c r="V630" i="61"/>
  <c r="U630" i="61"/>
  <c r="T630" i="61"/>
  <c r="S630" i="61"/>
  <c r="R630" i="61"/>
  <c r="Q630" i="61"/>
  <c r="P630" i="61"/>
  <c r="X629" i="61"/>
  <c r="W629" i="61"/>
  <c r="V629" i="61"/>
  <c r="U629" i="61"/>
  <c r="T629" i="61"/>
  <c r="S629" i="61"/>
  <c r="R629" i="61"/>
  <c r="Q629" i="61"/>
  <c r="P629" i="61"/>
  <c r="X628" i="61"/>
  <c r="W628" i="61"/>
  <c r="V628" i="61"/>
  <c r="U628" i="61"/>
  <c r="T628" i="61"/>
  <c r="S628" i="61"/>
  <c r="R628" i="61"/>
  <c r="Q628" i="61"/>
  <c r="P628" i="61"/>
  <c r="X627" i="61"/>
  <c r="W627" i="61"/>
  <c r="V627" i="61"/>
  <c r="U627" i="61"/>
  <c r="T627" i="61"/>
  <c r="S627" i="61"/>
  <c r="R627" i="61"/>
  <c r="Q627" i="61"/>
  <c r="P627" i="61"/>
  <c r="X626" i="61"/>
  <c r="W626" i="61"/>
  <c r="V626" i="61"/>
  <c r="U626" i="61"/>
  <c r="T626" i="61"/>
  <c r="S626" i="61"/>
  <c r="R626" i="61"/>
  <c r="Q626" i="61"/>
  <c r="P626" i="61"/>
  <c r="X625" i="61"/>
  <c r="W625" i="61"/>
  <c r="V625" i="61"/>
  <c r="U625" i="61"/>
  <c r="T625" i="61"/>
  <c r="S625" i="61"/>
  <c r="R625" i="61"/>
  <c r="Q625" i="61"/>
  <c r="P625" i="61"/>
  <c r="X624" i="61"/>
  <c r="W624" i="61"/>
  <c r="V624" i="61"/>
  <c r="U624" i="61"/>
  <c r="T624" i="61"/>
  <c r="S624" i="61"/>
  <c r="R624" i="61"/>
  <c r="Q624" i="61"/>
  <c r="P624" i="61"/>
  <c r="X623" i="61"/>
  <c r="W623" i="61"/>
  <c r="V623" i="61"/>
  <c r="U623" i="61"/>
  <c r="T623" i="61"/>
  <c r="S623" i="61"/>
  <c r="R623" i="61"/>
  <c r="Q623" i="61"/>
  <c r="P623" i="61"/>
  <c r="X622" i="61"/>
  <c r="W622" i="61"/>
  <c r="V622" i="61"/>
  <c r="U622" i="61"/>
  <c r="T622" i="61"/>
  <c r="S622" i="61"/>
  <c r="R622" i="61"/>
  <c r="Q622" i="61"/>
  <c r="P622" i="61"/>
  <c r="X621" i="61"/>
  <c r="W621" i="61"/>
  <c r="V621" i="61"/>
  <c r="U621" i="61"/>
  <c r="T621" i="61"/>
  <c r="S621" i="61"/>
  <c r="R621" i="61"/>
  <c r="Q621" i="61"/>
  <c r="P621" i="61"/>
  <c r="X620" i="61"/>
  <c r="W620" i="61"/>
  <c r="V620" i="61"/>
  <c r="U620" i="61"/>
  <c r="T620" i="61"/>
  <c r="S620" i="61"/>
  <c r="R620" i="61"/>
  <c r="Q620" i="61"/>
  <c r="P620" i="61"/>
  <c r="X619" i="61"/>
  <c r="W619" i="61"/>
  <c r="V619" i="61"/>
  <c r="U619" i="61"/>
  <c r="T619" i="61"/>
  <c r="S619" i="61"/>
  <c r="R619" i="61"/>
  <c r="Q619" i="61"/>
  <c r="P619" i="61"/>
  <c r="X618" i="61"/>
  <c r="W618" i="61"/>
  <c r="V618" i="61"/>
  <c r="U618" i="61"/>
  <c r="T618" i="61"/>
  <c r="S618" i="61"/>
  <c r="R618" i="61"/>
  <c r="Q618" i="61"/>
  <c r="P618" i="61"/>
  <c r="X617" i="61"/>
  <c r="W617" i="61"/>
  <c r="V617" i="61"/>
  <c r="U617" i="61"/>
  <c r="T617" i="61"/>
  <c r="S617" i="61"/>
  <c r="R617" i="61"/>
  <c r="Q617" i="61"/>
  <c r="P617" i="61"/>
  <c r="X616" i="61"/>
  <c r="W616" i="61"/>
  <c r="V616" i="61"/>
  <c r="U616" i="61"/>
  <c r="T616" i="61"/>
  <c r="S616" i="61"/>
  <c r="R616" i="61"/>
  <c r="Q616" i="61"/>
  <c r="P616" i="61"/>
  <c r="X615" i="61"/>
  <c r="W615" i="61"/>
  <c r="V615" i="61"/>
  <c r="U615" i="61"/>
  <c r="T615" i="61"/>
  <c r="S615" i="61"/>
  <c r="R615" i="61"/>
  <c r="Q615" i="61"/>
  <c r="P615" i="61"/>
  <c r="X614" i="61"/>
  <c r="W614" i="61"/>
  <c r="V614" i="61"/>
  <c r="U614" i="61"/>
  <c r="T614" i="61"/>
  <c r="S614" i="61"/>
  <c r="R614" i="61"/>
  <c r="Q614" i="61"/>
  <c r="P614" i="61"/>
  <c r="X613" i="61"/>
  <c r="W613" i="61"/>
  <c r="V613" i="61"/>
  <c r="U613" i="61"/>
  <c r="T613" i="61"/>
  <c r="S613" i="61"/>
  <c r="R613" i="61"/>
  <c r="Q613" i="61"/>
  <c r="P613" i="61"/>
  <c r="X612" i="61"/>
  <c r="W612" i="61"/>
  <c r="V612" i="61"/>
  <c r="U612" i="61"/>
  <c r="T612" i="61"/>
  <c r="S612" i="61"/>
  <c r="R612" i="61"/>
  <c r="Q612" i="61"/>
  <c r="P612" i="61"/>
  <c r="X611" i="61"/>
  <c r="W611" i="61"/>
  <c r="V611" i="61"/>
  <c r="U611" i="61"/>
  <c r="T611" i="61"/>
  <c r="S611" i="61"/>
  <c r="R611" i="61"/>
  <c r="Q611" i="61"/>
  <c r="P611" i="61"/>
  <c r="X610" i="61"/>
  <c r="W610" i="61"/>
  <c r="V610" i="61"/>
  <c r="U610" i="61"/>
  <c r="T610" i="61"/>
  <c r="S610" i="61"/>
  <c r="R610" i="61"/>
  <c r="Q610" i="61"/>
  <c r="P610" i="61"/>
  <c r="X609" i="61"/>
  <c r="W609" i="61"/>
  <c r="V609" i="61"/>
  <c r="U609" i="61"/>
  <c r="T609" i="61"/>
  <c r="S609" i="61"/>
  <c r="R609" i="61"/>
  <c r="Q609" i="61"/>
  <c r="P609" i="61"/>
  <c r="X608" i="61"/>
  <c r="W608" i="61"/>
  <c r="V608" i="61"/>
  <c r="U608" i="61"/>
  <c r="T608" i="61"/>
  <c r="S608" i="61"/>
  <c r="R608" i="61"/>
  <c r="Q608" i="61"/>
  <c r="P608" i="61"/>
  <c r="X607" i="61"/>
  <c r="W607" i="61"/>
  <c r="V607" i="61"/>
  <c r="U607" i="61"/>
  <c r="T607" i="61"/>
  <c r="S607" i="61"/>
  <c r="R607" i="61"/>
  <c r="Q607" i="61"/>
  <c r="P607" i="61"/>
  <c r="X606" i="61"/>
  <c r="W606" i="61"/>
  <c r="V606" i="61"/>
  <c r="U606" i="61"/>
  <c r="T606" i="61"/>
  <c r="S606" i="61"/>
  <c r="R606" i="61"/>
  <c r="Q606" i="61"/>
  <c r="P606" i="61"/>
  <c r="X605" i="61"/>
  <c r="W605" i="61"/>
  <c r="V605" i="61"/>
  <c r="U605" i="61"/>
  <c r="T605" i="61"/>
  <c r="S605" i="61"/>
  <c r="R605" i="61"/>
  <c r="Q605" i="61"/>
  <c r="P605" i="61"/>
  <c r="X604" i="61"/>
  <c r="W604" i="61"/>
  <c r="V604" i="61"/>
  <c r="U604" i="61"/>
  <c r="T604" i="61"/>
  <c r="S604" i="61"/>
  <c r="R604" i="61"/>
  <c r="Q604" i="61"/>
  <c r="P604" i="61"/>
  <c r="X603" i="61"/>
  <c r="W603" i="61"/>
  <c r="V603" i="61"/>
  <c r="U603" i="61"/>
  <c r="T603" i="61"/>
  <c r="S603" i="61"/>
  <c r="R603" i="61"/>
  <c r="Q603" i="61"/>
  <c r="P603" i="61"/>
  <c r="X602" i="61"/>
  <c r="W602" i="61"/>
  <c r="V602" i="61"/>
  <c r="U602" i="61"/>
  <c r="T602" i="61"/>
  <c r="S602" i="61"/>
  <c r="R602" i="61"/>
  <c r="Q602" i="61"/>
  <c r="P602" i="61"/>
  <c r="X601" i="61"/>
  <c r="W601" i="61"/>
  <c r="V601" i="61"/>
  <c r="U601" i="61"/>
  <c r="T601" i="61"/>
  <c r="S601" i="61"/>
  <c r="R601" i="61"/>
  <c r="Q601" i="61"/>
  <c r="P601" i="61"/>
  <c r="X600" i="61"/>
  <c r="W600" i="61"/>
  <c r="V600" i="61"/>
  <c r="U600" i="61"/>
  <c r="T600" i="61"/>
  <c r="S600" i="61"/>
  <c r="R600" i="61"/>
  <c r="Q600" i="61"/>
  <c r="P600" i="61"/>
  <c r="X599" i="61"/>
  <c r="W599" i="61"/>
  <c r="V599" i="61"/>
  <c r="U599" i="61"/>
  <c r="T599" i="61"/>
  <c r="S599" i="61"/>
  <c r="R599" i="61"/>
  <c r="Q599" i="61"/>
  <c r="P599" i="61"/>
  <c r="X598" i="61"/>
  <c r="W598" i="61"/>
  <c r="V598" i="61"/>
  <c r="U598" i="61"/>
  <c r="T598" i="61"/>
  <c r="S598" i="61"/>
  <c r="R598" i="61"/>
  <c r="Q598" i="61"/>
  <c r="P598" i="61"/>
  <c r="X597" i="61"/>
  <c r="W597" i="61"/>
  <c r="V597" i="61"/>
  <c r="U597" i="61"/>
  <c r="T597" i="61"/>
  <c r="S597" i="61"/>
  <c r="R597" i="61"/>
  <c r="Q597" i="61"/>
  <c r="P597" i="61"/>
  <c r="X596" i="61"/>
  <c r="W596" i="61"/>
  <c r="V596" i="61"/>
  <c r="U596" i="61"/>
  <c r="T596" i="61"/>
  <c r="S596" i="61"/>
  <c r="R596" i="61"/>
  <c r="Q596" i="61"/>
  <c r="P596" i="61"/>
  <c r="X595" i="61"/>
  <c r="W595" i="61"/>
  <c r="V595" i="61"/>
  <c r="U595" i="61"/>
  <c r="T595" i="61"/>
  <c r="S595" i="61"/>
  <c r="R595" i="61"/>
  <c r="Q595" i="61"/>
  <c r="P595" i="61"/>
  <c r="X594" i="61"/>
  <c r="W594" i="61"/>
  <c r="V594" i="61"/>
  <c r="U594" i="61"/>
  <c r="T594" i="61"/>
  <c r="S594" i="61"/>
  <c r="R594" i="61"/>
  <c r="Q594" i="61"/>
  <c r="P594" i="61"/>
  <c r="X593" i="61"/>
  <c r="W593" i="61"/>
  <c r="V593" i="61"/>
  <c r="U593" i="61"/>
  <c r="T593" i="61"/>
  <c r="S593" i="61"/>
  <c r="R593" i="61"/>
  <c r="Q593" i="61"/>
  <c r="P593" i="61"/>
  <c r="X592" i="61"/>
  <c r="W592" i="61"/>
  <c r="V592" i="61"/>
  <c r="U592" i="61"/>
  <c r="T592" i="61"/>
  <c r="S592" i="61"/>
  <c r="R592" i="61"/>
  <c r="Q592" i="61"/>
  <c r="P592" i="61"/>
  <c r="X591" i="61"/>
  <c r="W591" i="61"/>
  <c r="V591" i="61"/>
  <c r="U591" i="61"/>
  <c r="T591" i="61"/>
  <c r="S591" i="61"/>
  <c r="R591" i="61"/>
  <c r="Q591" i="61"/>
  <c r="P591" i="61"/>
  <c r="X590" i="61"/>
  <c r="W590" i="61"/>
  <c r="V590" i="61"/>
  <c r="U590" i="61"/>
  <c r="T590" i="61"/>
  <c r="S590" i="61"/>
  <c r="R590" i="61"/>
  <c r="Q590" i="61"/>
  <c r="P590" i="61"/>
  <c r="X589" i="61"/>
  <c r="W589" i="61"/>
  <c r="V589" i="61"/>
  <c r="U589" i="61"/>
  <c r="T589" i="61"/>
  <c r="S589" i="61"/>
  <c r="R589" i="61"/>
  <c r="Q589" i="61"/>
  <c r="P589" i="61"/>
  <c r="X588" i="61"/>
  <c r="W588" i="61"/>
  <c r="V588" i="61"/>
  <c r="U588" i="61"/>
  <c r="T588" i="61"/>
  <c r="S588" i="61"/>
  <c r="R588" i="61"/>
  <c r="Q588" i="61"/>
  <c r="P588" i="61"/>
  <c r="X587" i="61"/>
  <c r="W587" i="61"/>
  <c r="V587" i="61"/>
  <c r="U587" i="61"/>
  <c r="T587" i="61"/>
  <c r="S587" i="61"/>
  <c r="R587" i="61"/>
  <c r="Q587" i="61"/>
  <c r="P587" i="61"/>
  <c r="X586" i="61"/>
  <c r="W586" i="61"/>
  <c r="V586" i="61"/>
  <c r="U586" i="61"/>
  <c r="T586" i="61"/>
  <c r="S586" i="61"/>
  <c r="R586" i="61"/>
  <c r="Q586" i="61"/>
  <c r="P586" i="61"/>
  <c r="X585" i="61"/>
  <c r="W585" i="61"/>
  <c r="V585" i="61"/>
  <c r="U585" i="61"/>
  <c r="T585" i="61"/>
  <c r="S585" i="61"/>
  <c r="R585" i="61"/>
  <c r="Q585" i="61"/>
  <c r="P585" i="61"/>
  <c r="X584" i="61"/>
  <c r="W584" i="61"/>
  <c r="V584" i="61"/>
  <c r="U584" i="61"/>
  <c r="T584" i="61"/>
  <c r="S584" i="61"/>
  <c r="R584" i="61"/>
  <c r="Q584" i="61"/>
  <c r="P584" i="61"/>
  <c r="X583" i="61"/>
  <c r="W583" i="61"/>
  <c r="V583" i="61"/>
  <c r="U583" i="61"/>
  <c r="T583" i="61"/>
  <c r="S583" i="61"/>
  <c r="R583" i="61"/>
  <c r="Q583" i="61"/>
  <c r="P583" i="61"/>
  <c r="X582" i="61"/>
  <c r="W582" i="61"/>
  <c r="V582" i="61"/>
  <c r="U582" i="61"/>
  <c r="T582" i="61"/>
  <c r="S582" i="61"/>
  <c r="R582" i="61"/>
  <c r="Q582" i="61"/>
  <c r="P582" i="61"/>
  <c r="X581" i="61"/>
  <c r="W581" i="61"/>
  <c r="V581" i="61"/>
  <c r="U581" i="61"/>
  <c r="T581" i="61"/>
  <c r="S581" i="61"/>
  <c r="R581" i="61"/>
  <c r="Q581" i="61"/>
  <c r="P581" i="61"/>
  <c r="X580" i="61"/>
  <c r="W580" i="61"/>
  <c r="V580" i="61"/>
  <c r="U580" i="61"/>
  <c r="T580" i="61"/>
  <c r="S580" i="61"/>
  <c r="R580" i="61"/>
  <c r="Q580" i="61"/>
  <c r="P580" i="61"/>
  <c r="X579" i="61"/>
  <c r="W579" i="61"/>
  <c r="V579" i="61"/>
  <c r="U579" i="61"/>
  <c r="T579" i="61"/>
  <c r="S579" i="61"/>
  <c r="R579" i="61"/>
  <c r="Q579" i="61"/>
  <c r="P579" i="61"/>
  <c r="X578" i="61"/>
  <c r="W578" i="61"/>
  <c r="V578" i="61"/>
  <c r="U578" i="61"/>
  <c r="T578" i="61"/>
  <c r="S578" i="61"/>
  <c r="R578" i="61"/>
  <c r="Q578" i="61"/>
  <c r="P578" i="61"/>
  <c r="X577" i="61"/>
  <c r="W577" i="61"/>
  <c r="V577" i="61"/>
  <c r="U577" i="61"/>
  <c r="T577" i="61"/>
  <c r="S577" i="61"/>
  <c r="R577" i="61"/>
  <c r="Q577" i="61"/>
  <c r="P577" i="61"/>
  <c r="X576" i="61"/>
  <c r="W576" i="61"/>
  <c r="V576" i="61"/>
  <c r="U576" i="61"/>
  <c r="T576" i="61"/>
  <c r="S576" i="61"/>
  <c r="R576" i="61"/>
  <c r="Q576" i="61"/>
  <c r="P576" i="61"/>
  <c r="X575" i="61"/>
  <c r="W575" i="61"/>
  <c r="V575" i="61"/>
  <c r="U575" i="61"/>
  <c r="T575" i="61"/>
  <c r="S575" i="61"/>
  <c r="R575" i="61"/>
  <c r="Q575" i="61"/>
  <c r="P575" i="61"/>
  <c r="X574" i="61"/>
  <c r="W574" i="61"/>
  <c r="V574" i="61"/>
  <c r="U574" i="61"/>
  <c r="T574" i="61"/>
  <c r="S574" i="61"/>
  <c r="R574" i="61"/>
  <c r="Q574" i="61"/>
  <c r="P574" i="61"/>
  <c r="X573" i="61"/>
  <c r="W573" i="61"/>
  <c r="V573" i="61"/>
  <c r="U573" i="61"/>
  <c r="T573" i="61"/>
  <c r="S573" i="61"/>
  <c r="R573" i="61"/>
  <c r="Q573" i="61"/>
  <c r="P573" i="61"/>
  <c r="X572" i="61"/>
  <c r="W572" i="61"/>
  <c r="V572" i="61"/>
  <c r="U572" i="61"/>
  <c r="T572" i="61"/>
  <c r="S572" i="61"/>
  <c r="R572" i="61"/>
  <c r="Q572" i="61"/>
  <c r="P572" i="61"/>
  <c r="X571" i="61"/>
  <c r="W571" i="61"/>
  <c r="V571" i="61"/>
  <c r="U571" i="61"/>
  <c r="T571" i="61"/>
  <c r="S571" i="61"/>
  <c r="R571" i="61"/>
  <c r="Q571" i="61"/>
  <c r="P571" i="61"/>
  <c r="X570" i="61"/>
  <c r="W570" i="61"/>
  <c r="V570" i="61"/>
  <c r="U570" i="61"/>
  <c r="T570" i="61"/>
  <c r="S570" i="61"/>
  <c r="R570" i="61"/>
  <c r="Q570" i="61"/>
  <c r="P570" i="61"/>
  <c r="X569" i="61"/>
  <c r="W569" i="61"/>
  <c r="V569" i="61"/>
  <c r="U569" i="61"/>
  <c r="T569" i="61"/>
  <c r="S569" i="61"/>
  <c r="R569" i="61"/>
  <c r="Q569" i="61"/>
  <c r="P569" i="61"/>
  <c r="X568" i="61"/>
  <c r="W568" i="61"/>
  <c r="V568" i="61"/>
  <c r="U568" i="61"/>
  <c r="T568" i="61"/>
  <c r="S568" i="61"/>
  <c r="R568" i="61"/>
  <c r="Q568" i="61"/>
  <c r="P568" i="61"/>
  <c r="X567" i="61"/>
  <c r="W567" i="61"/>
  <c r="V567" i="61"/>
  <c r="U567" i="61"/>
  <c r="T567" i="61"/>
  <c r="S567" i="61"/>
  <c r="R567" i="61"/>
  <c r="Q567" i="61"/>
  <c r="P567" i="61"/>
  <c r="X566" i="61"/>
  <c r="W566" i="61"/>
  <c r="V566" i="61"/>
  <c r="U566" i="61"/>
  <c r="T566" i="61"/>
  <c r="S566" i="61"/>
  <c r="R566" i="61"/>
  <c r="Q566" i="61"/>
  <c r="P566" i="61"/>
  <c r="X565" i="61"/>
  <c r="W565" i="61"/>
  <c r="V565" i="61"/>
  <c r="U565" i="61"/>
  <c r="T565" i="61"/>
  <c r="S565" i="61"/>
  <c r="R565" i="61"/>
  <c r="Q565" i="61"/>
  <c r="P565" i="61"/>
  <c r="X564" i="61"/>
  <c r="W564" i="61"/>
  <c r="V564" i="61"/>
  <c r="U564" i="61"/>
  <c r="T564" i="61"/>
  <c r="S564" i="61"/>
  <c r="R564" i="61"/>
  <c r="Q564" i="61"/>
  <c r="P564" i="61"/>
  <c r="X563" i="61"/>
  <c r="W563" i="61"/>
  <c r="V563" i="61"/>
  <c r="U563" i="61"/>
  <c r="T563" i="61"/>
  <c r="S563" i="61"/>
  <c r="R563" i="61"/>
  <c r="Q563" i="61"/>
  <c r="P563" i="61"/>
  <c r="X562" i="61"/>
  <c r="W562" i="61"/>
  <c r="V562" i="61"/>
  <c r="U562" i="61"/>
  <c r="T562" i="61"/>
  <c r="S562" i="61"/>
  <c r="R562" i="61"/>
  <c r="Q562" i="61"/>
  <c r="P562" i="61"/>
  <c r="X561" i="61"/>
  <c r="W561" i="61"/>
  <c r="V561" i="61"/>
  <c r="U561" i="61"/>
  <c r="T561" i="61"/>
  <c r="S561" i="61"/>
  <c r="R561" i="61"/>
  <c r="Q561" i="61"/>
  <c r="P561" i="61"/>
  <c r="X560" i="61"/>
  <c r="W560" i="61"/>
  <c r="V560" i="61"/>
  <c r="U560" i="61"/>
  <c r="T560" i="61"/>
  <c r="S560" i="61"/>
  <c r="R560" i="61"/>
  <c r="Q560" i="61"/>
  <c r="P560" i="61"/>
  <c r="X559" i="61"/>
  <c r="W559" i="61"/>
  <c r="V559" i="61"/>
  <c r="U559" i="61"/>
  <c r="T559" i="61"/>
  <c r="S559" i="61"/>
  <c r="R559" i="61"/>
  <c r="Q559" i="61"/>
  <c r="P559" i="61"/>
  <c r="X558" i="61"/>
  <c r="W558" i="61"/>
  <c r="V558" i="61"/>
  <c r="U558" i="61"/>
  <c r="T558" i="61"/>
  <c r="S558" i="61"/>
  <c r="R558" i="61"/>
  <c r="Q558" i="61"/>
  <c r="P558" i="61"/>
  <c r="X557" i="61"/>
  <c r="W557" i="61"/>
  <c r="V557" i="61"/>
  <c r="U557" i="61"/>
  <c r="T557" i="61"/>
  <c r="S557" i="61"/>
  <c r="R557" i="61"/>
  <c r="Q557" i="61"/>
  <c r="P557" i="61"/>
  <c r="X556" i="61"/>
  <c r="W556" i="61"/>
  <c r="V556" i="61"/>
  <c r="U556" i="61"/>
  <c r="T556" i="61"/>
  <c r="S556" i="61"/>
  <c r="R556" i="61"/>
  <c r="Q556" i="61"/>
  <c r="P556" i="61"/>
  <c r="X555" i="61"/>
  <c r="W555" i="61"/>
  <c r="V555" i="61"/>
  <c r="U555" i="61"/>
  <c r="T555" i="61"/>
  <c r="S555" i="61"/>
  <c r="R555" i="61"/>
  <c r="Q555" i="61"/>
  <c r="P555" i="61"/>
  <c r="X554" i="61"/>
  <c r="W554" i="61"/>
  <c r="V554" i="61"/>
  <c r="U554" i="61"/>
  <c r="T554" i="61"/>
  <c r="S554" i="61"/>
  <c r="R554" i="61"/>
  <c r="Q554" i="61"/>
  <c r="P554" i="61"/>
  <c r="X553" i="61"/>
  <c r="W553" i="61"/>
  <c r="V553" i="61"/>
  <c r="U553" i="61"/>
  <c r="T553" i="61"/>
  <c r="S553" i="61"/>
  <c r="R553" i="61"/>
  <c r="Q553" i="61"/>
  <c r="P553" i="61"/>
  <c r="X552" i="61"/>
  <c r="W552" i="61"/>
  <c r="V552" i="61"/>
  <c r="U552" i="61"/>
  <c r="T552" i="61"/>
  <c r="S552" i="61"/>
  <c r="R552" i="61"/>
  <c r="Q552" i="61"/>
  <c r="P552" i="61"/>
  <c r="X551" i="61"/>
  <c r="W551" i="61"/>
  <c r="V551" i="61"/>
  <c r="U551" i="61"/>
  <c r="T551" i="61"/>
  <c r="S551" i="61"/>
  <c r="R551" i="61"/>
  <c r="Q551" i="61"/>
  <c r="P551" i="61"/>
  <c r="X550" i="61"/>
  <c r="W550" i="61"/>
  <c r="V550" i="61"/>
  <c r="U550" i="61"/>
  <c r="T550" i="61"/>
  <c r="S550" i="61"/>
  <c r="R550" i="61"/>
  <c r="Q550" i="61"/>
  <c r="P550" i="61"/>
  <c r="X549" i="61"/>
  <c r="W549" i="61"/>
  <c r="V549" i="61"/>
  <c r="U549" i="61"/>
  <c r="T549" i="61"/>
  <c r="S549" i="61"/>
  <c r="R549" i="61"/>
  <c r="Q549" i="61"/>
  <c r="P549" i="61"/>
  <c r="X548" i="61"/>
  <c r="W548" i="61"/>
  <c r="V548" i="61"/>
  <c r="U548" i="61"/>
  <c r="T548" i="61"/>
  <c r="S548" i="61"/>
  <c r="R548" i="61"/>
  <c r="Q548" i="61"/>
  <c r="P548" i="61"/>
  <c r="X547" i="61"/>
  <c r="W547" i="61"/>
  <c r="V547" i="61"/>
  <c r="U547" i="61"/>
  <c r="T547" i="61"/>
  <c r="S547" i="61"/>
  <c r="R547" i="61"/>
  <c r="Q547" i="61"/>
  <c r="P547" i="61"/>
  <c r="X546" i="61"/>
  <c r="W546" i="61"/>
  <c r="V546" i="61"/>
  <c r="U546" i="61"/>
  <c r="T546" i="61"/>
  <c r="S546" i="61"/>
  <c r="R546" i="61"/>
  <c r="Q546" i="61"/>
  <c r="P546" i="61"/>
  <c r="X545" i="61"/>
  <c r="W545" i="61"/>
  <c r="V545" i="61"/>
  <c r="U545" i="61"/>
  <c r="T545" i="61"/>
  <c r="S545" i="61"/>
  <c r="R545" i="61"/>
  <c r="Q545" i="61"/>
  <c r="P545" i="61"/>
  <c r="X544" i="61"/>
  <c r="W544" i="61"/>
  <c r="V544" i="61"/>
  <c r="U544" i="61"/>
  <c r="T544" i="61"/>
  <c r="S544" i="61"/>
  <c r="R544" i="61"/>
  <c r="Q544" i="61"/>
  <c r="P544" i="61"/>
  <c r="X543" i="61"/>
  <c r="W543" i="61"/>
  <c r="V543" i="61"/>
  <c r="U543" i="61"/>
  <c r="T543" i="61"/>
  <c r="S543" i="61"/>
  <c r="R543" i="61"/>
  <c r="Q543" i="61"/>
  <c r="P543" i="61"/>
  <c r="X542" i="61"/>
  <c r="W542" i="61"/>
  <c r="V542" i="61"/>
  <c r="U542" i="61"/>
  <c r="T542" i="61"/>
  <c r="S542" i="61"/>
  <c r="R542" i="61"/>
  <c r="Q542" i="61"/>
  <c r="P542" i="61"/>
  <c r="X541" i="61"/>
  <c r="W541" i="61"/>
  <c r="V541" i="61"/>
  <c r="U541" i="61"/>
  <c r="T541" i="61"/>
  <c r="S541" i="61"/>
  <c r="R541" i="61"/>
  <c r="Q541" i="61"/>
  <c r="P541" i="61"/>
  <c r="X540" i="61"/>
  <c r="W540" i="61"/>
  <c r="V540" i="61"/>
  <c r="U540" i="61"/>
  <c r="T540" i="61"/>
  <c r="S540" i="61"/>
  <c r="R540" i="61"/>
  <c r="Q540" i="61"/>
  <c r="P540" i="61"/>
  <c r="X539" i="61"/>
  <c r="W539" i="61"/>
  <c r="V539" i="61"/>
  <c r="U539" i="61"/>
  <c r="T539" i="61"/>
  <c r="S539" i="61"/>
  <c r="R539" i="61"/>
  <c r="Q539" i="61"/>
  <c r="P539" i="61"/>
  <c r="X538" i="61"/>
  <c r="W538" i="61"/>
  <c r="V538" i="61"/>
  <c r="U538" i="61"/>
  <c r="T538" i="61"/>
  <c r="S538" i="61"/>
  <c r="R538" i="61"/>
  <c r="Q538" i="61"/>
  <c r="P538" i="61"/>
  <c r="X537" i="61"/>
  <c r="W537" i="61"/>
  <c r="V537" i="61"/>
  <c r="U537" i="61"/>
  <c r="T537" i="61"/>
  <c r="S537" i="61"/>
  <c r="R537" i="61"/>
  <c r="Q537" i="61"/>
  <c r="P537" i="61"/>
  <c r="X536" i="61"/>
  <c r="W536" i="61"/>
  <c r="V536" i="61"/>
  <c r="U536" i="61"/>
  <c r="T536" i="61"/>
  <c r="S536" i="61"/>
  <c r="R536" i="61"/>
  <c r="Q536" i="61"/>
  <c r="P536" i="61"/>
  <c r="X535" i="61"/>
  <c r="W535" i="61"/>
  <c r="V535" i="61"/>
  <c r="U535" i="61"/>
  <c r="T535" i="61"/>
  <c r="S535" i="61"/>
  <c r="R535" i="61"/>
  <c r="Q535" i="61"/>
  <c r="P535" i="61"/>
  <c r="X534" i="61"/>
  <c r="W534" i="61"/>
  <c r="V534" i="61"/>
  <c r="U534" i="61"/>
  <c r="T534" i="61"/>
  <c r="S534" i="61"/>
  <c r="R534" i="61"/>
  <c r="Q534" i="61"/>
  <c r="P534" i="61"/>
  <c r="X533" i="61"/>
  <c r="W533" i="61"/>
  <c r="V533" i="61"/>
  <c r="U533" i="61"/>
  <c r="T533" i="61"/>
  <c r="S533" i="61"/>
  <c r="R533" i="61"/>
  <c r="Q533" i="61"/>
  <c r="P533" i="61"/>
  <c r="X532" i="61"/>
  <c r="W532" i="61"/>
  <c r="V532" i="61"/>
  <c r="U532" i="61"/>
  <c r="T532" i="61"/>
  <c r="S532" i="61"/>
  <c r="R532" i="61"/>
  <c r="Q532" i="61"/>
  <c r="P532" i="61"/>
  <c r="X531" i="61"/>
  <c r="W531" i="61"/>
  <c r="V531" i="61"/>
  <c r="U531" i="61"/>
  <c r="T531" i="61"/>
  <c r="S531" i="61"/>
  <c r="R531" i="61"/>
  <c r="Q531" i="61"/>
  <c r="P531" i="61"/>
  <c r="X530" i="61"/>
  <c r="W530" i="61"/>
  <c r="V530" i="61"/>
  <c r="U530" i="61"/>
  <c r="T530" i="61"/>
  <c r="S530" i="61"/>
  <c r="R530" i="61"/>
  <c r="Q530" i="61"/>
  <c r="P530" i="61"/>
  <c r="X529" i="61"/>
  <c r="W529" i="61"/>
  <c r="V529" i="61"/>
  <c r="U529" i="61"/>
  <c r="T529" i="61"/>
  <c r="S529" i="61"/>
  <c r="R529" i="61"/>
  <c r="Q529" i="61"/>
  <c r="P529" i="61"/>
  <c r="X528" i="61"/>
  <c r="W528" i="61"/>
  <c r="V528" i="61"/>
  <c r="U528" i="61"/>
  <c r="T528" i="61"/>
  <c r="S528" i="61"/>
  <c r="R528" i="61"/>
  <c r="Q528" i="61"/>
  <c r="P528" i="61"/>
  <c r="X527" i="61"/>
  <c r="W527" i="61"/>
  <c r="V527" i="61"/>
  <c r="U527" i="61"/>
  <c r="T527" i="61"/>
  <c r="S527" i="61"/>
  <c r="R527" i="61"/>
  <c r="Q527" i="61"/>
  <c r="P527" i="61"/>
  <c r="X526" i="61"/>
  <c r="W526" i="61"/>
  <c r="V526" i="61"/>
  <c r="U526" i="61"/>
  <c r="T526" i="61"/>
  <c r="S526" i="61"/>
  <c r="R526" i="61"/>
  <c r="Q526" i="61"/>
  <c r="P526" i="61"/>
  <c r="X525" i="61"/>
  <c r="W525" i="61"/>
  <c r="V525" i="61"/>
  <c r="U525" i="61"/>
  <c r="T525" i="61"/>
  <c r="S525" i="61"/>
  <c r="R525" i="61"/>
  <c r="Q525" i="61"/>
  <c r="P525" i="61"/>
  <c r="X524" i="61"/>
  <c r="W524" i="61"/>
  <c r="V524" i="61"/>
  <c r="U524" i="61"/>
  <c r="T524" i="61"/>
  <c r="S524" i="61"/>
  <c r="R524" i="61"/>
  <c r="Q524" i="61"/>
  <c r="P524" i="61"/>
  <c r="X523" i="61"/>
  <c r="W523" i="61"/>
  <c r="V523" i="61"/>
  <c r="U523" i="61"/>
  <c r="T523" i="61"/>
  <c r="S523" i="61"/>
  <c r="R523" i="61"/>
  <c r="Q523" i="61"/>
  <c r="P523" i="61"/>
  <c r="X522" i="61"/>
  <c r="W522" i="61"/>
  <c r="V522" i="61"/>
  <c r="U522" i="61"/>
  <c r="T522" i="61"/>
  <c r="S522" i="61"/>
  <c r="R522" i="61"/>
  <c r="Q522" i="61"/>
  <c r="P522" i="61"/>
  <c r="X521" i="61"/>
  <c r="W521" i="61"/>
  <c r="V521" i="61"/>
  <c r="U521" i="61"/>
  <c r="T521" i="61"/>
  <c r="S521" i="61"/>
  <c r="R521" i="61"/>
  <c r="Q521" i="61"/>
  <c r="P521" i="61"/>
  <c r="X520" i="61"/>
  <c r="W520" i="61"/>
  <c r="V520" i="61"/>
  <c r="U520" i="61"/>
  <c r="T520" i="61"/>
  <c r="S520" i="61"/>
  <c r="R520" i="61"/>
  <c r="Q520" i="61"/>
  <c r="P520" i="61"/>
  <c r="X519" i="61"/>
  <c r="W519" i="61"/>
  <c r="V519" i="61"/>
  <c r="U519" i="61"/>
  <c r="T519" i="61"/>
  <c r="S519" i="61"/>
  <c r="R519" i="61"/>
  <c r="Q519" i="61"/>
  <c r="P519" i="61"/>
  <c r="X518" i="61"/>
  <c r="W518" i="61"/>
  <c r="V518" i="61"/>
  <c r="U518" i="61"/>
  <c r="T518" i="61"/>
  <c r="S518" i="61"/>
  <c r="R518" i="61"/>
  <c r="Q518" i="61"/>
  <c r="P518" i="61"/>
  <c r="X517" i="61"/>
  <c r="W517" i="61"/>
  <c r="V517" i="61"/>
  <c r="U517" i="61"/>
  <c r="T517" i="61"/>
  <c r="S517" i="61"/>
  <c r="R517" i="61"/>
  <c r="Q517" i="61"/>
  <c r="P517" i="61"/>
  <c r="X516" i="61"/>
  <c r="W516" i="61"/>
  <c r="V516" i="61"/>
  <c r="U516" i="61"/>
  <c r="T516" i="61"/>
  <c r="S516" i="61"/>
  <c r="R516" i="61"/>
  <c r="Q516" i="61"/>
  <c r="P516" i="61"/>
  <c r="X515" i="61"/>
  <c r="W515" i="61"/>
  <c r="V515" i="61"/>
  <c r="U515" i="61"/>
  <c r="T515" i="61"/>
  <c r="S515" i="61"/>
  <c r="R515" i="61"/>
  <c r="Q515" i="61"/>
  <c r="P515" i="61"/>
  <c r="X514" i="61"/>
  <c r="W514" i="61"/>
  <c r="V514" i="61"/>
  <c r="U514" i="61"/>
  <c r="T514" i="61"/>
  <c r="S514" i="61"/>
  <c r="R514" i="61"/>
  <c r="Q514" i="61"/>
  <c r="P514" i="61"/>
  <c r="X513" i="61"/>
  <c r="W513" i="61"/>
  <c r="V513" i="61"/>
  <c r="U513" i="61"/>
  <c r="T513" i="61"/>
  <c r="S513" i="61"/>
  <c r="R513" i="61"/>
  <c r="Q513" i="61"/>
  <c r="P513" i="61"/>
  <c r="X512" i="61"/>
  <c r="W512" i="61"/>
  <c r="V512" i="61"/>
  <c r="U512" i="61"/>
  <c r="T512" i="61"/>
  <c r="S512" i="61"/>
  <c r="R512" i="61"/>
  <c r="Q512" i="61"/>
  <c r="P512" i="61"/>
  <c r="X511" i="61"/>
  <c r="W511" i="61"/>
  <c r="V511" i="61"/>
  <c r="U511" i="61"/>
  <c r="T511" i="61"/>
  <c r="S511" i="61"/>
  <c r="R511" i="61"/>
  <c r="Q511" i="61"/>
  <c r="P511" i="61"/>
  <c r="X510" i="61"/>
  <c r="W510" i="61"/>
  <c r="V510" i="61"/>
  <c r="U510" i="61"/>
  <c r="T510" i="61"/>
  <c r="S510" i="61"/>
  <c r="R510" i="61"/>
  <c r="Q510" i="61"/>
  <c r="P510" i="61"/>
  <c r="X509" i="61"/>
  <c r="W509" i="61"/>
  <c r="V509" i="61"/>
  <c r="U509" i="61"/>
  <c r="T509" i="61"/>
  <c r="S509" i="61"/>
  <c r="R509" i="61"/>
  <c r="Q509" i="61"/>
  <c r="P509" i="61"/>
  <c r="X508" i="61"/>
  <c r="W508" i="61"/>
  <c r="V508" i="61"/>
  <c r="U508" i="61"/>
  <c r="T508" i="61"/>
  <c r="S508" i="61"/>
  <c r="R508" i="61"/>
  <c r="Q508" i="61"/>
  <c r="P508" i="61"/>
  <c r="X507" i="61"/>
  <c r="W507" i="61"/>
  <c r="V507" i="61"/>
  <c r="U507" i="61"/>
  <c r="T507" i="61"/>
  <c r="S507" i="61"/>
  <c r="R507" i="61"/>
  <c r="Q507" i="61"/>
  <c r="P507" i="61"/>
  <c r="X506" i="61"/>
  <c r="W506" i="61"/>
  <c r="V506" i="61"/>
  <c r="U506" i="61"/>
  <c r="T506" i="61"/>
  <c r="S506" i="61"/>
  <c r="R506" i="61"/>
  <c r="Q506" i="61"/>
  <c r="P506" i="61"/>
  <c r="X505" i="61"/>
  <c r="W505" i="61"/>
  <c r="V505" i="61"/>
  <c r="U505" i="61"/>
  <c r="T505" i="61"/>
  <c r="S505" i="61"/>
  <c r="R505" i="61"/>
  <c r="Q505" i="61"/>
  <c r="P505" i="61"/>
  <c r="X504" i="61"/>
  <c r="W504" i="61"/>
  <c r="V504" i="61"/>
  <c r="U504" i="61"/>
  <c r="T504" i="61"/>
  <c r="S504" i="61"/>
  <c r="R504" i="61"/>
  <c r="Q504" i="61"/>
  <c r="P504" i="61"/>
  <c r="X503" i="61"/>
  <c r="W503" i="61"/>
  <c r="V503" i="61"/>
  <c r="U503" i="61"/>
  <c r="T503" i="61"/>
  <c r="S503" i="61"/>
  <c r="R503" i="61"/>
  <c r="Q503" i="61"/>
  <c r="P503" i="61"/>
  <c r="X502" i="61"/>
  <c r="W502" i="61"/>
  <c r="V502" i="61"/>
  <c r="U502" i="61"/>
  <c r="T502" i="61"/>
  <c r="S502" i="61"/>
  <c r="R502" i="61"/>
  <c r="Q502" i="61"/>
  <c r="P502" i="61"/>
  <c r="X501" i="61"/>
  <c r="W501" i="61"/>
  <c r="V501" i="61"/>
  <c r="U501" i="61"/>
  <c r="T501" i="61"/>
  <c r="S501" i="61"/>
  <c r="R501" i="61"/>
  <c r="Q501" i="61"/>
  <c r="P501" i="61"/>
  <c r="X500" i="61"/>
  <c r="W500" i="61"/>
  <c r="V500" i="61"/>
  <c r="U500" i="61"/>
  <c r="T500" i="61"/>
  <c r="S500" i="61"/>
  <c r="R500" i="61"/>
  <c r="Q500" i="61"/>
  <c r="P500" i="61"/>
  <c r="X499" i="61"/>
  <c r="W499" i="61"/>
  <c r="V499" i="61"/>
  <c r="U499" i="61"/>
  <c r="T499" i="61"/>
  <c r="S499" i="61"/>
  <c r="R499" i="61"/>
  <c r="Q499" i="61"/>
  <c r="P499" i="61"/>
  <c r="X498" i="61"/>
  <c r="W498" i="61"/>
  <c r="V498" i="61"/>
  <c r="U498" i="61"/>
  <c r="T498" i="61"/>
  <c r="S498" i="61"/>
  <c r="R498" i="61"/>
  <c r="Q498" i="61"/>
  <c r="P498" i="61"/>
  <c r="X497" i="61"/>
  <c r="W497" i="61"/>
  <c r="V497" i="61"/>
  <c r="U497" i="61"/>
  <c r="T497" i="61"/>
  <c r="S497" i="61"/>
  <c r="R497" i="61"/>
  <c r="Q497" i="61"/>
  <c r="P497" i="61"/>
  <c r="X496" i="61"/>
  <c r="W496" i="61"/>
  <c r="V496" i="61"/>
  <c r="U496" i="61"/>
  <c r="T496" i="61"/>
  <c r="S496" i="61"/>
  <c r="R496" i="61"/>
  <c r="Q496" i="61"/>
  <c r="P496" i="61"/>
  <c r="X495" i="61"/>
  <c r="W495" i="61"/>
  <c r="V495" i="61"/>
  <c r="U495" i="61"/>
  <c r="T495" i="61"/>
  <c r="S495" i="61"/>
  <c r="R495" i="61"/>
  <c r="Q495" i="61"/>
  <c r="P495" i="61"/>
  <c r="X494" i="61"/>
  <c r="W494" i="61"/>
  <c r="V494" i="61"/>
  <c r="U494" i="61"/>
  <c r="T494" i="61"/>
  <c r="S494" i="61"/>
  <c r="R494" i="61"/>
  <c r="Q494" i="61"/>
  <c r="P494" i="61"/>
  <c r="X493" i="61"/>
  <c r="W493" i="61"/>
  <c r="V493" i="61"/>
  <c r="U493" i="61"/>
  <c r="T493" i="61"/>
  <c r="S493" i="61"/>
  <c r="R493" i="61"/>
  <c r="Q493" i="61"/>
  <c r="P493" i="61"/>
  <c r="X492" i="61"/>
  <c r="W492" i="61"/>
  <c r="V492" i="61"/>
  <c r="U492" i="61"/>
  <c r="T492" i="61"/>
  <c r="S492" i="61"/>
  <c r="R492" i="61"/>
  <c r="Q492" i="61"/>
  <c r="P492" i="61"/>
  <c r="X491" i="61"/>
  <c r="W491" i="61"/>
  <c r="V491" i="61"/>
  <c r="U491" i="61"/>
  <c r="T491" i="61"/>
  <c r="S491" i="61"/>
  <c r="R491" i="61"/>
  <c r="Q491" i="61"/>
  <c r="P491" i="61"/>
  <c r="X490" i="61"/>
  <c r="W490" i="61"/>
  <c r="V490" i="61"/>
  <c r="U490" i="61"/>
  <c r="T490" i="61"/>
  <c r="S490" i="61"/>
  <c r="R490" i="61"/>
  <c r="Q490" i="61"/>
  <c r="P490" i="61"/>
  <c r="X489" i="61"/>
  <c r="W489" i="61"/>
  <c r="V489" i="61"/>
  <c r="U489" i="61"/>
  <c r="T489" i="61"/>
  <c r="S489" i="61"/>
  <c r="R489" i="61"/>
  <c r="Q489" i="61"/>
  <c r="P489" i="61"/>
  <c r="X488" i="61"/>
  <c r="W488" i="61"/>
  <c r="V488" i="61"/>
  <c r="U488" i="61"/>
  <c r="T488" i="61"/>
  <c r="S488" i="61"/>
  <c r="R488" i="61"/>
  <c r="Q488" i="61"/>
  <c r="P488" i="61"/>
  <c r="X487" i="61"/>
  <c r="W487" i="61"/>
  <c r="V487" i="61"/>
  <c r="U487" i="61"/>
  <c r="T487" i="61"/>
  <c r="S487" i="61"/>
  <c r="R487" i="61"/>
  <c r="Q487" i="61"/>
  <c r="P487" i="61"/>
  <c r="X486" i="61"/>
  <c r="W486" i="61"/>
  <c r="V486" i="61"/>
  <c r="U486" i="61"/>
  <c r="T486" i="61"/>
  <c r="S486" i="61"/>
  <c r="R486" i="61"/>
  <c r="Q486" i="61"/>
  <c r="P486" i="61"/>
  <c r="X485" i="61"/>
  <c r="W485" i="61"/>
  <c r="V485" i="61"/>
  <c r="U485" i="61"/>
  <c r="T485" i="61"/>
  <c r="S485" i="61"/>
  <c r="R485" i="61"/>
  <c r="Q485" i="61"/>
  <c r="P485" i="61"/>
  <c r="X484" i="61"/>
  <c r="W484" i="61"/>
  <c r="V484" i="61"/>
  <c r="U484" i="61"/>
  <c r="T484" i="61"/>
  <c r="S484" i="61"/>
  <c r="R484" i="61"/>
  <c r="Q484" i="61"/>
  <c r="P484" i="61"/>
  <c r="X483" i="61"/>
  <c r="W483" i="61"/>
  <c r="V483" i="61"/>
  <c r="U483" i="61"/>
  <c r="T483" i="61"/>
  <c r="S483" i="61"/>
  <c r="R483" i="61"/>
  <c r="Q483" i="61"/>
  <c r="P483" i="61"/>
  <c r="X482" i="61"/>
  <c r="W482" i="61"/>
  <c r="V482" i="61"/>
  <c r="U482" i="61"/>
  <c r="T482" i="61"/>
  <c r="S482" i="61"/>
  <c r="R482" i="61"/>
  <c r="Q482" i="61"/>
  <c r="P482" i="61"/>
  <c r="X481" i="61"/>
  <c r="W481" i="61"/>
  <c r="V481" i="61"/>
  <c r="U481" i="61"/>
  <c r="T481" i="61"/>
  <c r="S481" i="61"/>
  <c r="R481" i="61"/>
  <c r="Q481" i="61"/>
  <c r="P481" i="61"/>
  <c r="X480" i="61"/>
  <c r="W480" i="61"/>
  <c r="V480" i="61"/>
  <c r="U480" i="61"/>
  <c r="T480" i="61"/>
  <c r="S480" i="61"/>
  <c r="R480" i="61"/>
  <c r="Q480" i="61"/>
  <c r="P480" i="61"/>
  <c r="X479" i="61"/>
  <c r="W479" i="61"/>
  <c r="V479" i="61"/>
  <c r="U479" i="61"/>
  <c r="T479" i="61"/>
  <c r="S479" i="61"/>
  <c r="R479" i="61"/>
  <c r="Q479" i="61"/>
  <c r="P479" i="61"/>
  <c r="X478" i="61"/>
  <c r="W478" i="61"/>
  <c r="V478" i="61"/>
  <c r="U478" i="61"/>
  <c r="T478" i="61"/>
  <c r="S478" i="61"/>
  <c r="R478" i="61"/>
  <c r="Q478" i="61"/>
  <c r="P478" i="61"/>
  <c r="X477" i="61"/>
  <c r="W477" i="61"/>
  <c r="V477" i="61"/>
  <c r="U477" i="61"/>
  <c r="T477" i="61"/>
  <c r="S477" i="61"/>
  <c r="R477" i="61"/>
  <c r="Q477" i="61"/>
  <c r="P477" i="61"/>
  <c r="X476" i="61"/>
  <c r="W476" i="61"/>
  <c r="V476" i="61"/>
  <c r="U476" i="61"/>
  <c r="T476" i="61"/>
  <c r="S476" i="61"/>
  <c r="R476" i="61"/>
  <c r="Q476" i="61"/>
  <c r="P476" i="61"/>
  <c r="X475" i="61"/>
  <c r="W475" i="61"/>
  <c r="V475" i="61"/>
  <c r="U475" i="61"/>
  <c r="T475" i="61"/>
  <c r="S475" i="61"/>
  <c r="R475" i="61"/>
  <c r="Q475" i="61"/>
  <c r="P475" i="61"/>
  <c r="X474" i="61"/>
  <c r="W474" i="61"/>
  <c r="V474" i="61"/>
  <c r="U474" i="61"/>
  <c r="T474" i="61"/>
  <c r="S474" i="61"/>
  <c r="R474" i="61"/>
  <c r="Q474" i="61"/>
  <c r="P474" i="61"/>
  <c r="X473" i="61"/>
  <c r="W473" i="61"/>
  <c r="V473" i="61"/>
  <c r="U473" i="61"/>
  <c r="T473" i="61"/>
  <c r="S473" i="61"/>
  <c r="R473" i="61"/>
  <c r="Q473" i="61"/>
  <c r="P473" i="61"/>
  <c r="X472" i="61"/>
  <c r="W472" i="61"/>
  <c r="V472" i="61"/>
  <c r="U472" i="61"/>
  <c r="T472" i="61"/>
  <c r="S472" i="61"/>
  <c r="R472" i="61"/>
  <c r="Q472" i="61"/>
  <c r="P472" i="61"/>
  <c r="X471" i="61"/>
  <c r="W471" i="61"/>
  <c r="V471" i="61"/>
  <c r="U471" i="61"/>
  <c r="T471" i="61"/>
  <c r="S471" i="61"/>
  <c r="R471" i="61"/>
  <c r="Q471" i="61"/>
  <c r="P471" i="61"/>
  <c r="X470" i="61"/>
  <c r="W470" i="61"/>
  <c r="V470" i="61"/>
  <c r="U470" i="61"/>
  <c r="T470" i="61"/>
  <c r="S470" i="61"/>
  <c r="R470" i="61"/>
  <c r="Q470" i="61"/>
  <c r="P470" i="61"/>
  <c r="X469" i="61"/>
  <c r="W469" i="61"/>
  <c r="V469" i="61"/>
  <c r="U469" i="61"/>
  <c r="T469" i="61"/>
  <c r="S469" i="61"/>
  <c r="R469" i="61"/>
  <c r="Q469" i="61"/>
  <c r="P469" i="61"/>
  <c r="X468" i="61"/>
  <c r="W468" i="61"/>
  <c r="V468" i="61"/>
  <c r="U468" i="61"/>
  <c r="T468" i="61"/>
  <c r="S468" i="61"/>
  <c r="R468" i="61"/>
  <c r="Q468" i="61"/>
  <c r="P468" i="61"/>
  <c r="X467" i="61"/>
  <c r="W467" i="61"/>
  <c r="V467" i="61"/>
  <c r="U467" i="61"/>
  <c r="T467" i="61"/>
  <c r="S467" i="61"/>
  <c r="R467" i="61"/>
  <c r="Q467" i="61"/>
  <c r="P467" i="61"/>
  <c r="X466" i="61"/>
  <c r="W466" i="61"/>
  <c r="V466" i="61"/>
  <c r="U466" i="61"/>
  <c r="T466" i="61"/>
  <c r="S466" i="61"/>
  <c r="R466" i="61"/>
  <c r="Q466" i="61"/>
  <c r="P466" i="61"/>
  <c r="X465" i="61"/>
  <c r="W465" i="61"/>
  <c r="V465" i="61"/>
  <c r="U465" i="61"/>
  <c r="T465" i="61"/>
  <c r="S465" i="61"/>
  <c r="R465" i="61"/>
  <c r="Q465" i="61"/>
  <c r="P465" i="61"/>
  <c r="X464" i="61"/>
  <c r="W464" i="61"/>
  <c r="V464" i="61"/>
  <c r="U464" i="61"/>
  <c r="T464" i="61"/>
  <c r="S464" i="61"/>
  <c r="R464" i="61"/>
  <c r="Q464" i="61"/>
  <c r="P464" i="61"/>
  <c r="X463" i="61"/>
  <c r="W463" i="61"/>
  <c r="V463" i="61"/>
  <c r="U463" i="61"/>
  <c r="T463" i="61"/>
  <c r="S463" i="61"/>
  <c r="R463" i="61"/>
  <c r="Q463" i="61"/>
  <c r="P463" i="61"/>
  <c r="X462" i="61"/>
  <c r="W462" i="61"/>
  <c r="V462" i="61"/>
  <c r="U462" i="61"/>
  <c r="T462" i="61"/>
  <c r="S462" i="61"/>
  <c r="R462" i="61"/>
  <c r="Q462" i="61"/>
  <c r="P462" i="61"/>
  <c r="X461" i="61"/>
  <c r="W461" i="61"/>
  <c r="V461" i="61"/>
  <c r="U461" i="61"/>
  <c r="T461" i="61"/>
  <c r="S461" i="61"/>
  <c r="R461" i="61"/>
  <c r="Q461" i="61"/>
  <c r="P461" i="61"/>
  <c r="X460" i="61"/>
  <c r="W460" i="61"/>
  <c r="V460" i="61"/>
  <c r="U460" i="61"/>
  <c r="T460" i="61"/>
  <c r="S460" i="61"/>
  <c r="R460" i="61"/>
  <c r="Q460" i="61"/>
  <c r="P460" i="61"/>
  <c r="X459" i="61"/>
  <c r="W459" i="61"/>
  <c r="V459" i="61"/>
  <c r="U459" i="61"/>
  <c r="T459" i="61"/>
  <c r="S459" i="61"/>
  <c r="R459" i="61"/>
  <c r="Q459" i="61"/>
  <c r="P459" i="61"/>
  <c r="X458" i="61"/>
  <c r="W458" i="61"/>
  <c r="V458" i="61"/>
  <c r="U458" i="61"/>
  <c r="T458" i="61"/>
  <c r="S458" i="61"/>
  <c r="R458" i="61"/>
  <c r="Q458" i="61"/>
  <c r="P458" i="61"/>
  <c r="X457" i="61"/>
  <c r="W457" i="61"/>
  <c r="V457" i="61"/>
  <c r="U457" i="61"/>
  <c r="T457" i="61"/>
  <c r="S457" i="61"/>
  <c r="R457" i="61"/>
  <c r="Q457" i="61"/>
  <c r="P457" i="61"/>
  <c r="X456" i="61"/>
  <c r="W456" i="61"/>
  <c r="V456" i="61"/>
  <c r="U456" i="61"/>
  <c r="T456" i="61"/>
  <c r="S456" i="61"/>
  <c r="R456" i="61"/>
  <c r="Q456" i="61"/>
  <c r="P456" i="61"/>
  <c r="X455" i="61"/>
  <c r="W455" i="61"/>
  <c r="V455" i="61"/>
  <c r="U455" i="61"/>
  <c r="T455" i="61"/>
  <c r="S455" i="61"/>
  <c r="R455" i="61"/>
  <c r="Q455" i="61"/>
  <c r="P455" i="61"/>
  <c r="X454" i="61"/>
  <c r="W454" i="61"/>
  <c r="V454" i="61"/>
  <c r="U454" i="61"/>
  <c r="T454" i="61"/>
  <c r="S454" i="61"/>
  <c r="R454" i="61"/>
  <c r="Q454" i="61"/>
  <c r="P454" i="61"/>
  <c r="X453" i="61"/>
  <c r="W453" i="61"/>
  <c r="V453" i="61"/>
  <c r="U453" i="61"/>
  <c r="T453" i="61"/>
  <c r="S453" i="61"/>
  <c r="R453" i="61"/>
  <c r="Q453" i="61"/>
  <c r="P453" i="61"/>
  <c r="X452" i="61"/>
  <c r="W452" i="61"/>
  <c r="V452" i="61"/>
  <c r="U452" i="61"/>
  <c r="T452" i="61"/>
  <c r="S452" i="61"/>
  <c r="R452" i="61"/>
  <c r="Q452" i="61"/>
  <c r="P452" i="61"/>
  <c r="X451" i="61"/>
  <c r="W451" i="61"/>
  <c r="V451" i="61"/>
  <c r="U451" i="61"/>
  <c r="T451" i="61"/>
  <c r="S451" i="61"/>
  <c r="R451" i="61"/>
  <c r="Q451" i="61"/>
  <c r="P451" i="61"/>
  <c r="X450" i="61"/>
  <c r="W450" i="61"/>
  <c r="V450" i="61"/>
  <c r="U450" i="61"/>
  <c r="T450" i="61"/>
  <c r="S450" i="61"/>
  <c r="R450" i="61"/>
  <c r="Q450" i="61"/>
  <c r="P450" i="61"/>
  <c r="X449" i="61"/>
  <c r="W449" i="61"/>
  <c r="V449" i="61"/>
  <c r="U449" i="61"/>
  <c r="T449" i="61"/>
  <c r="S449" i="61"/>
  <c r="R449" i="61"/>
  <c r="Q449" i="61"/>
  <c r="P449" i="61"/>
  <c r="X448" i="61"/>
  <c r="W448" i="61"/>
  <c r="V448" i="61"/>
  <c r="U448" i="61"/>
  <c r="T448" i="61"/>
  <c r="S448" i="61"/>
  <c r="R448" i="61"/>
  <c r="Q448" i="61"/>
  <c r="P448" i="61"/>
  <c r="X447" i="61"/>
  <c r="W447" i="61"/>
  <c r="V447" i="61"/>
  <c r="U447" i="61"/>
  <c r="T447" i="61"/>
  <c r="S447" i="61"/>
  <c r="R447" i="61"/>
  <c r="Q447" i="61"/>
  <c r="P447" i="61"/>
  <c r="X446" i="61"/>
  <c r="W446" i="61"/>
  <c r="V446" i="61"/>
  <c r="U446" i="61"/>
  <c r="T446" i="61"/>
  <c r="S446" i="61"/>
  <c r="R446" i="61"/>
  <c r="Q446" i="61"/>
  <c r="P446" i="61"/>
  <c r="X445" i="61"/>
  <c r="W445" i="61"/>
  <c r="V445" i="61"/>
  <c r="U445" i="61"/>
  <c r="T445" i="61"/>
  <c r="S445" i="61"/>
  <c r="R445" i="61"/>
  <c r="Q445" i="61"/>
  <c r="P445" i="61"/>
  <c r="X444" i="61"/>
  <c r="W444" i="61"/>
  <c r="V444" i="61"/>
  <c r="U444" i="61"/>
  <c r="T444" i="61"/>
  <c r="S444" i="61"/>
  <c r="R444" i="61"/>
  <c r="Q444" i="61"/>
  <c r="P444" i="61"/>
  <c r="X443" i="61"/>
  <c r="W443" i="61"/>
  <c r="V443" i="61"/>
  <c r="U443" i="61"/>
  <c r="T443" i="61"/>
  <c r="S443" i="61"/>
  <c r="R443" i="61"/>
  <c r="Q443" i="61"/>
  <c r="P443" i="61"/>
  <c r="X442" i="61"/>
  <c r="W442" i="61"/>
  <c r="V442" i="61"/>
  <c r="U442" i="61"/>
  <c r="T442" i="61"/>
  <c r="S442" i="61"/>
  <c r="R442" i="61"/>
  <c r="Q442" i="61"/>
  <c r="P442" i="61"/>
  <c r="X441" i="61"/>
  <c r="W441" i="61"/>
  <c r="V441" i="61"/>
  <c r="U441" i="61"/>
  <c r="T441" i="61"/>
  <c r="S441" i="61"/>
  <c r="R441" i="61"/>
  <c r="Q441" i="61"/>
  <c r="P441" i="61"/>
  <c r="X440" i="61"/>
  <c r="W440" i="61"/>
  <c r="V440" i="61"/>
  <c r="U440" i="61"/>
  <c r="T440" i="61"/>
  <c r="S440" i="61"/>
  <c r="R440" i="61"/>
  <c r="Q440" i="61"/>
  <c r="P440" i="61"/>
  <c r="X439" i="61"/>
  <c r="W439" i="61"/>
  <c r="V439" i="61"/>
  <c r="U439" i="61"/>
  <c r="T439" i="61"/>
  <c r="S439" i="61"/>
  <c r="R439" i="61"/>
  <c r="Q439" i="61"/>
  <c r="P439" i="61"/>
  <c r="X438" i="61"/>
  <c r="W438" i="61"/>
  <c r="V438" i="61"/>
  <c r="U438" i="61"/>
  <c r="T438" i="61"/>
  <c r="S438" i="61"/>
  <c r="R438" i="61"/>
  <c r="Q438" i="61"/>
  <c r="P438" i="61"/>
  <c r="X437" i="61"/>
  <c r="W437" i="61"/>
  <c r="V437" i="61"/>
  <c r="U437" i="61"/>
  <c r="T437" i="61"/>
  <c r="S437" i="61"/>
  <c r="R437" i="61"/>
  <c r="Q437" i="61"/>
  <c r="P437" i="61"/>
  <c r="X436" i="61"/>
  <c r="W436" i="61"/>
  <c r="V436" i="61"/>
  <c r="U436" i="61"/>
  <c r="T436" i="61"/>
  <c r="S436" i="61"/>
  <c r="R436" i="61"/>
  <c r="Q436" i="61"/>
  <c r="P436" i="61"/>
  <c r="X435" i="61"/>
  <c r="W435" i="61"/>
  <c r="V435" i="61"/>
  <c r="U435" i="61"/>
  <c r="T435" i="61"/>
  <c r="S435" i="61"/>
  <c r="R435" i="61"/>
  <c r="Q435" i="61"/>
  <c r="P435" i="61"/>
  <c r="X434" i="61"/>
  <c r="W434" i="61"/>
  <c r="V434" i="61"/>
  <c r="U434" i="61"/>
  <c r="T434" i="61"/>
  <c r="S434" i="61"/>
  <c r="R434" i="61"/>
  <c r="Q434" i="61"/>
  <c r="P434" i="61"/>
  <c r="X433" i="61"/>
  <c r="W433" i="61"/>
  <c r="V433" i="61"/>
  <c r="U433" i="61"/>
  <c r="T433" i="61"/>
  <c r="S433" i="61"/>
  <c r="R433" i="61"/>
  <c r="Q433" i="61"/>
  <c r="P433" i="61"/>
  <c r="X432" i="61"/>
  <c r="W432" i="61"/>
  <c r="V432" i="61"/>
  <c r="U432" i="61"/>
  <c r="T432" i="61"/>
  <c r="S432" i="61"/>
  <c r="R432" i="61"/>
  <c r="Q432" i="61"/>
  <c r="P432" i="61"/>
  <c r="X431" i="61"/>
  <c r="W431" i="61"/>
  <c r="V431" i="61"/>
  <c r="U431" i="61"/>
  <c r="T431" i="61"/>
  <c r="S431" i="61"/>
  <c r="R431" i="61"/>
  <c r="Q431" i="61"/>
  <c r="P431" i="61"/>
  <c r="X430" i="61"/>
  <c r="W430" i="61"/>
  <c r="V430" i="61"/>
  <c r="U430" i="61"/>
  <c r="T430" i="61"/>
  <c r="S430" i="61"/>
  <c r="R430" i="61"/>
  <c r="Q430" i="61"/>
  <c r="P430" i="61"/>
  <c r="X429" i="61"/>
  <c r="W429" i="61"/>
  <c r="V429" i="61"/>
  <c r="U429" i="61"/>
  <c r="T429" i="61"/>
  <c r="S429" i="61"/>
  <c r="R429" i="61"/>
  <c r="Q429" i="61"/>
  <c r="P429" i="61"/>
  <c r="X428" i="61"/>
  <c r="W428" i="61"/>
  <c r="V428" i="61"/>
  <c r="U428" i="61"/>
  <c r="T428" i="61"/>
  <c r="S428" i="61"/>
  <c r="R428" i="61"/>
  <c r="Q428" i="61"/>
  <c r="P428" i="61"/>
  <c r="X427" i="61"/>
  <c r="W427" i="61"/>
  <c r="V427" i="61"/>
  <c r="U427" i="61"/>
  <c r="T427" i="61"/>
  <c r="S427" i="61"/>
  <c r="R427" i="61"/>
  <c r="Q427" i="61"/>
  <c r="P427" i="61"/>
  <c r="X426" i="61"/>
  <c r="W426" i="61"/>
  <c r="V426" i="61"/>
  <c r="U426" i="61"/>
  <c r="T426" i="61"/>
  <c r="S426" i="61"/>
  <c r="R426" i="61"/>
  <c r="Q426" i="61"/>
  <c r="P426" i="61"/>
  <c r="X425" i="61"/>
  <c r="W425" i="61"/>
  <c r="V425" i="61"/>
  <c r="U425" i="61"/>
  <c r="T425" i="61"/>
  <c r="S425" i="61"/>
  <c r="R425" i="61"/>
  <c r="Q425" i="61"/>
  <c r="P425" i="61"/>
  <c r="X424" i="61"/>
  <c r="W424" i="61"/>
  <c r="V424" i="61"/>
  <c r="U424" i="61"/>
  <c r="T424" i="61"/>
  <c r="S424" i="61"/>
  <c r="R424" i="61"/>
  <c r="Q424" i="61"/>
  <c r="P424" i="61"/>
  <c r="X423" i="61"/>
  <c r="W423" i="61"/>
  <c r="V423" i="61"/>
  <c r="U423" i="61"/>
  <c r="T423" i="61"/>
  <c r="S423" i="61"/>
  <c r="R423" i="61"/>
  <c r="Q423" i="61"/>
  <c r="P423" i="61"/>
  <c r="X422" i="61"/>
  <c r="W422" i="61"/>
  <c r="V422" i="61"/>
  <c r="U422" i="61"/>
  <c r="T422" i="61"/>
  <c r="S422" i="61"/>
  <c r="R422" i="61"/>
  <c r="Q422" i="61"/>
  <c r="P422" i="61"/>
  <c r="X421" i="61"/>
  <c r="W421" i="61"/>
  <c r="V421" i="61"/>
  <c r="U421" i="61"/>
  <c r="T421" i="61"/>
  <c r="S421" i="61"/>
  <c r="R421" i="61"/>
  <c r="Q421" i="61"/>
  <c r="P421" i="61"/>
  <c r="X420" i="61"/>
  <c r="W420" i="61"/>
  <c r="V420" i="61"/>
  <c r="U420" i="61"/>
  <c r="T420" i="61"/>
  <c r="S420" i="61"/>
  <c r="R420" i="61"/>
  <c r="Q420" i="61"/>
  <c r="P420" i="61"/>
  <c r="X419" i="61"/>
  <c r="W419" i="61"/>
  <c r="V419" i="61"/>
  <c r="U419" i="61"/>
  <c r="T419" i="61"/>
  <c r="S419" i="61"/>
  <c r="R419" i="61"/>
  <c r="Q419" i="61"/>
  <c r="P419" i="61"/>
  <c r="X418" i="61"/>
  <c r="W418" i="61"/>
  <c r="V418" i="61"/>
  <c r="U418" i="61"/>
  <c r="T418" i="61"/>
  <c r="S418" i="61"/>
  <c r="R418" i="61"/>
  <c r="Q418" i="61"/>
  <c r="P418" i="61"/>
  <c r="X417" i="61"/>
  <c r="W417" i="61"/>
  <c r="V417" i="61"/>
  <c r="U417" i="61"/>
  <c r="T417" i="61"/>
  <c r="S417" i="61"/>
  <c r="R417" i="61"/>
  <c r="Q417" i="61"/>
  <c r="P417" i="61"/>
  <c r="X416" i="61"/>
  <c r="W416" i="61"/>
  <c r="V416" i="61"/>
  <c r="U416" i="61"/>
  <c r="T416" i="61"/>
  <c r="S416" i="61"/>
  <c r="R416" i="61"/>
  <c r="Q416" i="61"/>
  <c r="P416" i="61"/>
  <c r="X415" i="61"/>
  <c r="W415" i="61"/>
  <c r="V415" i="61"/>
  <c r="U415" i="61"/>
  <c r="T415" i="61"/>
  <c r="S415" i="61"/>
  <c r="R415" i="61"/>
  <c r="Q415" i="61"/>
  <c r="P415" i="61"/>
  <c r="X414" i="61"/>
  <c r="W414" i="61"/>
  <c r="V414" i="61"/>
  <c r="U414" i="61"/>
  <c r="T414" i="61"/>
  <c r="S414" i="61"/>
  <c r="R414" i="61"/>
  <c r="Q414" i="61"/>
  <c r="P414" i="61"/>
  <c r="X413" i="61"/>
  <c r="W413" i="61"/>
  <c r="V413" i="61"/>
  <c r="U413" i="61"/>
  <c r="T413" i="61"/>
  <c r="S413" i="61"/>
  <c r="R413" i="61"/>
  <c r="Q413" i="61"/>
  <c r="P413" i="61"/>
  <c r="X412" i="61"/>
  <c r="W412" i="61"/>
  <c r="V412" i="61"/>
  <c r="U412" i="61"/>
  <c r="T412" i="61"/>
  <c r="S412" i="61"/>
  <c r="R412" i="61"/>
  <c r="Q412" i="61"/>
  <c r="P412" i="61"/>
  <c r="X411" i="61"/>
  <c r="W411" i="61"/>
  <c r="V411" i="61"/>
  <c r="U411" i="61"/>
  <c r="T411" i="61"/>
  <c r="S411" i="61"/>
  <c r="R411" i="61"/>
  <c r="Q411" i="61"/>
  <c r="P411" i="61"/>
  <c r="X410" i="61"/>
  <c r="W410" i="61"/>
  <c r="V410" i="61"/>
  <c r="U410" i="61"/>
  <c r="T410" i="61"/>
  <c r="S410" i="61"/>
  <c r="R410" i="61"/>
  <c r="Q410" i="61"/>
  <c r="P410" i="61"/>
  <c r="X409" i="61"/>
  <c r="W409" i="61"/>
  <c r="V409" i="61"/>
  <c r="U409" i="61"/>
  <c r="T409" i="61"/>
  <c r="S409" i="61"/>
  <c r="R409" i="61"/>
  <c r="Q409" i="61"/>
  <c r="P409" i="61"/>
  <c r="X408" i="61"/>
  <c r="W408" i="61"/>
  <c r="V408" i="61"/>
  <c r="U408" i="61"/>
  <c r="T408" i="61"/>
  <c r="S408" i="61"/>
  <c r="R408" i="61"/>
  <c r="Q408" i="61"/>
  <c r="P408" i="61"/>
  <c r="X407" i="61"/>
  <c r="W407" i="61"/>
  <c r="V407" i="61"/>
  <c r="U407" i="61"/>
  <c r="T407" i="61"/>
  <c r="S407" i="61"/>
  <c r="R407" i="61"/>
  <c r="Q407" i="61"/>
  <c r="P407" i="61"/>
  <c r="X406" i="61"/>
  <c r="W406" i="61"/>
  <c r="V406" i="61"/>
  <c r="U406" i="61"/>
  <c r="T406" i="61"/>
  <c r="S406" i="61"/>
  <c r="R406" i="61"/>
  <c r="Q406" i="61"/>
  <c r="P406" i="61"/>
  <c r="X405" i="61"/>
  <c r="W405" i="61"/>
  <c r="V405" i="61"/>
  <c r="U405" i="61"/>
  <c r="T405" i="61"/>
  <c r="S405" i="61"/>
  <c r="R405" i="61"/>
  <c r="Q405" i="61"/>
  <c r="P405" i="61"/>
  <c r="X404" i="61"/>
  <c r="W404" i="61"/>
  <c r="V404" i="61"/>
  <c r="U404" i="61"/>
  <c r="T404" i="61"/>
  <c r="S404" i="61"/>
  <c r="R404" i="61"/>
  <c r="Q404" i="61"/>
  <c r="P404" i="61"/>
  <c r="X403" i="61"/>
  <c r="W403" i="61"/>
  <c r="V403" i="61"/>
  <c r="U403" i="61"/>
  <c r="T403" i="61"/>
  <c r="S403" i="61"/>
  <c r="R403" i="61"/>
  <c r="Q403" i="61"/>
  <c r="P403" i="61"/>
  <c r="X402" i="61"/>
  <c r="W402" i="61"/>
  <c r="V402" i="61"/>
  <c r="U402" i="61"/>
  <c r="T402" i="61"/>
  <c r="S402" i="61"/>
  <c r="R402" i="61"/>
  <c r="Q402" i="61"/>
  <c r="P402" i="61"/>
  <c r="X401" i="61"/>
  <c r="W401" i="61"/>
  <c r="V401" i="61"/>
  <c r="U401" i="61"/>
  <c r="T401" i="61"/>
  <c r="S401" i="61"/>
  <c r="R401" i="61"/>
  <c r="Q401" i="61"/>
  <c r="P401" i="61"/>
  <c r="X400" i="61"/>
  <c r="W400" i="61"/>
  <c r="V400" i="61"/>
  <c r="U400" i="61"/>
  <c r="T400" i="61"/>
  <c r="S400" i="61"/>
  <c r="R400" i="61"/>
  <c r="Q400" i="61"/>
  <c r="P400" i="61"/>
  <c r="X399" i="61"/>
  <c r="W399" i="61"/>
  <c r="V399" i="61"/>
  <c r="U399" i="61"/>
  <c r="T399" i="61"/>
  <c r="S399" i="61"/>
  <c r="R399" i="61"/>
  <c r="Q399" i="61"/>
  <c r="P399" i="61"/>
  <c r="X398" i="61"/>
  <c r="W398" i="61"/>
  <c r="V398" i="61"/>
  <c r="U398" i="61"/>
  <c r="T398" i="61"/>
  <c r="S398" i="61"/>
  <c r="R398" i="61"/>
  <c r="Q398" i="61"/>
  <c r="P398" i="61"/>
  <c r="X397" i="61"/>
  <c r="W397" i="61"/>
  <c r="V397" i="61"/>
  <c r="U397" i="61"/>
  <c r="T397" i="61"/>
  <c r="S397" i="61"/>
  <c r="R397" i="61"/>
  <c r="Q397" i="61"/>
  <c r="P397" i="61"/>
  <c r="X396" i="61"/>
  <c r="W396" i="61"/>
  <c r="V396" i="61"/>
  <c r="U396" i="61"/>
  <c r="T396" i="61"/>
  <c r="S396" i="61"/>
  <c r="R396" i="61"/>
  <c r="Q396" i="61"/>
  <c r="P396" i="61"/>
  <c r="X395" i="61"/>
  <c r="W395" i="61"/>
  <c r="V395" i="61"/>
  <c r="U395" i="61"/>
  <c r="T395" i="61"/>
  <c r="S395" i="61"/>
  <c r="R395" i="61"/>
  <c r="Q395" i="61"/>
  <c r="P395" i="61"/>
  <c r="X394" i="61"/>
  <c r="W394" i="61"/>
  <c r="V394" i="61"/>
  <c r="U394" i="61"/>
  <c r="T394" i="61"/>
  <c r="S394" i="61"/>
  <c r="R394" i="61"/>
  <c r="Q394" i="61"/>
  <c r="P394" i="61"/>
  <c r="X393" i="61"/>
  <c r="W393" i="61"/>
  <c r="V393" i="61"/>
  <c r="U393" i="61"/>
  <c r="T393" i="61"/>
  <c r="S393" i="61"/>
  <c r="R393" i="61"/>
  <c r="Q393" i="61"/>
  <c r="P393" i="61"/>
  <c r="X392" i="61"/>
  <c r="W392" i="61"/>
  <c r="V392" i="61"/>
  <c r="U392" i="61"/>
  <c r="T392" i="61"/>
  <c r="S392" i="61"/>
  <c r="R392" i="61"/>
  <c r="Q392" i="61"/>
  <c r="P392" i="61"/>
  <c r="X391" i="61"/>
  <c r="W391" i="61"/>
  <c r="V391" i="61"/>
  <c r="U391" i="61"/>
  <c r="T391" i="61"/>
  <c r="S391" i="61"/>
  <c r="R391" i="61"/>
  <c r="Q391" i="61"/>
  <c r="P391" i="61"/>
  <c r="X390" i="61"/>
  <c r="W390" i="61"/>
  <c r="V390" i="61"/>
  <c r="U390" i="61"/>
  <c r="T390" i="61"/>
  <c r="S390" i="61"/>
  <c r="R390" i="61"/>
  <c r="Q390" i="61"/>
  <c r="P390" i="61"/>
  <c r="X389" i="61"/>
  <c r="W389" i="61"/>
  <c r="V389" i="61"/>
  <c r="U389" i="61"/>
  <c r="T389" i="61"/>
  <c r="S389" i="61"/>
  <c r="R389" i="61"/>
  <c r="Q389" i="61"/>
  <c r="P389" i="61"/>
  <c r="X388" i="61"/>
  <c r="W388" i="61"/>
  <c r="V388" i="61"/>
  <c r="U388" i="61"/>
  <c r="T388" i="61"/>
  <c r="S388" i="61"/>
  <c r="R388" i="61"/>
  <c r="Q388" i="61"/>
  <c r="P388" i="61"/>
  <c r="X387" i="61"/>
  <c r="W387" i="61"/>
  <c r="V387" i="61"/>
  <c r="U387" i="61"/>
  <c r="T387" i="61"/>
  <c r="S387" i="61"/>
  <c r="R387" i="61"/>
  <c r="Q387" i="61"/>
  <c r="P387" i="61"/>
  <c r="X386" i="61"/>
  <c r="W386" i="61"/>
  <c r="V386" i="61"/>
  <c r="U386" i="61"/>
  <c r="T386" i="61"/>
  <c r="S386" i="61"/>
  <c r="R386" i="61"/>
  <c r="Q386" i="61"/>
  <c r="P386" i="61"/>
  <c r="X385" i="61"/>
  <c r="W385" i="61"/>
  <c r="V385" i="61"/>
  <c r="U385" i="61"/>
  <c r="T385" i="61"/>
  <c r="S385" i="61"/>
  <c r="R385" i="61"/>
  <c r="Q385" i="61"/>
  <c r="P385" i="61"/>
  <c r="X384" i="61"/>
  <c r="W384" i="61"/>
  <c r="V384" i="61"/>
  <c r="U384" i="61"/>
  <c r="T384" i="61"/>
  <c r="S384" i="61"/>
  <c r="R384" i="61"/>
  <c r="Q384" i="61"/>
  <c r="P384" i="61"/>
  <c r="X383" i="61"/>
  <c r="W383" i="61"/>
  <c r="V383" i="61"/>
  <c r="U383" i="61"/>
  <c r="T383" i="61"/>
  <c r="S383" i="61"/>
  <c r="R383" i="61"/>
  <c r="Q383" i="61"/>
  <c r="P383" i="61"/>
  <c r="X382" i="61"/>
  <c r="W382" i="61"/>
  <c r="V382" i="61"/>
  <c r="U382" i="61"/>
  <c r="T382" i="61"/>
  <c r="S382" i="61"/>
  <c r="R382" i="61"/>
  <c r="Q382" i="61"/>
  <c r="P382" i="61"/>
  <c r="X381" i="61"/>
  <c r="W381" i="61"/>
  <c r="V381" i="61"/>
  <c r="U381" i="61"/>
  <c r="T381" i="61"/>
  <c r="S381" i="61"/>
  <c r="R381" i="61"/>
  <c r="Q381" i="61"/>
  <c r="P381" i="61"/>
  <c r="X380" i="61"/>
  <c r="W380" i="61"/>
  <c r="V380" i="61"/>
  <c r="U380" i="61"/>
  <c r="T380" i="61"/>
  <c r="S380" i="61"/>
  <c r="R380" i="61"/>
  <c r="Q380" i="61"/>
  <c r="P380" i="61"/>
  <c r="X379" i="61"/>
  <c r="W379" i="61"/>
  <c r="V379" i="61"/>
  <c r="U379" i="61"/>
  <c r="T379" i="61"/>
  <c r="S379" i="61"/>
  <c r="R379" i="61"/>
  <c r="Q379" i="61"/>
  <c r="P379" i="61"/>
  <c r="X378" i="61"/>
  <c r="W378" i="61"/>
  <c r="V378" i="61"/>
  <c r="U378" i="61"/>
  <c r="T378" i="61"/>
  <c r="S378" i="61"/>
  <c r="R378" i="61"/>
  <c r="Q378" i="61"/>
  <c r="P378" i="61"/>
  <c r="X377" i="61"/>
  <c r="W377" i="61"/>
  <c r="V377" i="61"/>
  <c r="U377" i="61"/>
  <c r="T377" i="61"/>
  <c r="S377" i="61"/>
  <c r="R377" i="61"/>
  <c r="Q377" i="61"/>
  <c r="P377" i="61"/>
  <c r="X376" i="61"/>
  <c r="W376" i="61"/>
  <c r="V376" i="61"/>
  <c r="U376" i="61"/>
  <c r="T376" i="61"/>
  <c r="S376" i="61"/>
  <c r="R376" i="61"/>
  <c r="Q376" i="61"/>
  <c r="P376" i="61"/>
  <c r="X375" i="61"/>
  <c r="W375" i="61"/>
  <c r="V375" i="61"/>
  <c r="U375" i="61"/>
  <c r="T375" i="61"/>
  <c r="S375" i="61"/>
  <c r="R375" i="61"/>
  <c r="Q375" i="61"/>
  <c r="P375" i="61"/>
  <c r="X374" i="61"/>
  <c r="W374" i="61"/>
  <c r="V374" i="61"/>
  <c r="U374" i="61"/>
  <c r="T374" i="61"/>
  <c r="S374" i="61"/>
  <c r="R374" i="61"/>
  <c r="Q374" i="61"/>
  <c r="P374" i="61"/>
  <c r="X373" i="61"/>
  <c r="W373" i="61"/>
  <c r="V373" i="61"/>
  <c r="U373" i="61"/>
  <c r="T373" i="61"/>
  <c r="S373" i="61"/>
  <c r="R373" i="61"/>
  <c r="Q373" i="61"/>
  <c r="P373" i="61"/>
  <c r="X372" i="61"/>
  <c r="W372" i="61"/>
  <c r="V372" i="61"/>
  <c r="U372" i="61"/>
  <c r="T372" i="61"/>
  <c r="S372" i="61"/>
  <c r="R372" i="61"/>
  <c r="Q372" i="61"/>
  <c r="P372" i="61"/>
  <c r="X371" i="61"/>
  <c r="W371" i="61"/>
  <c r="V371" i="61"/>
  <c r="U371" i="61"/>
  <c r="T371" i="61"/>
  <c r="S371" i="61"/>
  <c r="R371" i="61"/>
  <c r="Q371" i="61"/>
  <c r="P371" i="61"/>
  <c r="X370" i="61"/>
  <c r="W370" i="61"/>
  <c r="V370" i="61"/>
  <c r="U370" i="61"/>
  <c r="T370" i="61"/>
  <c r="S370" i="61"/>
  <c r="R370" i="61"/>
  <c r="Q370" i="61"/>
  <c r="P370" i="61"/>
  <c r="X369" i="61"/>
  <c r="W369" i="61"/>
  <c r="V369" i="61"/>
  <c r="U369" i="61"/>
  <c r="T369" i="61"/>
  <c r="S369" i="61"/>
  <c r="R369" i="61"/>
  <c r="Q369" i="61"/>
  <c r="P369" i="61"/>
  <c r="X368" i="61"/>
  <c r="W368" i="61"/>
  <c r="V368" i="61"/>
  <c r="U368" i="61"/>
  <c r="T368" i="61"/>
  <c r="S368" i="61"/>
  <c r="R368" i="61"/>
  <c r="Q368" i="61"/>
  <c r="P368" i="61"/>
  <c r="X367" i="61"/>
  <c r="W367" i="61"/>
  <c r="V367" i="61"/>
  <c r="U367" i="61"/>
  <c r="T367" i="61"/>
  <c r="S367" i="61"/>
  <c r="R367" i="61"/>
  <c r="Q367" i="61"/>
  <c r="P367" i="61"/>
  <c r="X366" i="61"/>
  <c r="W366" i="61"/>
  <c r="V366" i="61"/>
  <c r="U366" i="61"/>
  <c r="T366" i="61"/>
  <c r="S366" i="61"/>
  <c r="R366" i="61"/>
  <c r="Q366" i="61"/>
  <c r="P366" i="61"/>
  <c r="X365" i="61"/>
  <c r="W365" i="61"/>
  <c r="V365" i="61"/>
  <c r="U365" i="61"/>
  <c r="T365" i="61"/>
  <c r="S365" i="61"/>
  <c r="R365" i="61"/>
  <c r="Q365" i="61"/>
  <c r="P365" i="61"/>
  <c r="X364" i="61"/>
  <c r="W364" i="61"/>
  <c r="V364" i="61"/>
  <c r="U364" i="61"/>
  <c r="T364" i="61"/>
  <c r="S364" i="61"/>
  <c r="R364" i="61"/>
  <c r="Q364" i="61"/>
  <c r="P364" i="61"/>
  <c r="X363" i="61"/>
  <c r="W363" i="61"/>
  <c r="V363" i="61"/>
  <c r="U363" i="61"/>
  <c r="T363" i="61"/>
  <c r="S363" i="61"/>
  <c r="R363" i="61"/>
  <c r="Q363" i="61"/>
  <c r="P363" i="61"/>
  <c r="X362" i="61"/>
  <c r="W362" i="61"/>
  <c r="V362" i="61"/>
  <c r="U362" i="61"/>
  <c r="T362" i="61"/>
  <c r="S362" i="61"/>
  <c r="R362" i="61"/>
  <c r="Q362" i="61"/>
  <c r="P362" i="61"/>
  <c r="X361" i="61"/>
  <c r="W361" i="61"/>
  <c r="V361" i="61"/>
  <c r="U361" i="61"/>
  <c r="T361" i="61"/>
  <c r="S361" i="61"/>
  <c r="R361" i="61"/>
  <c r="Q361" i="61"/>
  <c r="P361" i="61"/>
  <c r="X360" i="61"/>
  <c r="W360" i="61"/>
  <c r="V360" i="61"/>
  <c r="U360" i="61"/>
  <c r="T360" i="61"/>
  <c r="S360" i="61"/>
  <c r="R360" i="61"/>
  <c r="Q360" i="61"/>
  <c r="P360" i="61"/>
  <c r="X359" i="61"/>
  <c r="W359" i="61"/>
  <c r="V359" i="61"/>
  <c r="U359" i="61"/>
  <c r="T359" i="61"/>
  <c r="S359" i="61"/>
  <c r="R359" i="61"/>
  <c r="Q359" i="61"/>
  <c r="P359" i="61"/>
  <c r="X358" i="61"/>
  <c r="W358" i="61"/>
  <c r="V358" i="61"/>
  <c r="U358" i="61"/>
  <c r="T358" i="61"/>
  <c r="S358" i="61"/>
  <c r="R358" i="61"/>
  <c r="Q358" i="61"/>
  <c r="P358" i="61"/>
  <c r="X357" i="61"/>
  <c r="W357" i="61"/>
  <c r="V357" i="61"/>
  <c r="U357" i="61"/>
  <c r="T357" i="61"/>
  <c r="S357" i="61"/>
  <c r="R357" i="61"/>
  <c r="Q357" i="61"/>
  <c r="P357" i="61"/>
  <c r="X356" i="61"/>
  <c r="W356" i="61"/>
  <c r="V356" i="61"/>
  <c r="U356" i="61"/>
  <c r="T356" i="61"/>
  <c r="S356" i="61"/>
  <c r="R356" i="61"/>
  <c r="Q356" i="61"/>
  <c r="P356" i="61"/>
  <c r="X355" i="61"/>
  <c r="W355" i="61"/>
  <c r="V355" i="61"/>
  <c r="U355" i="61"/>
  <c r="T355" i="61"/>
  <c r="S355" i="61"/>
  <c r="R355" i="61"/>
  <c r="Q355" i="61"/>
  <c r="P355" i="61"/>
  <c r="X354" i="61"/>
  <c r="W354" i="61"/>
  <c r="V354" i="61"/>
  <c r="U354" i="61"/>
  <c r="T354" i="61"/>
  <c r="S354" i="61"/>
  <c r="R354" i="61"/>
  <c r="Q354" i="61"/>
  <c r="P354" i="61"/>
  <c r="X353" i="61"/>
  <c r="W353" i="61"/>
  <c r="V353" i="61"/>
  <c r="U353" i="61"/>
  <c r="T353" i="61"/>
  <c r="S353" i="61"/>
  <c r="R353" i="61"/>
  <c r="Q353" i="61"/>
  <c r="P353" i="61"/>
  <c r="X352" i="61"/>
  <c r="W352" i="61"/>
  <c r="V352" i="61"/>
  <c r="U352" i="61"/>
  <c r="T352" i="61"/>
  <c r="S352" i="61"/>
  <c r="R352" i="61"/>
  <c r="Q352" i="61"/>
  <c r="P352" i="61"/>
  <c r="X351" i="61"/>
  <c r="W351" i="61"/>
  <c r="V351" i="61"/>
  <c r="U351" i="61"/>
  <c r="T351" i="61"/>
  <c r="S351" i="61"/>
  <c r="R351" i="61"/>
  <c r="Q351" i="61"/>
  <c r="P351" i="61"/>
  <c r="X350" i="61"/>
  <c r="W350" i="61"/>
  <c r="V350" i="61"/>
  <c r="U350" i="61"/>
  <c r="T350" i="61"/>
  <c r="S350" i="61"/>
  <c r="R350" i="61"/>
  <c r="Q350" i="61"/>
  <c r="P350" i="61"/>
  <c r="X349" i="61"/>
  <c r="W349" i="61"/>
  <c r="V349" i="61"/>
  <c r="U349" i="61"/>
  <c r="T349" i="61"/>
  <c r="S349" i="61"/>
  <c r="R349" i="61"/>
  <c r="Q349" i="61"/>
  <c r="P349" i="61"/>
  <c r="X348" i="61"/>
  <c r="W348" i="61"/>
  <c r="V348" i="61"/>
  <c r="U348" i="61"/>
  <c r="T348" i="61"/>
  <c r="S348" i="61"/>
  <c r="R348" i="61"/>
  <c r="Q348" i="61"/>
  <c r="P348" i="61"/>
  <c r="X347" i="61"/>
  <c r="W347" i="61"/>
  <c r="V347" i="61"/>
  <c r="U347" i="61"/>
  <c r="T347" i="61"/>
  <c r="S347" i="61"/>
  <c r="R347" i="61"/>
  <c r="Q347" i="61"/>
  <c r="P347" i="61"/>
  <c r="X346" i="61"/>
  <c r="W346" i="61"/>
  <c r="V346" i="61"/>
  <c r="U346" i="61"/>
  <c r="T346" i="61"/>
  <c r="S346" i="61"/>
  <c r="R346" i="61"/>
  <c r="Q346" i="61"/>
  <c r="P346" i="61"/>
  <c r="X345" i="61"/>
  <c r="W345" i="61"/>
  <c r="V345" i="61"/>
  <c r="U345" i="61"/>
  <c r="T345" i="61"/>
  <c r="S345" i="61"/>
  <c r="R345" i="61"/>
  <c r="Q345" i="61"/>
  <c r="P345" i="61"/>
  <c r="X344" i="61"/>
  <c r="W344" i="61"/>
  <c r="V344" i="61"/>
  <c r="U344" i="61"/>
  <c r="T344" i="61"/>
  <c r="S344" i="61"/>
  <c r="R344" i="61"/>
  <c r="Q344" i="61"/>
  <c r="P344" i="61"/>
  <c r="X343" i="61"/>
  <c r="W343" i="61"/>
  <c r="V343" i="61"/>
  <c r="U343" i="61"/>
  <c r="T343" i="61"/>
  <c r="S343" i="61"/>
  <c r="R343" i="61"/>
  <c r="Q343" i="61"/>
  <c r="P343" i="61"/>
  <c r="X342" i="61"/>
  <c r="W342" i="61"/>
  <c r="V342" i="61"/>
  <c r="U342" i="61"/>
  <c r="T342" i="61"/>
  <c r="S342" i="61"/>
  <c r="R342" i="61"/>
  <c r="Q342" i="61"/>
  <c r="P342" i="61"/>
  <c r="X341" i="61"/>
  <c r="W341" i="61"/>
  <c r="V341" i="61"/>
  <c r="U341" i="61"/>
  <c r="T341" i="61"/>
  <c r="S341" i="61"/>
  <c r="R341" i="61"/>
  <c r="Q341" i="61"/>
  <c r="P341" i="61"/>
  <c r="X340" i="61"/>
  <c r="W340" i="61"/>
  <c r="V340" i="61"/>
  <c r="U340" i="61"/>
  <c r="T340" i="61"/>
  <c r="S340" i="61"/>
  <c r="R340" i="61"/>
  <c r="Q340" i="61"/>
  <c r="P340" i="61"/>
  <c r="X339" i="61"/>
  <c r="W339" i="61"/>
  <c r="V339" i="61"/>
  <c r="U339" i="61"/>
  <c r="T339" i="61"/>
  <c r="S339" i="61"/>
  <c r="R339" i="61"/>
  <c r="Q339" i="61"/>
  <c r="P339" i="61"/>
  <c r="X338" i="61"/>
  <c r="W338" i="61"/>
  <c r="V338" i="61"/>
  <c r="U338" i="61"/>
  <c r="T338" i="61"/>
  <c r="S338" i="61"/>
  <c r="R338" i="61"/>
  <c r="Q338" i="61"/>
  <c r="P338" i="61"/>
  <c r="X337" i="61"/>
  <c r="W337" i="61"/>
  <c r="V337" i="61"/>
  <c r="U337" i="61"/>
  <c r="T337" i="61"/>
  <c r="S337" i="61"/>
  <c r="R337" i="61"/>
  <c r="Q337" i="61"/>
  <c r="P337" i="61"/>
  <c r="X336" i="61"/>
  <c r="W336" i="61"/>
  <c r="V336" i="61"/>
  <c r="U336" i="61"/>
  <c r="T336" i="61"/>
  <c r="S336" i="61"/>
  <c r="R336" i="61"/>
  <c r="Q336" i="61"/>
  <c r="P336" i="61"/>
  <c r="X335" i="61"/>
  <c r="W335" i="61"/>
  <c r="V335" i="61"/>
  <c r="U335" i="61"/>
  <c r="T335" i="61"/>
  <c r="S335" i="61"/>
  <c r="R335" i="61"/>
  <c r="Q335" i="61"/>
  <c r="P335" i="61"/>
  <c r="X334" i="61"/>
  <c r="W334" i="61"/>
  <c r="V334" i="61"/>
  <c r="U334" i="61"/>
  <c r="T334" i="61"/>
  <c r="S334" i="61"/>
  <c r="R334" i="61"/>
  <c r="Q334" i="61"/>
  <c r="P334" i="61"/>
  <c r="X333" i="61"/>
  <c r="W333" i="61"/>
  <c r="V333" i="61"/>
  <c r="U333" i="61"/>
  <c r="T333" i="61"/>
  <c r="S333" i="61"/>
  <c r="R333" i="61"/>
  <c r="Q333" i="61"/>
  <c r="P333" i="61"/>
  <c r="X332" i="61"/>
  <c r="W332" i="61"/>
  <c r="V332" i="61"/>
  <c r="U332" i="61"/>
  <c r="T332" i="61"/>
  <c r="S332" i="61"/>
  <c r="R332" i="61"/>
  <c r="Q332" i="61"/>
  <c r="P332" i="61"/>
  <c r="X331" i="61"/>
  <c r="W331" i="61"/>
  <c r="V331" i="61"/>
  <c r="U331" i="61"/>
  <c r="T331" i="61"/>
  <c r="S331" i="61"/>
  <c r="R331" i="61"/>
  <c r="Q331" i="61"/>
  <c r="P331" i="61"/>
  <c r="X330" i="61"/>
  <c r="W330" i="61"/>
  <c r="V330" i="61"/>
  <c r="U330" i="61"/>
  <c r="T330" i="61"/>
  <c r="S330" i="61"/>
  <c r="R330" i="61"/>
  <c r="Q330" i="61"/>
  <c r="P330" i="61"/>
  <c r="X329" i="61"/>
  <c r="W329" i="61"/>
  <c r="V329" i="61"/>
  <c r="U329" i="61"/>
  <c r="T329" i="61"/>
  <c r="S329" i="61"/>
  <c r="R329" i="61"/>
  <c r="Q329" i="61"/>
  <c r="P329" i="61"/>
  <c r="X328" i="61"/>
  <c r="W328" i="61"/>
  <c r="V328" i="61"/>
  <c r="U328" i="61"/>
  <c r="T328" i="61"/>
  <c r="S328" i="61"/>
  <c r="R328" i="61"/>
  <c r="Q328" i="61"/>
  <c r="P328" i="61"/>
  <c r="X327" i="61"/>
  <c r="W327" i="61"/>
  <c r="V327" i="61"/>
  <c r="U327" i="61"/>
  <c r="T327" i="61"/>
  <c r="S327" i="61"/>
  <c r="R327" i="61"/>
  <c r="Q327" i="61"/>
  <c r="P327" i="61"/>
  <c r="X326" i="61"/>
  <c r="W326" i="61"/>
  <c r="V326" i="61"/>
  <c r="U326" i="61"/>
  <c r="T326" i="61"/>
  <c r="S326" i="61"/>
  <c r="R326" i="61"/>
  <c r="Q326" i="61"/>
  <c r="P326" i="61"/>
  <c r="X325" i="61"/>
  <c r="W325" i="61"/>
  <c r="V325" i="61"/>
  <c r="U325" i="61"/>
  <c r="T325" i="61"/>
  <c r="S325" i="61"/>
  <c r="R325" i="61"/>
  <c r="Q325" i="61"/>
  <c r="P325" i="61"/>
  <c r="X324" i="61"/>
  <c r="W324" i="61"/>
  <c r="V324" i="61"/>
  <c r="U324" i="61"/>
  <c r="T324" i="61"/>
  <c r="S324" i="61"/>
  <c r="R324" i="61"/>
  <c r="Q324" i="61"/>
  <c r="P324" i="61"/>
  <c r="X323" i="61"/>
  <c r="W323" i="61"/>
  <c r="V323" i="61"/>
  <c r="U323" i="61"/>
  <c r="T323" i="61"/>
  <c r="S323" i="61"/>
  <c r="R323" i="61"/>
  <c r="Q323" i="61"/>
  <c r="P323" i="61"/>
  <c r="X322" i="61"/>
  <c r="W322" i="61"/>
  <c r="V322" i="61"/>
  <c r="U322" i="61"/>
  <c r="T322" i="61"/>
  <c r="S322" i="61"/>
  <c r="R322" i="61"/>
  <c r="Q322" i="61"/>
  <c r="P322" i="61"/>
  <c r="X321" i="61"/>
  <c r="W321" i="61"/>
  <c r="V321" i="61"/>
  <c r="U321" i="61"/>
  <c r="T321" i="61"/>
  <c r="S321" i="61"/>
  <c r="R321" i="61"/>
  <c r="Q321" i="61"/>
  <c r="P321" i="61"/>
  <c r="X320" i="61"/>
  <c r="W320" i="61"/>
  <c r="V320" i="61"/>
  <c r="U320" i="61"/>
  <c r="T320" i="61"/>
  <c r="S320" i="61"/>
  <c r="R320" i="61"/>
  <c r="Q320" i="61"/>
  <c r="P320" i="61"/>
  <c r="X319" i="61"/>
  <c r="W319" i="61"/>
  <c r="V319" i="61"/>
  <c r="U319" i="61"/>
  <c r="T319" i="61"/>
  <c r="S319" i="61"/>
  <c r="R319" i="61"/>
  <c r="Q319" i="61"/>
  <c r="P319" i="61"/>
  <c r="X318" i="61"/>
  <c r="W318" i="61"/>
  <c r="V318" i="61"/>
  <c r="U318" i="61"/>
  <c r="T318" i="61"/>
  <c r="S318" i="61"/>
  <c r="R318" i="61"/>
  <c r="Q318" i="61"/>
  <c r="P318" i="61"/>
  <c r="X317" i="61"/>
  <c r="W317" i="61"/>
  <c r="V317" i="61"/>
  <c r="U317" i="61"/>
  <c r="T317" i="61"/>
  <c r="S317" i="61"/>
  <c r="R317" i="61"/>
  <c r="Q317" i="61"/>
  <c r="P317" i="61"/>
  <c r="X316" i="61"/>
  <c r="W316" i="61"/>
  <c r="V316" i="61"/>
  <c r="U316" i="61"/>
  <c r="T316" i="61"/>
  <c r="S316" i="61"/>
  <c r="R316" i="61"/>
  <c r="Q316" i="61"/>
  <c r="P316" i="61"/>
  <c r="X315" i="61"/>
  <c r="W315" i="61"/>
  <c r="V315" i="61"/>
  <c r="U315" i="61"/>
  <c r="T315" i="61"/>
  <c r="S315" i="61"/>
  <c r="R315" i="61"/>
  <c r="Q315" i="61"/>
  <c r="P315" i="61"/>
  <c r="X314" i="61"/>
  <c r="W314" i="61"/>
  <c r="V314" i="61"/>
  <c r="U314" i="61"/>
  <c r="T314" i="61"/>
  <c r="S314" i="61"/>
  <c r="R314" i="61"/>
  <c r="Q314" i="61"/>
  <c r="P314" i="61"/>
  <c r="X313" i="61"/>
  <c r="W313" i="61"/>
  <c r="V313" i="61"/>
  <c r="U313" i="61"/>
  <c r="T313" i="61"/>
  <c r="S313" i="61"/>
  <c r="R313" i="61"/>
  <c r="Q313" i="61"/>
  <c r="P313" i="61"/>
  <c r="X312" i="61"/>
  <c r="W312" i="61"/>
  <c r="V312" i="61"/>
  <c r="U312" i="61"/>
  <c r="T312" i="61"/>
  <c r="S312" i="61"/>
  <c r="R312" i="61"/>
  <c r="Q312" i="61"/>
  <c r="P312" i="61"/>
  <c r="X311" i="61"/>
  <c r="W311" i="61"/>
  <c r="V311" i="61"/>
  <c r="U311" i="61"/>
  <c r="T311" i="61"/>
  <c r="S311" i="61"/>
  <c r="R311" i="61"/>
  <c r="Q311" i="61"/>
  <c r="P311" i="61"/>
  <c r="X310" i="61"/>
  <c r="W310" i="61"/>
  <c r="V310" i="61"/>
  <c r="U310" i="61"/>
  <c r="T310" i="61"/>
  <c r="S310" i="61"/>
  <c r="R310" i="61"/>
  <c r="Q310" i="61"/>
  <c r="P310" i="61"/>
  <c r="X309" i="61"/>
  <c r="W309" i="61"/>
  <c r="V309" i="61"/>
  <c r="U309" i="61"/>
  <c r="T309" i="61"/>
  <c r="S309" i="61"/>
  <c r="R309" i="61"/>
  <c r="Q309" i="61"/>
  <c r="P309" i="61"/>
  <c r="X308" i="61"/>
  <c r="W308" i="61"/>
  <c r="V308" i="61"/>
  <c r="U308" i="61"/>
  <c r="T308" i="61"/>
  <c r="S308" i="61"/>
  <c r="R308" i="61"/>
  <c r="Q308" i="61"/>
  <c r="P308" i="61"/>
  <c r="X307" i="61"/>
  <c r="W307" i="61"/>
  <c r="V307" i="61"/>
  <c r="U307" i="61"/>
  <c r="T307" i="61"/>
  <c r="S307" i="61"/>
  <c r="R307" i="61"/>
  <c r="Q307" i="61"/>
  <c r="P307" i="61"/>
  <c r="X306" i="61"/>
  <c r="W306" i="61"/>
  <c r="V306" i="61"/>
  <c r="U306" i="61"/>
  <c r="T306" i="61"/>
  <c r="S306" i="61"/>
  <c r="R306" i="61"/>
  <c r="Q306" i="61"/>
  <c r="P306" i="61"/>
  <c r="X305" i="61"/>
  <c r="W305" i="61"/>
  <c r="V305" i="61"/>
  <c r="U305" i="61"/>
  <c r="T305" i="61"/>
  <c r="S305" i="61"/>
  <c r="R305" i="61"/>
  <c r="Q305" i="61"/>
  <c r="P305" i="61"/>
  <c r="X304" i="61"/>
  <c r="W304" i="61"/>
  <c r="V304" i="61"/>
  <c r="U304" i="61"/>
  <c r="T304" i="61"/>
  <c r="S304" i="61"/>
  <c r="R304" i="61"/>
  <c r="Q304" i="61"/>
  <c r="P304" i="61"/>
  <c r="X303" i="61"/>
  <c r="W303" i="61"/>
  <c r="V303" i="61"/>
  <c r="U303" i="61"/>
  <c r="T303" i="61"/>
  <c r="S303" i="61"/>
  <c r="R303" i="61"/>
  <c r="Q303" i="61"/>
  <c r="P303" i="61"/>
  <c r="X302" i="61"/>
  <c r="W302" i="61"/>
  <c r="V302" i="61"/>
  <c r="U302" i="61"/>
  <c r="T302" i="61"/>
  <c r="S302" i="61"/>
  <c r="R302" i="61"/>
  <c r="Q302" i="61"/>
  <c r="P302" i="61"/>
  <c r="X301" i="61"/>
  <c r="W301" i="61"/>
  <c r="V301" i="61"/>
  <c r="U301" i="61"/>
  <c r="T301" i="61"/>
  <c r="S301" i="61"/>
  <c r="R301" i="61"/>
  <c r="Q301" i="61"/>
  <c r="P301" i="61"/>
  <c r="X300" i="61"/>
  <c r="W300" i="61"/>
  <c r="V300" i="61"/>
  <c r="U300" i="61"/>
  <c r="T300" i="61"/>
  <c r="S300" i="61"/>
  <c r="R300" i="61"/>
  <c r="Q300" i="61"/>
  <c r="P300" i="61"/>
  <c r="X299" i="61"/>
  <c r="W299" i="61"/>
  <c r="V299" i="61"/>
  <c r="U299" i="61"/>
  <c r="T299" i="61"/>
  <c r="S299" i="61"/>
  <c r="R299" i="61"/>
  <c r="Q299" i="61"/>
  <c r="P299" i="61"/>
  <c r="X298" i="61"/>
  <c r="W298" i="61"/>
  <c r="V298" i="61"/>
  <c r="U298" i="61"/>
  <c r="T298" i="61"/>
  <c r="S298" i="61"/>
  <c r="R298" i="61"/>
  <c r="Q298" i="61"/>
  <c r="P298" i="61"/>
  <c r="X297" i="61"/>
  <c r="W297" i="61"/>
  <c r="V297" i="61"/>
  <c r="U297" i="61"/>
  <c r="T297" i="61"/>
  <c r="S297" i="61"/>
  <c r="R297" i="61"/>
  <c r="Q297" i="61"/>
  <c r="P297" i="61"/>
  <c r="X296" i="61"/>
  <c r="W296" i="61"/>
  <c r="V296" i="61"/>
  <c r="U296" i="61"/>
  <c r="T296" i="61"/>
  <c r="S296" i="61"/>
  <c r="R296" i="61"/>
  <c r="Q296" i="61"/>
  <c r="P296" i="61"/>
  <c r="X295" i="61"/>
  <c r="W295" i="61"/>
  <c r="V295" i="61"/>
  <c r="U295" i="61"/>
  <c r="T295" i="61"/>
  <c r="S295" i="61"/>
  <c r="R295" i="61"/>
  <c r="Q295" i="61"/>
  <c r="P295" i="61"/>
  <c r="X294" i="61"/>
  <c r="W294" i="61"/>
  <c r="V294" i="61"/>
  <c r="U294" i="61"/>
  <c r="T294" i="61"/>
  <c r="S294" i="61"/>
  <c r="R294" i="61"/>
  <c r="Q294" i="61"/>
  <c r="P294" i="61"/>
  <c r="X293" i="61"/>
  <c r="W293" i="61"/>
  <c r="V293" i="61"/>
  <c r="U293" i="61"/>
  <c r="T293" i="61"/>
  <c r="S293" i="61"/>
  <c r="R293" i="61"/>
  <c r="Q293" i="61"/>
  <c r="P293" i="61"/>
  <c r="X292" i="61"/>
  <c r="W292" i="61"/>
  <c r="V292" i="61"/>
  <c r="U292" i="61"/>
  <c r="T292" i="61"/>
  <c r="S292" i="61"/>
  <c r="R292" i="61"/>
  <c r="Q292" i="61"/>
  <c r="P292" i="61"/>
  <c r="X291" i="61"/>
  <c r="W291" i="61"/>
  <c r="V291" i="61"/>
  <c r="U291" i="61"/>
  <c r="T291" i="61"/>
  <c r="S291" i="61"/>
  <c r="R291" i="61"/>
  <c r="Q291" i="61"/>
  <c r="P291" i="61"/>
  <c r="X290" i="61"/>
  <c r="W290" i="61"/>
  <c r="V290" i="61"/>
  <c r="U290" i="61"/>
  <c r="T290" i="61"/>
  <c r="S290" i="61"/>
  <c r="R290" i="61"/>
  <c r="Q290" i="61"/>
  <c r="P290" i="61"/>
  <c r="X289" i="61"/>
  <c r="W289" i="61"/>
  <c r="V289" i="61"/>
  <c r="U289" i="61"/>
  <c r="T289" i="61"/>
  <c r="S289" i="61"/>
  <c r="R289" i="61"/>
  <c r="Q289" i="61"/>
  <c r="P289" i="61"/>
  <c r="X288" i="61"/>
  <c r="W288" i="61"/>
  <c r="V288" i="61"/>
  <c r="U288" i="61"/>
  <c r="T288" i="61"/>
  <c r="S288" i="61"/>
  <c r="R288" i="61"/>
  <c r="Q288" i="61"/>
  <c r="P288" i="61"/>
  <c r="X287" i="61"/>
  <c r="W287" i="61"/>
  <c r="V287" i="61"/>
  <c r="U287" i="61"/>
  <c r="T287" i="61"/>
  <c r="S287" i="61"/>
  <c r="R287" i="61"/>
  <c r="Q287" i="61"/>
  <c r="P287" i="61"/>
  <c r="X286" i="61"/>
  <c r="W286" i="61"/>
  <c r="V286" i="61"/>
  <c r="U286" i="61"/>
  <c r="T286" i="61"/>
  <c r="S286" i="61"/>
  <c r="R286" i="61"/>
  <c r="Q286" i="61"/>
  <c r="P286" i="61"/>
  <c r="X285" i="61"/>
  <c r="W285" i="61"/>
  <c r="V285" i="61"/>
  <c r="U285" i="61"/>
  <c r="T285" i="61"/>
  <c r="S285" i="61"/>
  <c r="R285" i="61"/>
  <c r="Q285" i="61"/>
  <c r="P285" i="61"/>
  <c r="X284" i="61"/>
  <c r="W284" i="61"/>
  <c r="V284" i="61"/>
  <c r="U284" i="61"/>
  <c r="T284" i="61"/>
  <c r="S284" i="61"/>
  <c r="R284" i="61"/>
  <c r="Q284" i="61"/>
  <c r="P284" i="61"/>
  <c r="X283" i="61"/>
  <c r="W283" i="61"/>
  <c r="V283" i="61"/>
  <c r="U283" i="61"/>
  <c r="T283" i="61"/>
  <c r="S283" i="61"/>
  <c r="R283" i="61"/>
  <c r="Q283" i="61"/>
  <c r="P283" i="61"/>
  <c r="X282" i="61"/>
  <c r="W282" i="61"/>
  <c r="V282" i="61"/>
  <c r="U282" i="61"/>
  <c r="T282" i="61"/>
  <c r="S282" i="61"/>
  <c r="R282" i="61"/>
  <c r="Q282" i="61"/>
  <c r="P282" i="61"/>
  <c r="X281" i="61"/>
  <c r="W281" i="61"/>
  <c r="V281" i="61"/>
  <c r="U281" i="61"/>
  <c r="T281" i="61"/>
  <c r="S281" i="61"/>
  <c r="R281" i="61"/>
  <c r="Q281" i="61"/>
  <c r="P281" i="61"/>
  <c r="X280" i="61"/>
  <c r="W280" i="61"/>
  <c r="V280" i="61"/>
  <c r="U280" i="61"/>
  <c r="T280" i="61"/>
  <c r="S280" i="61"/>
  <c r="R280" i="61"/>
  <c r="Q280" i="61"/>
  <c r="P280" i="61"/>
  <c r="X279" i="61"/>
  <c r="W279" i="61"/>
  <c r="V279" i="61"/>
  <c r="U279" i="61"/>
  <c r="T279" i="61"/>
  <c r="S279" i="61"/>
  <c r="R279" i="61"/>
  <c r="Q279" i="61"/>
  <c r="P279" i="61"/>
  <c r="X278" i="61"/>
  <c r="W278" i="61"/>
  <c r="V278" i="61"/>
  <c r="U278" i="61"/>
  <c r="T278" i="61"/>
  <c r="S278" i="61"/>
  <c r="R278" i="61"/>
  <c r="Q278" i="61"/>
  <c r="P278" i="61"/>
  <c r="X277" i="61"/>
  <c r="W277" i="61"/>
  <c r="V277" i="61"/>
  <c r="U277" i="61"/>
  <c r="T277" i="61"/>
  <c r="S277" i="61"/>
  <c r="R277" i="61"/>
  <c r="Q277" i="61"/>
  <c r="P277" i="61"/>
  <c r="X276" i="61"/>
  <c r="W276" i="61"/>
  <c r="V276" i="61"/>
  <c r="U276" i="61"/>
  <c r="T276" i="61"/>
  <c r="S276" i="61"/>
  <c r="R276" i="61"/>
  <c r="Q276" i="61"/>
  <c r="P276" i="61"/>
  <c r="X275" i="61"/>
  <c r="W275" i="61"/>
  <c r="V275" i="61"/>
  <c r="U275" i="61"/>
  <c r="T275" i="61"/>
  <c r="S275" i="61"/>
  <c r="R275" i="61"/>
  <c r="Q275" i="61"/>
  <c r="P275" i="61"/>
  <c r="X274" i="61"/>
  <c r="W274" i="61"/>
  <c r="V274" i="61"/>
  <c r="U274" i="61"/>
  <c r="T274" i="61"/>
  <c r="S274" i="61"/>
  <c r="R274" i="61"/>
  <c r="Q274" i="61"/>
  <c r="P274" i="61"/>
  <c r="X273" i="61"/>
  <c r="W273" i="61"/>
  <c r="V273" i="61"/>
  <c r="U273" i="61"/>
  <c r="T273" i="61"/>
  <c r="S273" i="61"/>
  <c r="R273" i="61"/>
  <c r="Q273" i="61"/>
  <c r="P273" i="61"/>
  <c r="X272" i="61"/>
  <c r="W272" i="61"/>
  <c r="V272" i="61"/>
  <c r="U272" i="61"/>
  <c r="T272" i="61"/>
  <c r="S272" i="61"/>
  <c r="R272" i="61"/>
  <c r="Q272" i="61"/>
  <c r="P272" i="61"/>
  <c r="X271" i="61"/>
  <c r="W271" i="61"/>
  <c r="V271" i="61"/>
  <c r="U271" i="61"/>
  <c r="T271" i="61"/>
  <c r="S271" i="61"/>
  <c r="R271" i="61"/>
  <c r="Q271" i="61"/>
  <c r="P271" i="61"/>
  <c r="X270" i="61"/>
  <c r="W270" i="61"/>
  <c r="V270" i="61"/>
  <c r="U270" i="61"/>
  <c r="T270" i="61"/>
  <c r="S270" i="61"/>
  <c r="R270" i="61"/>
  <c r="Q270" i="61"/>
  <c r="P270" i="61"/>
  <c r="X269" i="61"/>
  <c r="W269" i="61"/>
  <c r="V269" i="61"/>
  <c r="U269" i="61"/>
  <c r="T269" i="61"/>
  <c r="S269" i="61"/>
  <c r="R269" i="61"/>
  <c r="Q269" i="61"/>
  <c r="P269" i="61"/>
  <c r="X268" i="61"/>
  <c r="W268" i="61"/>
  <c r="V268" i="61"/>
  <c r="U268" i="61"/>
  <c r="T268" i="61"/>
  <c r="S268" i="61"/>
  <c r="R268" i="61"/>
  <c r="Q268" i="61"/>
  <c r="P268" i="61"/>
  <c r="X267" i="61"/>
  <c r="W267" i="61"/>
  <c r="V267" i="61"/>
  <c r="U267" i="61"/>
  <c r="T267" i="61"/>
  <c r="S267" i="61"/>
  <c r="R267" i="61"/>
  <c r="Q267" i="61"/>
  <c r="P267" i="61"/>
  <c r="X266" i="61"/>
  <c r="W266" i="61"/>
  <c r="V266" i="61"/>
  <c r="U266" i="61"/>
  <c r="T266" i="61"/>
  <c r="S266" i="61"/>
  <c r="R266" i="61"/>
  <c r="Q266" i="61"/>
  <c r="P266" i="61"/>
  <c r="X265" i="61"/>
  <c r="W265" i="61"/>
  <c r="V265" i="61"/>
  <c r="U265" i="61"/>
  <c r="T265" i="61"/>
  <c r="S265" i="61"/>
  <c r="R265" i="61"/>
  <c r="Q265" i="61"/>
  <c r="P265" i="61"/>
  <c r="X264" i="61"/>
  <c r="W264" i="61"/>
  <c r="V264" i="61"/>
  <c r="U264" i="61"/>
  <c r="T264" i="61"/>
  <c r="S264" i="61"/>
  <c r="R264" i="61"/>
  <c r="Q264" i="61"/>
  <c r="P264" i="61"/>
  <c r="X263" i="61"/>
  <c r="W263" i="61"/>
  <c r="V263" i="61"/>
  <c r="U263" i="61"/>
  <c r="T263" i="61"/>
  <c r="S263" i="61"/>
  <c r="R263" i="61"/>
  <c r="Q263" i="61"/>
  <c r="P263" i="61"/>
  <c r="X262" i="61"/>
  <c r="W262" i="61"/>
  <c r="V262" i="61"/>
  <c r="U262" i="61"/>
  <c r="T262" i="61"/>
  <c r="S262" i="61"/>
  <c r="R262" i="61"/>
  <c r="Q262" i="61"/>
  <c r="P262" i="61"/>
  <c r="X261" i="61"/>
  <c r="W261" i="61"/>
  <c r="V261" i="61"/>
  <c r="U261" i="61"/>
  <c r="T261" i="61"/>
  <c r="S261" i="61"/>
  <c r="R261" i="61"/>
  <c r="Q261" i="61"/>
  <c r="P261" i="61"/>
  <c r="X260" i="61"/>
  <c r="W260" i="61"/>
  <c r="V260" i="61"/>
  <c r="U260" i="61"/>
  <c r="T260" i="61"/>
  <c r="S260" i="61"/>
  <c r="R260" i="61"/>
  <c r="Q260" i="61"/>
  <c r="P260" i="61"/>
  <c r="X259" i="61"/>
  <c r="W259" i="61"/>
  <c r="V259" i="61"/>
  <c r="U259" i="61"/>
  <c r="T259" i="61"/>
  <c r="S259" i="61"/>
  <c r="R259" i="61"/>
  <c r="Q259" i="61"/>
  <c r="P259" i="61"/>
  <c r="X258" i="61"/>
  <c r="W258" i="61"/>
  <c r="V258" i="61"/>
  <c r="U258" i="61"/>
  <c r="T258" i="61"/>
  <c r="S258" i="61"/>
  <c r="R258" i="61"/>
  <c r="Q258" i="61"/>
  <c r="P258" i="61"/>
  <c r="X257" i="61"/>
  <c r="W257" i="61"/>
  <c r="V257" i="61"/>
  <c r="U257" i="61"/>
  <c r="T257" i="61"/>
  <c r="S257" i="61"/>
  <c r="R257" i="61"/>
  <c r="Q257" i="61"/>
  <c r="P257" i="61"/>
  <c r="X256" i="61"/>
  <c r="W256" i="61"/>
  <c r="V256" i="61"/>
  <c r="U256" i="61"/>
  <c r="T256" i="61"/>
  <c r="S256" i="61"/>
  <c r="R256" i="61"/>
  <c r="Q256" i="61"/>
  <c r="P256" i="61"/>
  <c r="X255" i="61"/>
  <c r="W255" i="61"/>
  <c r="V255" i="61"/>
  <c r="U255" i="61"/>
  <c r="T255" i="61"/>
  <c r="S255" i="61"/>
  <c r="R255" i="61"/>
  <c r="Q255" i="61"/>
  <c r="P255" i="61"/>
  <c r="X254" i="61"/>
  <c r="W254" i="61"/>
  <c r="V254" i="61"/>
  <c r="U254" i="61"/>
  <c r="T254" i="61"/>
  <c r="S254" i="61"/>
  <c r="R254" i="61"/>
  <c r="Q254" i="61"/>
  <c r="P254" i="61"/>
  <c r="X253" i="61"/>
  <c r="W253" i="61"/>
  <c r="V253" i="61"/>
  <c r="U253" i="61"/>
  <c r="T253" i="61"/>
  <c r="S253" i="61"/>
  <c r="R253" i="61"/>
  <c r="Q253" i="61"/>
  <c r="P253" i="61"/>
  <c r="X252" i="61"/>
  <c r="W252" i="61"/>
  <c r="V252" i="61"/>
  <c r="U252" i="61"/>
  <c r="T252" i="61"/>
  <c r="S252" i="61"/>
  <c r="R252" i="61"/>
  <c r="Q252" i="61"/>
  <c r="P252" i="61"/>
  <c r="X251" i="61"/>
  <c r="W251" i="61"/>
  <c r="V251" i="61"/>
  <c r="U251" i="61"/>
  <c r="T251" i="61"/>
  <c r="S251" i="61"/>
  <c r="R251" i="61"/>
  <c r="Q251" i="61"/>
  <c r="P251" i="61"/>
  <c r="X250" i="61"/>
  <c r="W250" i="61"/>
  <c r="V250" i="61"/>
  <c r="U250" i="61"/>
  <c r="T250" i="61"/>
  <c r="S250" i="61"/>
  <c r="R250" i="61"/>
  <c r="Q250" i="61"/>
  <c r="P250" i="61"/>
  <c r="X249" i="61"/>
  <c r="W249" i="61"/>
  <c r="V249" i="61"/>
  <c r="U249" i="61"/>
  <c r="T249" i="61"/>
  <c r="S249" i="61"/>
  <c r="R249" i="61"/>
  <c r="Q249" i="61"/>
  <c r="P249" i="61"/>
  <c r="X248" i="61"/>
  <c r="W248" i="61"/>
  <c r="V248" i="61"/>
  <c r="U248" i="61"/>
  <c r="T248" i="61"/>
  <c r="S248" i="61"/>
  <c r="R248" i="61"/>
  <c r="Q248" i="61"/>
  <c r="P248" i="61"/>
  <c r="X247" i="61"/>
  <c r="W247" i="61"/>
  <c r="V247" i="61"/>
  <c r="U247" i="61"/>
  <c r="T247" i="61"/>
  <c r="S247" i="61"/>
  <c r="R247" i="61"/>
  <c r="Q247" i="61"/>
  <c r="P247" i="61"/>
  <c r="X246" i="61"/>
  <c r="W246" i="61"/>
  <c r="V246" i="61"/>
  <c r="U246" i="61"/>
  <c r="T246" i="61"/>
  <c r="S246" i="61"/>
  <c r="R246" i="61"/>
  <c r="Q246" i="61"/>
  <c r="P246" i="61"/>
  <c r="X245" i="61"/>
  <c r="W245" i="61"/>
  <c r="V245" i="61"/>
  <c r="U245" i="61"/>
  <c r="T245" i="61"/>
  <c r="S245" i="61"/>
  <c r="R245" i="61"/>
  <c r="Q245" i="61"/>
  <c r="P245" i="61"/>
  <c r="X244" i="61"/>
  <c r="W244" i="61"/>
  <c r="V244" i="61"/>
  <c r="U244" i="61"/>
  <c r="T244" i="61"/>
  <c r="S244" i="61"/>
  <c r="R244" i="61"/>
  <c r="Q244" i="61"/>
  <c r="P244" i="61"/>
  <c r="X243" i="61"/>
  <c r="W243" i="61"/>
  <c r="V243" i="61"/>
  <c r="U243" i="61"/>
  <c r="T243" i="61"/>
  <c r="S243" i="61"/>
  <c r="R243" i="61"/>
  <c r="Q243" i="61"/>
  <c r="P243" i="61"/>
  <c r="X242" i="61"/>
  <c r="W242" i="61"/>
  <c r="V242" i="61"/>
  <c r="U242" i="61"/>
  <c r="T242" i="61"/>
  <c r="S242" i="61"/>
  <c r="R242" i="61"/>
  <c r="Q242" i="61"/>
  <c r="P242" i="61"/>
  <c r="X241" i="61"/>
  <c r="W241" i="61"/>
  <c r="V241" i="61"/>
  <c r="U241" i="61"/>
  <c r="T241" i="61"/>
  <c r="S241" i="61"/>
  <c r="R241" i="61"/>
  <c r="Q241" i="61"/>
  <c r="P241" i="61"/>
  <c r="X240" i="61"/>
  <c r="W240" i="61"/>
  <c r="V240" i="61"/>
  <c r="U240" i="61"/>
  <c r="T240" i="61"/>
  <c r="S240" i="61"/>
  <c r="R240" i="61"/>
  <c r="Q240" i="61"/>
  <c r="P240" i="61"/>
  <c r="X239" i="61"/>
  <c r="W239" i="61"/>
  <c r="V239" i="61"/>
  <c r="U239" i="61"/>
  <c r="T239" i="61"/>
  <c r="S239" i="61"/>
  <c r="R239" i="61"/>
  <c r="Q239" i="61"/>
  <c r="P239" i="61"/>
  <c r="X238" i="61"/>
  <c r="W238" i="61"/>
  <c r="V238" i="61"/>
  <c r="U238" i="61"/>
  <c r="T238" i="61"/>
  <c r="S238" i="61"/>
  <c r="R238" i="61"/>
  <c r="Q238" i="61"/>
  <c r="P238" i="61"/>
  <c r="X237" i="61"/>
  <c r="W237" i="61"/>
  <c r="V237" i="61"/>
  <c r="U237" i="61"/>
  <c r="T237" i="61"/>
  <c r="S237" i="61"/>
  <c r="R237" i="61"/>
  <c r="Q237" i="61"/>
  <c r="P237" i="61"/>
  <c r="X236" i="61"/>
  <c r="W236" i="61"/>
  <c r="V236" i="61"/>
  <c r="U236" i="61"/>
  <c r="T236" i="61"/>
  <c r="S236" i="61"/>
  <c r="R236" i="61"/>
  <c r="Q236" i="61"/>
  <c r="P236" i="61"/>
  <c r="X235" i="61"/>
  <c r="W235" i="61"/>
  <c r="V235" i="61"/>
  <c r="U235" i="61"/>
  <c r="T235" i="61"/>
  <c r="S235" i="61"/>
  <c r="R235" i="61"/>
  <c r="Q235" i="61"/>
  <c r="P235" i="61"/>
  <c r="X234" i="61"/>
  <c r="W234" i="61"/>
  <c r="V234" i="61"/>
  <c r="U234" i="61"/>
  <c r="T234" i="61"/>
  <c r="S234" i="61"/>
  <c r="R234" i="61"/>
  <c r="Q234" i="61"/>
  <c r="P234" i="61"/>
  <c r="X233" i="61"/>
  <c r="W233" i="61"/>
  <c r="V233" i="61"/>
  <c r="U233" i="61"/>
  <c r="T233" i="61"/>
  <c r="S233" i="61"/>
  <c r="R233" i="61"/>
  <c r="Q233" i="61"/>
  <c r="P233" i="61"/>
  <c r="X232" i="61"/>
  <c r="W232" i="61"/>
  <c r="V232" i="61"/>
  <c r="U232" i="61"/>
  <c r="T232" i="61"/>
  <c r="S232" i="61"/>
  <c r="R232" i="61"/>
  <c r="Q232" i="61"/>
  <c r="P232" i="61"/>
  <c r="X231" i="61"/>
  <c r="W231" i="61"/>
  <c r="V231" i="61"/>
  <c r="U231" i="61"/>
  <c r="T231" i="61"/>
  <c r="S231" i="61"/>
  <c r="R231" i="61"/>
  <c r="Q231" i="61"/>
  <c r="P231" i="61"/>
  <c r="X230" i="61"/>
  <c r="W230" i="61"/>
  <c r="V230" i="61"/>
  <c r="U230" i="61"/>
  <c r="T230" i="61"/>
  <c r="S230" i="61"/>
  <c r="R230" i="61"/>
  <c r="Q230" i="61"/>
  <c r="P230" i="61"/>
  <c r="X229" i="61"/>
  <c r="W229" i="61"/>
  <c r="V229" i="61"/>
  <c r="U229" i="61"/>
  <c r="T229" i="61"/>
  <c r="S229" i="61"/>
  <c r="R229" i="61"/>
  <c r="Q229" i="61"/>
  <c r="P229" i="61"/>
  <c r="X228" i="61"/>
  <c r="W228" i="61"/>
  <c r="V228" i="61"/>
  <c r="U228" i="61"/>
  <c r="T228" i="61"/>
  <c r="S228" i="61"/>
  <c r="R228" i="61"/>
  <c r="Q228" i="61"/>
  <c r="P228" i="61"/>
  <c r="X227" i="61"/>
  <c r="W227" i="61"/>
  <c r="V227" i="61"/>
  <c r="U227" i="61"/>
  <c r="T227" i="61"/>
  <c r="S227" i="61"/>
  <c r="R227" i="61"/>
  <c r="Q227" i="61"/>
  <c r="P227" i="61"/>
  <c r="X226" i="61"/>
  <c r="W226" i="61"/>
  <c r="V226" i="61"/>
  <c r="U226" i="61"/>
  <c r="T226" i="61"/>
  <c r="S226" i="61"/>
  <c r="R226" i="61"/>
  <c r="Q226" i="61"/>
  <c r="P226" i="61"/>
  <c r="X225" i="61"/>
  <c r="W225" i="61"/>
  <c r="V225" i="61"/>
  <c r="U225" i="61"/>
  <c r="T225" i="61"/>
  <c r="S225" i="61"/>
  <c r="R225" i="61"/>
  <c r="Q225" i="61"/>
  <c r="P225" i="61"/>
  <c r="X224" i="61"/>
  <c r="W224" i="61"/>
  <c r="V224" i="61"/>
  <c r="U224" i="61"/>
  <c r="T224" i="61"/>
  <c r="S224" i="61"/>
  <c r="R224" i="61"/>
  <c r="Q224" i="61"/>
  <c r="P224" i="61"/>
  <c r="X223" i="61"/>
  <c r="W223" i="61"/>
  <c r="V223" i="61"/>
  <c r="U223" i="61"/>
  <c r="T223" i="61"/>
  <c r="S223" i="61"/>
  <c r="R223" i="61"/>
  <c r="Q223" i="61"/>
  <c r="P223" i="61"/>
  <c r="X222" i="61"/>
  <c r="W222" i="61"/>
  <c r="V222" i="61"/>
  <c r="U222" i="61"/>
  <c r="T222" i="61"/>
  <c r="S222" i="61"/>
  <c r="R222" i="61"/>
  <c r="Q222" i="61"/>
  <c r="P222" i="61"/>
  <c r="X221" i="61"/>
  <c r="W221" i="61"/>
  <c r="V221" i="61"/>
  <c r="U221" i="61"/>
  <c r="T221" i="61"/>
  <c r="S221" i="61"/>
  <c r="R221" i="61"/>
  <c r="Q221" i="61"/>
  <c r="P221" i="61"/>
  <c r="X220" i="61"/>
  <c r="W220" i="61"/>
  <c r="V220" i="61"/>
  <c r="U220" i="61"/>
  <c r="T220" i="61"/>
  <c r="S220" i="61"/>
  <c r="R220" i="61"/>
  <c r="Q220" i="61"/>
  <c r="P220" i="61"/>
  <c r="X219" i="61"/>
  <c r="W219" i="61"/>
  <c r="V219" i="61"/>
  <c r="U219" i="61"/>
  <c r="T219" i="61"/>
  <c r="S219" i="61"/>
  <c r="R219" i="61"/>
  <c r="Q219" i="61"/>
  <c r="P219" i="61"/>
  <c r="X218" i="61"/>
  <c r="W218" i="61"/>
  <c r="V218" i="61"/>
  <c r="U218" i="61"/>
  <c r="T218" i="61"/>
  <c r="S218" i="61"/>
  <c r="R218" i="61"/>
  <c r="Q218" i="61"/>
  <c r="P218" i="61"/>
  <c r="X217" i="61"/>
  <c r="W217" i="61"/>
  <c r="V217" i="61"/>
  <c r="U217" i="61"/>
  <c r="T217" i="61"/>
  <c r="S217" i="61"/>
  <c r="R217" i="61"/>
  <c r="Q217" i="61"/>
  <c r="P217" i="61"/>
  <c r="X216" i="61"/>
  <c r="W216" i="61"/>
  <c r="V216" i="61"/>
  <c r="U216" i="61"/>
  <c r="T216" i="61"/>
  <c r="S216" i="61"/>
  <c r="R216" i="61"/>
  <c r="Q216" i="61"/>
  <c r="P216" i="61"/>
  <c r="X215" i="61"/>
  <c r="W215" i="61"/>
  <c r="V215" i="61"/>
  <c r="U215" i="61"/>
  <c r="T215" i="61"/>
  <c r="S215" i="61"/>
  <c r="R215" i="61"/>
  <c r="Q215" i="61"/>
  <c r="P215" i="61"/>
  <c r="X214" i="61"/>
  <c r="W214" i="61"/>
  <c r="V214" i="61"/>
  <c r="U214" i="61"/>
  <c r="T214" i="61"/>
  <c r="S214" i="61"/>
  <c r="R214" i="61"/>
  <c r="Q214" i="61"/>
  <c r="P214" i="61"/>
  <c r="X213" i="61"/>
  <c r="W213" i="61"/>
  <c r="V213" i="61"/>
  <c r="U213" i="61"/>
  <c r="T213" i="61"/>
  <c r="S213" i="61"/>
  <c r="R213" i="61"/>
  <c r="Q213" i="61"/>
  <c r="P213" i="61"/>
  <c r="X212" i="61"/>
  <c r="W212" i="61"/>
  <c r="V212" i="61"/>
  <c r="U212" i="61"/>
  <c r="T212" i="61"/>
  <c r="S212" i="61"/>
  <c r="R212" i="61"/>
  <c r="Q212" i="61"/>
  <c r="P212" i="61"/>
  <c r="X211" i="61"/>
  <c r="W211" i="61"/>
  <c r="V211" i="61"/>
  <c r="U211" i="61"/>
  <c r="T211" i="61"/>
  <c r="S211" i="61"/>
  <c r="R211" i="61"/>
  <c r="Q211" i="61"/>
  <c r="P211" i="61"/>
  <c r="X210" i="61"/>
  <c r="W210" i="61"/>
  <c r="V210" i="61"/>
  <c r="U210" i="61"/>
  <c r="T210" i="61"/>
  <c r="S210" i="61"/>
  <c r="R210" i="61"/>
  <c r="Q210" i="61"/>
  <c r="P210" i="61"/>
  <c r="X209" i="61"/>
  <c r="W209" i="61"/>
  <c r="V209" i="61"/>
  <c r="U209" i="61"/>
  <c r="T209" i="61"/>
  <c r="S209" i="61"/>
  <c r="R209" i="61"/>
  <c r="Q209" i="61"/>
  <c r="P209" i="61"/>
  <c r="X208" i="61"/>
  <c r="W208" i="61"/>
  <c r="V208" i="61"/>
  <c r="U208" i="61"/>
  <c r="T208" i="61"/>
  <c r="S208" i="61"/>
  <c r="R208" i="61"/>
  <c r="Q208" i="61"/>
  <c r="P208" i="61"/>
  <c r="X207" i="61"/>
  <c r="W207" i="61"/>
  <c r="V207" i="61"/>
  <c r="U207" i="61"/>
  <c r="T207" i="61"/>
  <c r="S207" i="61"/>
  <c r="R207" i="61"/>
  <c r="Q207" i="61"/>
  <c r="P207" i="61"/>
  <c r="X206" i="61"/>
  <c r="W206" i="61"/>
  <c r="V206" i="61"/>
  <c r="U206" i="61"/>
  <c r="T206" i="61"/>
  <c r="S206" i="61"/>
  <c r="R206" i="61"/>
  <c r="Q206" i="61"/>
  <c r="P206" i="61"/>
  <c r="X205" i="61"/>
  <c r="W205" i="61"/>
  <c r="V205" i="61"/>
  <c r="U205" i="61"/>
  <c r="T205" i="61"/>
  <c r="S205" i="61"/>
  <c r="R205" i="61"/>
  <c r="Q205" i="61"/>
  <c r="P205" i="61"/>
  <c r="X204" i="61"/>
  <c r="W204" i="61"/>
  <c r="V204" i="61"/>
  <c r="U204" i="61"/>
  <c r="T204" i="61"/>
  <c r="S204" i="61"/>
  <c r="R204" i="61"/>
  <c r="Q204" i="61"/>
  <c r="P204" i="61"/>
  <c r="X203" i="61"/>
  <c r="W203" i="61"/>
  <c r="V203" i="61"/>
  <c r="U203" i="61"/>
  <c r="T203" i="61"/>
  <c r="S203" i="61"/>
  <c r="R203" i="61"/>
  <c r="Q203" i="61"/>
  <c r="P203" i="61"/>
  <c r="X202" i="61"/>
  <c r="W202" i="61"/>
  <c r="V202" i="61"/>
  <c r="U202" i="61"/>
  <c r="T202" i="61"/>
  <c r="S202" i="61"/>
  <c r="R202" i="61"/>
  <c r="Q202" i="61"/>
  <c r="P202" i="61"/>
  <c r="X201" i="61"/>
  <c r="W201" i="61"/>
  <c r="V201" i="61"/>
  <c r="U201" i="61"/>
  <c r="T201" i="61"/>
  <c r="S201" i="61"/>
  <c r="R201" i="61"/>
  <c r="Q201" i="61"/>
  <c r="P201" i="61"/>
  <c r="X200" i="61"/>
  <c r="W200" i="61"/>
  <c r="V200" i="61"/>
  <c r="U200" i="61"/>
  <c r="T200" i="61"/>
  <c r="S200" i="61"/>
  <c r="R200" i="61"/>
  <c r="Q200" i="61"/>
  <c r="P200" i="61"/>
  <c r="X199" i="61"/>
  <c r="W199" i="61"/>
  <c r="V199" i="61"/>
  <c r="U199" i="61"/>
  <c r="T199" i="61"/>
  <c r="S199" i="61"/>
  <c r="R199" i="61"/>
  <c r="Q199" i="61"/>
  <c r="P199" i="61"/>
  <c r="X198" i="61"/>
  <c r="W198" i="61"/>
  <c r="V198" i="61"/>
  <c r="U198" i="61"/>
  <c r="T198" i="61"/>
  <c r="S198" i="61"/>
  <c r="R198" i="61"/>
  <c r="Q198" i="61"/>
  <c r="P198" i="61"/>
  <c r="X197" i="61"/>
  <c r="W197" i="61"/>
  <c r="V197" i="61"/>
  <c r="U197" i="61"/>
  <c r="T197" i="61"/>
  <c r="S197" i="61"/>
  <c r="R197" i="61"/>
  <c r="Q197" i="61"/>
  <c r="P197" i="61"/>
  <c r="X196" i="61"/>
  <c r="W196" i="61"/>
  <c r="V196" i="61"/>
  <c r="U196" i="61"/>
  <c r="T196" i="61"/>
  <c r="S196" i="61"/>
  <c r="R196" i="61"/>
  <c r="Q196" i="61"/>
  <c r="P196" i="61"/>
  <c r="X195" i="61"/>
  <c r="W195" i="61"/>
  <c r="V195" i="61"/>
  <c r="U195" i="61"/>
  <c r="T195" i="61"/>
  <c r="S195" i="61"/>
  <c r="R195" i="61"/>
  <c r="Q195" i="61"/>
  <c r="P195" i="61"/>
  <c r="X194" i="61"/>
  <c r="W194" i="61"/>
  <c r="V194" i="61"/>
  <c r="U194" i="61"/>
  <c r="T194" i="61"/>
  <c r="S194" i="61"/>
  <c r="R194" i="61"/>
  <c r="Q194" i="61"/>
  <c r="P194" i="61"/>
  <c r="X193" i="61"/>
  <c r="W193" i="61"/>
  <c r="V193" i="61"/>
  <c r="U193" i="61"/>
  <c r="T193" i="61"/>
  <c r="S193" i="61"/>
  <c r="R193" i="61"/>
  <c r="Q193" i="61"/>
  <c r="P193" i="61"/>
  <c r="X192" i="61"/>
  <c r="W192" i="61"/>
  <c r="V192" i="61"/>
  <c r="U192" i="61"/>
  <c r="T192" i="61"/>
  <c r="S192" i="61"/>
  <c r="R192" i="61"/>
  <c r="Q192" i="61"/>
  <c r="P192" i="61"/>
  <c r="X191" i="61"/>
  <c r="W191" i="61"/>
  <c r="V191" i="61"/>
  <c r="U191" i="61"/>
  <c r="T191" i="61"/>
  <c r="S191" i="61"/>
  <c r="R191" i="61"/>
  <c r="Q191" i="61"/>
  <c r="P191" i="61"/>
  <c r="X190" i="61"/>
  <c r="W190" i="61"/>
  <c r="V190" i="61"/>
  <c r="U190" i="61"/>
  <c r="T190" i="61"/>
  <c r="S190" i="61"/>
  <c r="R190" i="61"/>
  <c r="Q190" i="61"/>
  <c r="P190" i="61"/>
  <c r="X189" i="61"/>
  <c r="W189" i="61"/>
  <c r="V189" i="61"/>
  <c r="U189" i="61"/>
  <c r="T189" i="61"/>
  <c r="S189" i="61"/>
  <c r="R189" i="61"/>
  <c r="Q189" i="61"/>
  <c r="P189" i="61"/>
  <c r="X188" i="61"/>
  <c r="W188" i="61"/>
  <c r="V188" i="61"/>
  <c r="U188" i="61"/>
  <c r="T188" i="61"/>
  <c r="S188" i="61"/>
  <c r="R188" i="61"/>
  <c r="Q188" i="61"/>
  <c r="P188" i="61"/>
  <c r="X187" i="61"/>
  <c r="W187" i="61"/>
  <c r="V187" i="61"/>
  <c r="U187" i="61"/>
  <c r="T187" i="61"/>
  <c r="S187" i="61"/>
  <c r="R187" i="61"/>
  <c r="Q187" i="61"/>
  <c r="P187" i="61"/>
  <c r="X186" i="61"/>
  <c r="W186" i="61"/>
  <c r="V186" i="61"/>
  <c r="U186" i="61"/>
  <c r="T186" i="61"/>
  <c r="S186" i="61"/>
  <c r="R186" i="61"/>
  <c r="Q186" i="61"/>
  <c r="P186" i="61"/>
  <c r="X185" i="61"/>
  <c r="W185" i="61"/>
  <c r="V185" i="61"/>
  <c r="U185" i="61"/>
  <c r="T185" i="61"/>
  <c r="S185" i="61"/>
  <c r="R185" i="61"/>
  <c r="Q185" i="61"/>
  <c r="P185" i="61"/>
  <c r="X184" i="61"/>
  <c r="W184" i="61"/>
  <c r="V184" i="61"/>
  <c r="U184" i="61"/>
  <c r="T184" i="61"/>
  <c r="S184" i="61"/>
  <c r="R184" i="61"/>
  <c r="Q184" i="61"/>
  <c r="P184" i="61"/>
  <c r="X183" i="61"/>
  <c r="W183" i="61"/>
  <c r="V183" i="61"/>
  <c r="U183" i="61"/>
  <c r="T183" i="61"/>
  <c r="S183" i="61"/>
  <c r="R183" i="61"/>
  <c r="Q183" i="61"/>
  <c r="P183" i="61"/>
  <c r="X182" i="61"/>
  <c r="W182" i="61"/>
  <c r="V182" i="61"/>
  <c r="U182" i="61"/>
  <c r="T182" i="61"/>
  <c r="S182" i="61"/>
  <c r="R182" i="61"/>
  <c r="Q182" i="61"/>
  <c r="P182" i="61"/>
  <c r="X181" i="61"/>
  <c r="W181" i="61"/>
  <c r="V181" i="61"/>
  <c r="U181" i="61"/>
  <c r="T181" i="61"/>
  <c r="S181" i="61"/>
  <c r="R181" i="61"/>
  <c r="Q181" i="61"/>
  <c r="P181" i="61"/>
  <c r="X180" i="61"/>
  <c r="W180" i="61"/>
  <c r="V180" i="61"/>
  <c r="U180" i="61"/>
  <c r="T180" i="61"/>
  <c r="S180" i="61"/>
  <c r="R180" i="61"/>
  <c r="Q180" i="61"/>
  <c r="P180" i="61"/>
  <c r="X179" i="61"/>
  <c r="W179" i="61"/>
  <c r="V179" i="61"/>
  <c r="U179" i="61"/>
  <c r="T179" i="61"/>
  <c r="S179" i="61"/>
  <c r="R179" i="61"/>
  <c r="Q179" i="61"/>
  <c r="P179" i="61"/>
  <c r="X178" i="61"/>
  <c r="W178" i="61"/>
  <c r="V178" i="61"/>
  <c r="U178" i="61"/>
  <c r="T178" i="61"/>
  <c r="S178" i="61"/>
  <c r="R178" i="61"/>
  <c r="Q178" i="61"/>
  <c r="P178" i="61"/>
  <c r="X177" i="61"/>
  <c r="W177" i="61"/>
  <c r="V177" i="61"/>
  <c r="U177" i="61"/>
  <c r="T177" i="61"/>
  <c r="S177" i="61"/>
  <c r="R177" i="61"/>
  <c r="Q177" i="61"/>
  <c r="P177" i="61"/>
  <c r="X176" i="61"/>
  <c r="W176" i="61"/>
  <c r="V176" i="61"/>
  <c r="U176" i="61"/>
  <c r="T176" i="61"/>
  <c r="S176" i="61"/>
  <c r="R176" i="61"/>
  <c r="Q176" i="61"/>
  <c r="P176" i="61"/>
  <c r="X175" i="61"/>
  <c r="W175" i="61"/>
  <c r="V175" i="61"/>
  <c r="U175" i="61"/>
  <c r="T175" i="61"/>
  <c r="S175" i="61"/>
  <c r="R175" i="61"/>
  <c r="Q175" i="61"/>
  <c r="P175" i="61"/>
  <c r="X174" i="61"/>
  <c r="W174" i="61"/>
  <c r="V174" i="61"/>
  <c r="U174" i="61"/>
  <c r="T174" i="61"/>
  <c r="S174" i="61"/>
  <c r="R174" i="61"/>
  <c r="Q174" i="61"/>
  <c r="P174" i="61"/>
  <c r="X173" i="61"/>
  <c r="W173" i="61"/>
  <c r="V173" i="61"/>
  <c r="U173" i="61"/>
  <c r="T173" i="61"/>
  <c r="S173" i="61"/>
  <c r="R173" i="61"/>
  <c r="Q173" i="61"/>
  <c r="P173" i="61"/>
  <c r="X172" i="61"/>
  <c r="W172" i="61"/>
  <c r="V172" i="61"/>
  <c r="U172" i="61"/>
  <c r="T172" i="61"/>
  <c r="S172" i="61"/>
  <c r="R172" i="61"/>
  <c r="Q172" i="61"/>
  <c r="P172" i="61"/>
  <c r="X171" i="61"/>
  <c r="W171" i="61"/>
  <c r="V171" i="61"/>
  <c r="U171" i="61"/>
  <c r="T171" i="61"/>
  <c r="S171" i="61"/>
  <c r="R171" i="61"/>
  <c r="Q171" i="61"/>
  <c r="P171" i="61"/>
  <c r="X170" i="61"/>
  <c r="W170" i="61"/>
  <c r="V170" i="61"/>
  <c r="U170" i="61"/>
  <c r="T170" i="61"/>
  <c r="S170" i="61"/>
  <c r="R170" i="61"/>
  <c r="Q170" i="61"/>
  <c r="P170" i="61"/>
  <c r="X169" i="61"/>
  <c r="W169" i="61"/>
  <c r="V169" i="61"/>
  <c r="U169" i="61"/>
  <c r="T169" i="61"/>
  <c r="S169" i="61"/>
  <c r="R169" i="61"/>
  <c r="Q169" i="61"/>
  <c r="P169" i="61"/>
  <c r="X168" i="61"/>
  <c r="W168" i="61"/>
  <c r="V168" i="61"/>
  <c r="U168" i="61"/>
  <c r="T168" i="61"/>
  <c r="S168" i="61"/>
  <c r="R168" i="61"/>
  <c r="Q168" i="61"/>
  <c r="P168" i="61"/>
  <c r="X167" i="61"/>
  <c r="W167" i="61"/>
  <c r="V167" i="61"/>
  <c r="U167" i="61"/>
  <c r="T167" i="61"/>
  <c r="S167" i="61"/>
  <c r="R167" i="61"/>
  <c r="Q167" i="61"/>
  <c r="P167" i="61"/>
  <c r="X166" i="61"/>
  <c r="W166" i="61"/>
  <c r="V166" i="61"/>
  <c r="U166" i="61"/>
  <c r="T166" i="61"/>
  <c r="S166" i="61"/>
  <c r="R166" i="61"/>
  <c r="Q166" i="61"/>
  <c r="P166" i="61"/>
  <c r="X165" i="61"/>
  <c r="W165" i="61"/>
  <c r="V165" i="61"/>
  <c r="U165" i="61"/>
  <c r="T165" i="61"/>
  <c r="S165" i="61"/>
  <c r="R165" i="61"/>
  <c r="Q165" i="61"/>
  <c r="P165" i="61"/>
  <c r="X164" i="61"/>
  <c r="W164" i="61"/>
  <c r="V164" i="61"/>
  <c r="U164" i="61"/>
  <c r="T164" i="61"/>
  <c r="S164" i="61"/>
  <c r="R164" i="61"/>
  <c r="Q164" i="61"/>
  <c r="P164" i="61"/>
  <c r="X163" i="61"/>
  <c r="W163" i="61"/>
  <c r="V163" i="61"/>
  <c r="U163" i="61"/>
  <c r="T163" i="61"/>
  <c r="S163" i="61"/>
  <c r="R163" i="61"/>
  <c r="Q163" i="61"/>
  <c r="P163" i="61"/>
  <c r="X162" i="61"/>
  <c r="W162" i="61"/>
  <c r="V162" i="61"/>
  <c r="U162" i="61"/>
  <c r="T162" i="61"/>
  <c r="S162" i="61"/>
  <c r="R162" i="61"/>
  <c r="Q162" i="61"/>
  <c r="P162" i="61"/>
  <c r="X161" i="61"/>
  <c r="W161" i="61"/>
  <c r="V161" i="61"/>
  <c r="U161" i="61"/>
  <c r="T161" i="61"/>
  <c r="S161" i="61"/>
  <c r="R161" i="61"/>
  <c r="Q161" i="61"/>
  <c r="P161" i="61"/>
  <c r="X160" i="61"/>
  <c r="W160" i="61"/>
  <c r="V160" i="61"/>
  <c r="U160" i="61"/>
  <c r="T160" i="61"/>
  <c r="S160" i="61"/>
  <c r="R160" i="61"/>
  <c r="Q160" i="61"/>
  <c r="P160" i="61"/>
  <c r="X159" i="61"/>
  <c r="W159" i="61"/>
  <c r="V159" i="61"/>
  <c r="U159" i="61"/>
  <c r="T159" i="61"/>
  <c r="S159" i="61"/>
  <c r="R159" i="61"/>
  <c r="Q159" i="61"/>
  <c r="P159" i="61"/>
  <c r="X158" i="61"/>
  <c r="W158" i="61"/>
  <c r="V158" i="61"/>
  <c r="U158" i="61"/>
  <c r="T158" i="61"/>
  <c r="S158" i="61"/>
  <c r="R158" i="61"/>
  <c r="Q158" i="61"/>
  <c r="P158" i="61"/>
  <c r="X157" i="61"/>
  <c r="W157" i="61"/>
  <c r="V157" i="61"/>
  <c r="U157" i="61"/>
  <c r="T157" i="61"/>
  <c r="S157" i="61"/>
  <c r="R157" i="61"/>
  <c r="Q157" i="61"/>
  <c r="P157" i="61"/>
  <c r="X156" i="61"/>
  <c r="W156" i="61"/>
  <c r="V156" i="61"/>
  <c r="U156" i="61"/>
  <c r="T156" i="61"/>
  <c r="S156" i="61"/>
  <c r="R156" i="61"/>
  <c r="Q156" i="61"/>
  <c r="P156" i="61"/>
  <c r="X155" i="61"/>
  <c r="W155" i="61"/>
  <c r="V155" i="61"/>
  <c r="U155" i="61"/>
  <c r="T155" i="61"/>
  <c r="S155" i="61"/>
  <c r="R155" i="61"/>
  <c r="Q155" i="61"/>
  <c r="P155" i="61"/>
  <c r="X154" i="61"/>
  <c r="W154" i="61"/>
  <c r="V154" i="61"/>
  <c r="U154" i="61"/>
  <c r="T154" i="61"/>
  <c r="S154" i="61"/>
  <c r="R154" i="61"/>
  <c r="Q154" i="61"/>
  <c r="P154" i="61"/>
  <c r="X153" i="61"/>
  <c r="W153" i="61"/>
  <c r="V153" i="61"/>
  <c r="U153" i="61"/>
  <c r="T153" i="61"/>
  <c r="S153" i="61"/>
  <c r="R153" i="61"/>
  <c r="Q153" i="61"/>
  <c r="P153" i="61"/>
  <c r="X152" i="61"/>
  <c r="W152" i="61"/>
  <c r="V152" i="61"/>
  <c r="U152" i="61"/>
  <c r="T152" i="61"/>
  <c r="S152" i="61"/>
  <c r="R152" i="61"/>
  <c r="Q152" i="61"/>
  <c r="P152" i="61"/>
  <c r="X151" i="61"/>
  <c r="W151" i="61"/>
  <c r="V151" i="61"/>
  <c r="U151" i="61"/>
  <c r="T151" i="61"/>
  <c r="S151" i="61"/>
  <c r="R151" i="61"/>
  <c r="Q151" i="61"/>
  <c r="P151" i="61"/>
  <c r="X150" i="61"/>
  <c r="W150" i="61"/>
  <c r="V150" i="61"/>
  <c r="U150" i="61"/>
  <c r="T150" i="61"/>
  <c r="S150" i="61"/>
  <c r="R150" i="61"/>
  <c r="Q150" i="61"/>
  <c r="P150" i="61"/>
  <c r="X149" i="61"/>
  <c r="W149" i="61"/>
  <c r="V149" i="61"/>
  <c r="U149" i="61"/>
  <c r="T149" i="61"/>
  <c r="S149" i="61"/>
  <c r="R149" i="61"/>
  <c r="Q149" i="61"/>
  <c r="P149" i="61"/>
  <c r="X148" i="61"/>
  <c r="W148" i="61"/>
  <c r="V148" i="61"/>
  <c r="U148" i="61"/>
  <c r="T148" i="61"/>
  <c r="S148" i="61"/>
  <c r="R148" i="61"/>
  <c r="Q148" i="61"/>
  <c r="P148" i="61"/>
  <c r="X147" i="61"/>
  <c r="W147" i="61"/>
  <c r="V147" i="61"/>
  <c r="U147" i="61"/>
  <c r="T147" i="61"/>
  <c r="S147" i="61"/>
  <c r="R147" i="61"/>
  <c r="Q147" i="61"/>
  <c r="P147" i="61"/>
  <c r="X146" i="61"/>
  <c r="W146" i="61"/>
  <c r="V146" i="61"/>
  <c r="U146" i="61"/>
  <c r="T146" i="61"/>
  <c r="S146" i="61"/>
  <c r="R146" i="61"/>
  <c r="Q146" i="61"/>
  <c r="P146" i="61"/>
  <c r="X145" i="61"/>
  <c r="W145" i="61"/>
  <c r="V145" i="61"/>
  <c r="U145" i="61"/>
  <c r="T145" i="61"/>
  <c r="S145" i="61"/>
  <c r="R145" i="61"/>
  <c r="Q145" i="61"/>
  <c r="P145" i="61"/>
  <c r="X144" i="61"/>
  <c r="W144" i="61"/>
  <c r="V144" i="61"/>
  <c r="U144" i="61"/>
  <c r="T144" i="61"/>
  <c r="S144" i="61"/>
  <c r="R144" i="61"/>
  <c r="Q144" i="61"/>
  <c r="P144" i="61"/>
  <c r="X143" i="61"/>
  <c r="W143" i="61"/>
  <c r="V143" i="61"/>
  <c r="U143" i="61"/>
  <c r="T143" i="61"/>
  <c r="S143" i="61"/>
  <c r="R143" i="61"/>
  <c r="Q143" i="61"/>
  <c r="P143" i="61"/>
  <c r="X142" i="61"/>
  <c r="W142" i="61"/>
  <c r="V142" i="61"/>
  <c r="U142" i="61"/>
  <c r="T142" i="61"/>
  <c r="S142" i="61"/>
  <c r="R142" i="61"/>
  <c r="Q142" i="61"/>
  <c r="P142" i="61"/>
  <c r="X141" i="61"/>
  <c r="W141" i="61"/>
  <c r="V141" i="61"/>
  <c r="U141" i="61"/>
  <c r="T141" i="61"/>
  <c r="S141" i="61"/>
  <c r="R141" i="61"/>
  <c r="Q141" i="61"/>
  <c r="P141" i="61"/>
  <c r="X140" i="61"/>
  <c r="W140" i="61"/>
  <c r="V140" i="61"/>
  <c r="U140" i="61"/>
  <c r="T140" i="61"/>
  <c r="S140" i="61"/>
  <c r="R140" i="61"/>
  <c r="Q140" i="61"/>
  <c r="P140" i="61"/>
  <c r="X139" i="61"/>
  <c r="W139" i="61"/>
  <c r="V139" i="61"/>
  <c r="U139" i="61"/>
  <c r="T139" i="61"/>
  <c r="S139" i="61"/>
  <c r="R139" i="61"/>
  <c r="Q139" i="61"/>
  <c r="P139" i="61"/>
  <c r="X138" i="61"/>
  <c r="W138" i="61"/>
  <c r="V138" i="61"/>
  <c r="U138" i="61"/>
  <c r="T138" i="61"/>
  <c r="S138" i="61"/>
  <c r="R138" i="61"/>
  <c r="Q138" i="61"/>
  <c r="P138" i="61"/>
  <c r="X137" i="61"/>
  <c r="W137" i="61"/>
  <c r="V137" i="61"/>
  <c r="U137" i="61"/>
  <c r="T137" i="61"/>
  <c r="S137" i="61"/>
  <c r="R137" i="61"/>
  <c r="Q137" i="61"/>
  <c r="P137" i="61"/>
  <c r="X136" i="61"/>
  <c r="W136" i="61"/>
  <c r="V136" i="61"/>
  <c r="U136" i="61"/>
  <c r="T136" i="61"/>
  <c r="S136" i="61"/>
  <c r="R136" i="61"/>
  <c r="Q136" i="61"/>
  <c r="P136" i="61"/>
  <c r="X135" i="61"/>
  <c r="W135" i="61"/>
  <c r="V135" i="61"/>
  <c r="U135" i="61"/>
  <c r="T135" i="61"/>
  <c r="S135" i="61"/>
  <c r="R135" i="61"/>
  <c r="Q135" i="61"/>
  <c r="P135" i="61"/>
  <c r="X134" i="61"/>
  <c r="W134" i="61"/>
  <c r="V134" i="61"/>
  <c r="U134" i="61"/>
  <c r="T134" i="61"/>
  <c r="S134" i="61"/>
  <c r="R134" i="61"/>
  <c r="Q134" i="61"/>
  <c r="P134" i="61"/>
  <c r="X133" i="61"/>
  <c r="W133" i="61"/>
  <c r="V133" i="61"/>
  <c r="U133" i="61"/>
  <c r="T133" i="61"/>
  <c r="S133" i="61"/>
  <c r="R133" i="61"/>
  <c r="Q133" i="61"/>
  <c r="P133" i="61"/>
  <c r="X132" i="61"/>
  <c r="W132" i="61"/>
  <c r="V132" i="61"/>
  <c r="U132" i="61"/>
  <c r="T132" i="61"/>
  <c r="S132" i="61"/>
  <c r="R132" i="61"/>
  <c r="Q132" i="61"/>
  <c r="P132" i="61"/>
  <c r="X131" i="61"/>
  <c r="W131" i="61"/>
  <c r="V131" i="61"/>
  <c r="U131" i="61"/>
  <c r="T131" i="61"/>
  <c r="S131" i="61"/>
  <c r="R131" i="61"/>
  <c r="Q131" i="61"/>
  <c r="P131" i="61"/>
  <c r="X130" i="61"/>
  <c r="W130" i="61"/>
  <c r="V130" i="61"/>
  <c r="U130" i="61"/>
  <c r="T130" i="61"/>
  <c r="S130" i="61"/>
  <c r="R130" i="61"/>
  <c r="Q130" i="61"/>
  <c r="P130" i="61"/>
  <c r="X129" i="61"/>
  <c r="W129" i="61"/>
  <c r="V129" i="61"/>
  <c r="U129" i="61"/>
  <c r="T129" i="61"/>
  <c r="S129" i="61"/>
  <c r="R129" i="61"/>
  <c r="Q129" i="61"/>
  <c r="P129" i="61"/>
  <c r="X128" i="61"/>
  <c r="W128" i="61"/>
  <c r="V128" i="61"/>
  <c r="U128" i="61"/>
  <c r="T128" i="61"/>
  <c r="S128" i="61"/>
  <c r="R128" i="61"/>
  <c r="Q128" i="61"/>
  <c r="P128" i="61"/>
  <c r="X127" i="61"/>
  <c r="W127" i="61"/>
  <c r="V127" i="61"/>
  <c r="U127" i="61"/>
  <c r="T127" i="61"/>
  <c r="S127" i="61"/>
  <c r="R127" i="61"/>
  <c r="Q127" i="61"/>
  <c r="P127" i="61"/>
  <c r="X126" i="61"/>
  <c r="W126" i="61"/>
  <c r="V126" i="61"/>
  <c r="U126" i="61"/>
  <c r="T126" i="61"/>
  <c r="S126" i="61"/>
  <c r="R126" i="61"/>
  <c r="Q126" i="61"/>
  <c r="P126" i="61"/>
  <c r="X125" i="61"/>
  <c r="W125" i="61"/>
  <c r="V125" i="61"/>
  <c r="U125" i="61"/>
  <c r="T125" i="61"/>
  <c r="S125" i="61"/>
  <c r="R125" i="61"/>
  <c r="Q125" i="61"/>
  <c r="P125" i="61"/>
  <c r="X124" i="61"/>
  <c r="W124" i="61"/>
  <c r="V124" i="61"/>
  <c r="U124" i="61"/>
  <c r="T124" i="61"/>
  <c r="S124" i="61"/>
  <c r="R124" i="61"/>
  <c r="Q124" i="61"/>
  <c r="P124" i="61"/>
  <c r="X123" i="61"/>
  <c r="W123" i="61"/>
  <c r="V123" i="61"/>
  <c r="U123" i="61"/>
  <c r="T123" i="61"/>
  <c r="S123" i="61"/>
  <c r="R123" i="61"/>
  <c r="Q123" i="61"/>
  <c r="P123" i="61"/>
  <c r="X122" i="61"/>
  <c r="W122" i="61"/>
  <c r="V122" i="61"/>
  <c r="U122" i="61"/>
  <c r="T122" i="61"/>
  <c r="S122" i="61"/>
  <c r="R122" i="61"/>
  <c r="Q122" i="61"/>
  <c r="P122" i="61"/>
  <c r="X121" i="61"/>
  <c r="W121" i="61"/>
  <c r="V121" i="61"/>
  <c r="U121" i="61"/>
  <c r="T121" i="61"/>
  <c r="S121" i="61"/>
  <c r="R121" i="61"/>
  <c r="Q121" i="61"/>
  <c r="P121" i="61"/>
  <c r="X120" i="61"/>
  <c r="W120" i="61"/>
  <c r="V120" i="61"/>
  <c r="U120" i="61"/>
  <c r="T120" i="61"/>
  <c r="S120" i="61"/>
  <c r="R120" i="61"/>
  <c r="Q120" i="61"/>
  <c r="P120" i="61"/>
  <c r="X119" i="61"/>
  <c r="W119" i="61"/>
  <c r="V119" i="61"/>
  <c r="U119" i="61"/>
  <c r="T119" i="61"/>
  <c r="S119" i="61"/>
  <c r="R119" i="61"/>
  <c r="Q119" i="61"/>
  <c r="P119" i="61"/>
  <c r="X118" i="61"/>
  <c r="W118" i="61"/>
  <c r="V118" i="61"/>
  <c r="U118" i="61"/>
  <c r="T118" i="61"/>
  <c r="S118" i="61"/>
  <c r="R118" i="61"/>
  <c r="Q118" i="61"/>
  <c r="P118" i="61"/>
  <c r="X117" i="61"/>
  <c r="W117" i="61"/>
  <c r="V117" i="61"/>
  <c r="U117" i="61"/>
  <c r="T117" i="61"/>
  <c r="S117" i="61"/>
  <c r="R117" i="61"/>
  <c r="Q117" i="61"/>
  <c r="P117" i="61"/>
  <c r="X116" i="61"/>
  <c r="W116" i="61"/>
  <c r="V116" i="61"/>
  <c r="U116" i="61"/>
  <c r="T116" i="61"/>
  <c r="S116" i="61"/>
  <c r="R116" i="61"/>
  <c r="Q116" i="61"/>
  <c r="P116" i="61"/>
  <c r="X115" i="61"/>
  <c r="W115" i="61"/>
  <c r="V115" i="61"/>
  <c r="U115" i="61"/>
  <c r="T115" i="61"/>
  <c r="S115" i="61"/>
  <c r="R115" i="61"/>
  <c r="Q115" i="61"/>
  <c r="P115" i="61"/>
  <c r="X114" i="61"/>
  <c r="W114" i="61"/>
  <c r="V114" i="61"/>
  <c r="U114" i="61"/>
  <c r="T114" i="61"/>
  <c r="S114" i="61"/>
  <c r="R114" i="61"/>
  <c r="Q114" i="61"/>
  <c r="P114" i="61"/>
  <c r="X113" i="61"/>
  <c r="W113" i="61"/>
  <c r="V113" i="61"/>
  <c r="U113" i="61"/>
  <c r="T113" i="61"/>
  <c r="S113" i="61"/>
  <c r="R113" i="61"/>
  <c r="Q113" i="61"/>
  <c r="P113" i="61"/>
  <c r="X112" i="61"/>
  <c r="W112" i="61"/>
  <c r="V112" i="61"/>
  <c r="U112" i="61"/>
  <c r="T112" i="61"/>
  <c r="S112" i="61"/>
  <c r="R112" i="61"/>
  <c r="Q112" i="61"/>
  <c r="P112" i="61"/>
  <c r="X111" i="61"/>
  <c r="W111" i="61"/>
  <c r="V111" i="61"/>
  <c r="U111" i="61"/>
  <c r="T111" i="61"/>
  <c r="S111" i="61"/>
  <c r="R111" i="61"/>
  <c r="Q111" i="61"/>
  <c r="P111" i="61"/>
  <c r="X110" i="61"/>
  <c r="W110" i="61"/>
  <c r="V110" i="61"/>
  <c r="U110" i="61"/>
  <c r="T110" i="61"/>
  <c r="S110" i="61"/>
  <c r="R110" i="61"/>
  <c r="Q110" i="61"/>
  <c r="P110" i="61"/>
  <c r="X109" i="61"/>
  <c r="W109" i="61"/>
  <c r="V109" i="61"/>
  <c r="U109" i="61"/>
  <c r="T109" i="61"/>
  <c r="S109" i="61"/>
  <c r="R109" i="61"/>
  <c r="Q109" i="61"/>
  <c r="P109" i="61"/>
  <c r="X108" i="61"/>
  <c r="W108" i="61"/>
  <c r="V108" i="61"/>
  <c r="U108" i="61"/>
  <c r="T108" i="61"/>
  <c r="S108" i="61"/>
  <c r="R108" i="61"/>
  <c r="Q108" i="61"/>
  <c r="P108" i="61"/>
  <c r="X107" i="61"/>
  <c r="W107" i="61"/>
  <c r="V107" i="61"/>
  <c r="U107" i="61"/>
  <c r="T107" i="61"/>
  <c r="S107" i="61"/>
  <c r="R107" i="61"/>
  <c r="Q107" i="61"/>
  <c r="P107" i="61"/>
  <c r="X106" i="61"/>
  <c r="W106" i="61"/>
  <c r="V106" i="61"/>
  <c r="U106" i="61"/>
  <c r="T106" i="61"/>
  <c r="S106" i="61"/>
  <c r="R106" i="61"/>
  <c r="Q106" i="61"/>
  <c r="P106" i="61"/>
  <c r="X105" i="61"/>
  <c r="W105" i="61"/>
  <c r="V105" i="61"/>
  <c r="U105" i="61"/>
  <c r="T105" i="61"/>
  <c r="S105" i="61"/>
  <c r="R105" i="61"/>
  <c r="Q105" i="61"/>
  <c r="P105" i="61"/>
  <c r="X104" i="61"/>
  <c r="W104" i="61"/>
  <c r="V104" i="61"/>
  <c r="U104" i="61"/>
  <c r="T104" i="61"/>
  <c r="S104" i="61"/>
  <c r="R104" i="61"/>
  <c r="Q104" i="61"/>
  <c r="P104" i="61"/>
  <c r="X103" i="61"/>
  <c r="W103" i="61"/>
  <c r="V103" i="61"/>
  <c r="U103" i="61"/>
  <c r="T103" i="61"/>
  <c r="S103" i="61"/>
  <c r="R103" i="61"/>
  <c r="Q103" i="61"/>
  <c r="P103" i="61"/>
  <c r="X102" i="61"/>
  <c r="W102" i="61"/>
  <c r="V102" i="61"/>
  <c r="U102" i="61"/>
  <c r="T102" i="61"/>
  <c r="S102" i="61"/>
  <c r="R102" i="61"/>
  <c r="Q102" i="61"/>
  <c r="P102" i="61"/>
  <c r="X101" i="61"/>
  <c r="W101" i="61"/>
  <c r="V101" i="61"/>
  <c r="U101" i="61"/>
  <c r="T101" i="61"/>
  <c r="S101" i="61"/>
  <c r="R101" i="61"/>
  <c r="Q101" i="61"/>
  <c r="P101" i="61"/>
  <c r="X100" i="61"/>
  <c r="W100" i="61"/>
  <c r="V100" i="61"/>
  <c r="U100" i="61"/>
  <c r="T100" i="61"/>
  <c r="S100" i="61"/>
  <c r="R100" i="61"/>
  <c r="Q100" i="61"/>
  <c r="P100" i="61"/>
  <c r="X99" i="61"/>
  <c r="W99" i="61"/>
  <c r="V99" i="61"/>
  <c r="U99" i="61"/>
  <c r="T99" i="61"/>
  <c r="S99" i="61"/>
  <c r="R99" i="61"/>
  <c r="Q99" i="61"/>
  <c r="P99" i="61"/>
  <c r="X98" i="61"/>
  <c r="W98" i="61"/>
  <c r="V98" i="61"/>
  <c r="U98" i="61"/>
  <c r="T98" i="61"/>
  <c r="S98" i="61"/>
  <c r="R98" i="61"/>
  <c r="Q98" i="61"/>
  <c r="P98" i="61"/>
  <c r="X97" i="61"/>
  <c r="W97" i="61"/>
  <c r="V97" i="61"/>
  <c r="U97" i="61"/>
  <c r="T97" i="61"/>
  <c r="S97" i="61"/>
  <c r="R97" i="61"/>
  <c r="Q97" i="61"/>
  <c r="P97" i="61"/>
  <c r="X96" i="61"/>
  <c r="W96" i="61"/>
  <c r="V96" i="61"/>
  <c r="U96" i="61"/>
  <c r="T96" i="61"/>
  <c r="S96" i="61"/>
  <c r="R96" i="61"/>
  <c r="Q96" i="61"/>
  <c r="P96" i="61"/>
  <c r="X95" i="61"/>
  <c r="W95" i="61"/>
  <c r="V95" i="61"/>
  <c r="U95" i="61"/>
  <c r="T95" i="61"/>
  <c r="S95" i="61"/>
  <c r="R95" i="61"/>
  <c r="Q95" i="61"/>
  <c r="P95" i="61"/>
  <c r="X94" i="61"/>
  <c r="W94" i="61"/>
  <c r="V94" i="61"/>
  <c r="U94" i="61"/>
  <c r="T94" i="61"/>
  <c r="S94" i="61"/>
  <c r="R94" i="61"/>
  <c r="Q94" i="61"/>
  <c r="P94" i="61"/>
  <c r="X93" i="61"/>
  <c r="W93" i="61"/>
  <c r="V93" i="61"/>
  <c r="U93" i="61"/>
  <c r="T93" i="61"/>
  <c r="S93" i="61"/>
  <c r="R93" i="61"/>
  <c r="Q93" i="61"/>
  <c r="P93" i="61"/>
  <c r="X92" i="61"/>
  <c r="W92" i="61"/>
  <c r="V92" i="61"/>
  <c r="U92" i="61"/>
  <c r="T92" i="61"/>
  <c r="S92" i="61"/>
  <c r="R92" i="61"/>
  <c r="Q92" i="61"/>
  <c r="P92" i="61"/>
  <c r="X91" i="61"/>
  <c r="W91" i="61"/>
  <c r="V91" i="61"/>
  <c r="U91" i="61"/>
  <c r="T91" i="61"/>
  <c r="S91" i="61"/>
  <c r="R91" i="61"/>
  <c r="Q91" i="61"/>
  <c r="P91" i="61"/>
  <c r="X90" i="61"/>
  <c r="W90" i="61"/>
  <c r="V90" i="61"/>
  <c r="U90" i="61"/>
  <c r="T90" i="61"/>
  <c r="S90" i="61"/>
  <c r="R90" i="61"/>
  <c r="Q90" i="61"/>
  <c r="P90" i="61"/>
  <c r="X89" i="61"/>
  <c r="W89" i="61"/>
  <c r="V89" i="61"/>
  <c r="U89" i="61"/>
  <c r="T89" i="61"/>
  <c r="S89" i="61"/>
  <c r="R89" i="61"/>
  <c r="Q89" i="61"/>
  <c r="P89" i="61"/>
  <c r="X88" i="61"/>
  <c r="W88" i="61"/>
  <c r="V88" i="61"/>
  <c r="U88" i="61"/>
  <c r="T88" i="61"/>
  <c r="S88" i="61"/>
  <c r="R88" i="61"/>
  <c r="Q88" i="61"/>
  <c r="P88" i="61"/>
  <c r="X87" i="61"/>
  <c r="W87" i="61"/>
  <c r="V87" i="61"/>
  <c r="U87" i="61"/>
  <c r="T87" i="61"/>
  <c r="S87" i="61"/>
  <c r="R87" i="61"/>
  <c r="Q87" i="61"/>
  <c r="P87" i="61"/>
  <c r="X86" i="61"/>
  <c r="W86" i="61"/>
  <c r="V86" i="61"/>
  <c r="U86" i="61"/>
  <c r="T86" i="61"/>
  <c r="S86" i="61"/>
  <c r="R86" i="61"/>
  <c r="Q86" i="61"/>
  <c r="P86" i="61"/>
  <c r="X85" i="61"/>
  <c r="W85" i="61"/>
  <c r="V85" i="61"/>
  <c r="U85" i="61"/>
  <c r="T85" i="61"/>
  <c r="S85" i="61"/>
  <c r="R85" i="61"/>
  <c r="Q85" i="61"/>
  <c r="P85" i="61"/>
  <c r="X84" i="61"/>
  <c r="W84" i="61"/>
  <c r="V84" i="61"/>
  <c r="U84" i="61"/>
  <c r="T84" i="61"/>
  <c r="S84" i="61"/>
  <c r="R84" i="61"/>
  <c r="Q84" i="61"/>
  <c r="P84" i="61"/>
  <c r="X83" i="61"/>
  <c r="W83" i="61"/>
  <c r="V83" i="61"/>
  <c r="U83" i="61"/>
  <c r="T83" i="61"/>
  <c r="S83" i="61"/>
  <c r="R83" i="61"/>
  <c r="Q83" i="61"/>
  <c r="P83" i="61"/>
  <c r="X82" i="61"/>
  <c r="W82" i="61"/>
  <c r="V82" i="61"/>
  <c r="U82" i="61"/>
  <c r="T82" i="61"/>
  <c r="S82" i="61"/>
  <c r="R82" i="61"/>
  <c r="Q82" i="61"/>
  <c r="P82" i="61"/>
  <c r="X81" i="61"/>
  <c r="W81" i="61"/>
  <c r="V81" i="61"/>
  <c r="U81" i="61"/>
  <c r="T81" i="61"/>
  <c r="S81" i="61"/>
  <c r="R81" i="61"/>
  <c r="Q81" i="61"/>
  <c r="P81" i="61"/>
  <c r="X80" i="61"/>
  <c r="W80" i="61"/>
  <c r="V80" i="61"/>
  <c r="U80" i="61"/>
  <c r="T80" i="61"/>
  <c r="S80" i="61"/>
  <c r="R80" i="61"/>
  <c r="Q80" i="61"/>
  <c r="P80" i="61"/>
  <c r="X79" i="61"/>
  <c r="W79" i="61"/>
  <c r="V79" i="61"/>
  <c r="U79" i="61"/>
  <c r="T79" i="61"/>
  <c r="S79" i="61"/>
  <c r="R79" i="61"/>
  <c r="Q79" i="61"/>
  <c r="P79" i="61"/>
  <c r="X78" i="61"/>
  <c r="W78" i="61"/>
  <c r="V78" i="61"/>
  <c r="U78" i="61"/>
  <c r="T78" i="61"/>
  <c r="S78" i="61"/>
  <c r="R78" i="61"/>
  <c r="Q78" i="61"/>
  <c r="P78" i="61"/>
  <c r="X77" i="61"/>
  <c r="W77" i="61"/>
  <c r="V77" i="61"/>
  <c r="U77" i="61"/>
  <c r="T77" i="61"/>
  <c r="S77" i="61"/>
  <c r="R77" i="61"/>
  <c r="Q77" i="61"/>
  <c r="P77" i="61"/>
  <c r="X76" i="61"/>
  <c r="W76" i="61"/>
  <c r="V76" i="61"/>
  <c r="U76" i="61"/>
  <c r="T76" i="61"/>
  <c r="S76" i="61"/>
  <c r="R76" i="61"/>
  <c r="Q76" i="61"/>
  <c r="P76" i="61"/>
  <c r="X75" i="61"/>
  <c r="W75" i="61"/>
  <c r="V75" i="61"/>
  <c r="U75" i="61"/>
  <c r="T75" i="61"/>
  <c r="S75" i="61"/>
  <c r="R75" i="61"/>
  <c r="Q75" i="61"/>
  <c r="P75" i="61"/>
  <c r="X74" i="61"/>
  <c r="W74" i="61"/>
  <c r="V74" i="61"/>
  <c r="U74" i="61"/>
  <c r="T74" i="61"/>
  <c r="S74" i="61"/>
  <c r="R74" i="61"/>
  <c r="Q74" i="61"/>
  <c r="P74" i="61"/>
  <c r="X73" i="61"/>
  <c r="W73" i="61"/>
  <c r="V73" i="61"/>
  <c r="U73" i="61"/>
  <c r="T73" i="61"/>
  <c r="S73" i="61"/>
  <c r="R73" i="61"/>
  <c r="Q73" i="61"/>
  <c r="P73" i="61"/>
  <c r="X72" i="61"/>
  <c r="W72" i="61"/>
  <c r="V72" i="61"/>
  <c r="U72" i="61"/>
  <c r="T72" i="61"/>
  <c r="S72" i="61"/>
  <c r="R72" i="61"/>
  <c r="Q72" i="61"/>
  <c r="P72" i="61"/>
  <c r="X71" i="61"/>
  <c r="W71" i="61"/>
  <c r="V71" i="61"/>
  <c r="U71" i="61"/>
  <c r="T71" i="61"/>
  <c r="S71" i="61"/>
  <c r="R71" i="61"/>
  <c r="Q71" i="61"/>
  <c r="P71" i="61"/>
  <c r="X70" i="61"/>
  <c r="W70" i="61"/>
  <c r="V70" i="61"/>
  <c r="U70" i="61"/>
  <c r="T70" i="61"/>
  <c r="S70" i="61"/>
  <c r="R70" i="61"/>
  <c r="Q70" i="61"/>
  <c r="P70" i="61"/>
  <c r="X69" i="61"/>
  <c r="W69" i="61"/>
  <c r="V69" i="61"/>
  <c r="U69" i="61"/>
  <c r="T69" i="61"/>
  <c r="S69" i="61"/>
  <c r="R69" i="61"/>
  <c r="Q69" i="61"/>
  <c r="P69" i="61"/>
  <c r="X68" i="61"/>
  <c r="W68" i="61"/>
  <c r="V68" i="61"/>
  <c r="U68" i="61"/>
  <c r="T68" i="61"/>
  <c r="S68" i="61"/>
  <c r="R68" i="61"/>
  <c r="Q68" i="61"/>
  <c r="P68" i="61"/>
  <c r="X67" i="61"/>
  <c r="W67" i="61"/>
  <c r="V67" i="61"/>
  <c r="U67" i="61"/>
  <c r="T67" i="61"/>
  <c r="S67" i="61"/>
  <c r="R67" i="61"/>
  <c r="Q67" i="61"/>
  <c r="P67" i="61"/>
  <c r="X66" i="61"/>
  <c r="W66" i="61"/>
  <c r="V66" i="61"/>
  <c r="U66" i="61"/>
  <c r="T66" i="61"/>
  <c r="S66" i="61"/>
  <c r="R66" i="61"/>
  <c r="Q66" i="61"/>
  <c r="P66" i="61"/>
  <c r="X65" i="61"/>
  <c r="W65" i="61"/>
  <c r="V65" i="61"/>
  <c r="U65" i="61"/>
  <c r="T65" i="61"/>
  <c r="S65" i="61"/>
  <c r="R65" i="61"/>
  <c r="Q65" i="61"/>
  <c r="P65" i="61"/>
  <c r="X64" i="61"/>
  <c r="W64" i="61"/>
  <c r="V64" i="61"/>
  <c r="U64" i="61"/>
  <c r="T64" i="61"/>
  <c r="S64" i="61"/>
  <c r="R64" i="61"/>
  <c r="Q64" i="61"/>
  <c r="P64" i="61"/>
  <c r="X63" i="61"/>
  <c r="W63" i="61"/>
  <c r="V63" i="61"/>
  <c r="U63" i="61"/>
  <c r="T63" i="61"/>
  <c r="S63" i="61"/>
  <c r="R63" i="61"/>
  <c r="Q63" i="61"/>
  <c r="P63" i="61"/>
  <c r="X62" i="61"/>
  <c r="W62" i="61"/>
  <c r="V62" i="61"/>
  <c r="U62" i="61"/>
  <c r="T62" i="61"/>
  <c r="S62" i="61"/>
  <c r="R62" i="61"/>
  <c r="Q62" i="61"/>
  <c r="P62" i="61"/>
  <c r="X61" i="61"/>
  <c r="W61" i="61"/>
  <c r="V61" i="61"/>
  <c r="U61" i="61"/>
  <c r="T61" i="61"/>
  <c r="S61" i="61"/>
  <c r="R61" i="61"/>
  <c r="Q61" i="61"/>
  <c r="P61" i="61"/>
  <c r="X60" i="61"/>
  <c r="W60" i="61"/>
  <c r="V60" i="61"/>
  <c r="U60" i="61"/>
  <c r="T60" i="61"/>
  <c r="S60" i="61"/>
  <c r="R60" i="61"/>
  <c r="Q60" i="61"/>
  <c r="P60" i="61"/>
  <c r="X59" i="61"/>
  <c r="W59" i="61"/>
  <c r="V59" i="61"/>
  <c r="U59" i="61"/>
  <c r="T59" i="61"/>
  <c r="S59" i="61"/>
  <c r="R59" i="61"/>
  <c r="Q59" i="61"/>
  <c r="P59" i="61"/>
  <c r="X58" i="61"/>
  <c r="W58" i="61"/>
  <c r="V58" i="61"/>
  <c r="U58" i="61"/>
  <c r="T58" i="61"/>
  <c r="S58" i="61"/>
  <c r="R58" i="61"/>
  <c r="Q58" i="61"/>
  <c r="P58" i="61"/>
  <c r="X57" i="61"/>
  <c r="W57" i="61"/>
  <c r="V57" i="61"/>
  <c r="U57" i="61"/>
  <c r="T57" i="61"/>
  <c r="S57" i="61"/>
  <c r="R57" i="61"/>
  <c r="Q57" i="61"/>
  <c r="P57" i="61"/>
  <c r="X56" i="61"/>
  <c r="W56" i="61"/>
  <c r="V56" i="61"/>
  <c r="U56" i="61"/>
  <c r="T56" i="61"/>
  <c r="S56" i="61"/>
  <c r="R56" i="61"/>
  <c r="Q56" i="61"/>
  <c r="P56" i="61"/>
  <c r="X55" i="61"/>
  <c r="W55" i="61"/>
  <c r="V55" i="61"/>
  <c r="U55" i="61"/>
  <c r="T55" i="61"/>
  <c r="S55" i="61"/>
  <c r="R55" i="61"/>
  <c r="Q55" i="61"/>
  <c r="P55" i="61"/>
  <c r="X54" i="61"/>
  <c r="W54" i="61"/>
  <c r="V54" i="61"/>
  <c r="U54" i="61"/>
  <c r="T54" i="61"/>
  <c r="S54" i="61"/>
  <c r="R54" i="61"/>
  <c r="Q54" i="61"/>
  <c r="P54" i="61"/>
  <c r="X53" i="61"/>
  <c r="W53" i="61"/>
  <c r="V53" i="61"/>
  <c r="U53" i="61"/>
  <c r="T53" i="61"/>
  <c r="S53" i="61"/>
  <c r="R53" i="61"/>
  <c r="Q53" i="61"/>
  <c r="P53" i="61"/>
  <c r="X52" i="61"/>
  <c r="W52" i="61"/>
  <c r="V52" i="61"/>
  <c r="U52" i="61"/>
  <c r="T52" i="61"/>
  <c r="S52" i="61"/>
  <c r="R52" i="61"/>
  <c r="Q52" i="61"/>
  <c r="P52" i="61"/>
  <c r="X51" i="61"/>
  <c r="W51" i="61"/>
  <c r="V51" i="61"/>
  <c r="U51" i="61"/>
  <c r="T51" i="61"/>
  <c r="S51" i="61"/>
  <c r="R51" i="61"/>
  <c r="Q51" i="61"/>
  <c r="P51" i="61"/>
  <c r="X50" i="61"/>
  <c r="W50" i="61"/>
  <c r="V50" i="61"/>
  <c r="U50" i="61"/>
  <c r="T50" i="61"/>
  <c r="S50" i="61"/>
  <c r="R50" i="61"/>
  <c r="Q50" i="61"/>
  <c r="P50" i="61"/>
  <c r="X49" i="61"/>
  <c r="W49" i="61"/>
  <c r="V49" i="61"/>
  <c r="U49" i="61"/>
  <c r="T49" i="61"/>
  <c r="S49" i="61"/>
  <c r="R49" i="61"/>
  <c r="Q49" i="61"/>
  <c r="P49" i="61"/>
  <c r="X48" i="61"/>
  <c r="W48" i="61"/>
  <c r="V48" i="61"/>
  <c r="U48" i="61"/>
  <c r="T48" i="61"/>
  <c r="S48" i="61"/>
  <c r="R48" i="61"/>
  <c r="Q48" i="61"/>
  <c r="P48" i="61"/>
  <c r="X47" i="61"/>
  <c r="W47" i="61"/>
  <c r="V47" i="61"/>
  <c r="U47" i="61"/>
  <c r="T47" i="61"/>
  <c r="S47" i="61"/>
  <c r="R47" i="61"/>
  <c r="Q47" i="61"/>
  <c r="P47" i="61"/>
  <c r="X46" i="61"/>
  <c r="W46" i="61"/>
  <c r="V46" i="61"/>
  <c r="U46" i="61"/>
  <c r="T46" i="61"/>
  <c r="S46" i="61"/>
  <c r="R46" i="61"/>
  <c r="Q46" i="61"/>
  <c r="P46" i="61"/>
  <c r="X45" i="61"/>
  <c r="W45" i="61"/>
  <c r="V45" i="61"/>
  <c r="U45" i="61"/>
  <c r="T45" i="61"/>
  <c r="S45" i="61"/>
  <c r="R45" i="61"/>
  <c r="Q45" i="61"/>
  <c r="P45" i="61"/>
  <c r="X44" i="61"/>
  <c r="W44" i="61"/>
  <c r="V44" i="61"/>
  <c r="U44" i="61"/>
  <c r="T44" i="61"/>
  <c r="S44" i="61"/>
  <c r="R44" i="61"/>
  <c r="Q44" i="61"/>
  <c r="P44" i="61"/>
  <c r="X43" i="61"/>
  <c r="W43" i="61"/>
  <c r="V43" i="61"/>
  <c r="U43" i="61"/>
  <c r="T43" i="61"/>
  <c r="S43" i="61"/>
  <c r="R43" i="61"/>
  <c r="Q43" i="61"/>
  <c r="P43" i="61"/>
  <c r="X42" i="61"/>
  <c r="W42" i="61"/>
  <c r="V42" i="61"/>
  <c r="U42" i="61"/>
  <c r="T42" i="61"/>
  <c r="S42" i="61"/>
  <c r="R42" i="61"/>
  <c r="Q42" i="61"/>
  <c r="P42" i="61"/>
  <c r="X41" i="61"/>
  <c r="W41" i="61"/>
  <c r="V41" i="61"/>
  <c r="U41" i="61"/>
  <c r="T41" i="61"/>
  <c r="S41" i="61"/>
  <c r="R41" i="61"/>
  <c r="Q41" i="61"/>
  <c r="P41" i="61"/>
  <c r="X40" i="61"/>
  <c r="W40" i="61"/>
  <c r="V40" i="61"/>
  <c r="U40" i="61"/>
  <c r="T40" i="61"/>
  <c r="S40" i="61"/>
  <c r="R40" i="61"/>
  <c r="Q40" i="61"/>
  <c r="P40" i="61"/>
  <c r="X39" i="61"/>
  <c r="W39" i="61"/>
  <c r="V39" i="61"/>
  <c r="U39" i="61"/>
  <c r="T39" i="61"/>
  <c r="S39" i="61"/>
  <c r="R39" i="61"/>
  <c r="Q39" i="61"/>
  <c r="P39" i="61"/>
  <c r="X38" i="61"/>
  <c r="W38" i="61"/>
  <c r="V38" i="61"/>
  <c r="U38" i="61"/>
  <c r="T38" i="61"/>
  <c r="S38" i="61"/>
  <c r="R38" i="61"/>
  <c r="Q38" i="61"/>
  <c r="P38" i="61"/>
  <c r="X37" i="61"/>
  <c r="W37" i="61"/>
  <c r="V37" i="61"/>
  <c r="U37" i="61"/>
  <c r="T37" i="61"/>
  <c r="S37" i="61"/>
  <c r="R37" i="61"/>
  <c r="Q37" i="61"/>
  <c r="P37" i="61"/>
  <c r="X36" i="61"/>
  <c r="W36" i="61"/>
  <c r="V36" i="61"/>
  <c r="U36" i="61"/>
  <c r="T36" i="61"/>
  <c r="S36" i="61"/>
  <c r="R36" i="61"/>
  <c r="Q36" i="61"/>
  <c r="P36" i="61"/>
  <c r="X35" i="61"/>
  <c r="W35" i="61"/>
  <c r="V35" i="61"/>
  <c r="U35" i="61"/>
  <c r="T35" i="61"/>
  <c r="S35" i="61"/>
  <c r="R35" i="61"/>
  <c r="Q35" i="61"/>
  <c r="P35" i="61"/>
  <c r="X34" i="61"/>
  <c r="W34" i="61"/>
  <c r="V34" i="61"/>
  <c r="U34" i="61"/>
  <c r="T34" i="61"/>
  <c r="S34" i="61"/>
  <c r="R34" i="61"/>
  <c r="Q34" i="61"/>
  <c r="P34" i="61"/>
  <c r="X33" i="61"/>
  <c r="W33" i="61"/>
  <c r="V33" i="61"/>
  <c r="U33" i="61"/>
  <c r="T33" i="61"/>
  <c r="S33" i="61"/>
  <c r="R33" i="61"/>
  <c r="Q33" i="61"/>
  <c r="P33" i="61"/>
  <c r="X32" i="61"/>
  <c r="W32" i="61"/>
  <c r="V32" i="61"/>
  <c r="U32" i="61"/>
  <c r="T32" i="61"/>
  <c r="S32" i="61"/>
  <c r="R32" i="61"/>
  <c r="Q32" i="61"/>
  <c r="P32" i="61"/>
  <c r="X31" i="61"/>
  <c r="W31" i="61"/>
  <c r="V31" i="61"/>
  <c r="U31" i="61"/>
  <c r="T31" i="61"/>
  <c r="S31" i="61"/>
  <c r="R31" i="61"/>
  <c r="Q31" i="61"/>
  <c r="P31" i="61"/>
  <c r="X30" i="61"/>
  <c r="W30" i="61"/>
  <c r="V30" i="61"/>
  <c r="U30" i="61"/>
  <c r="T30" i="61"/>
  <c r="S30" i="61"/>
  <c r="R30" i="61"/>
  <c r="Q30" i="61"/>
  <c r="P30" i="61"/>
  <c r="X29" i="61"/>
  <c r="W29" i="61"/>
  <c r="V29" i="61"/>
  <c r="U29" i="61"/>
  <c r="T29" i="61"/>
  <c r="S29" i="61"/>
  <c r="R29" i="61"/>
  <c r="Q29" i="61"/>
  <c r="P29" i="61"/>
  <c r="X28" i="61"/>
  <c r="W28" i="61"/>
  <c r="V28" i="61"/>
  <c r="U28" i="61"/>
  <c r="T28" i="61"/>
  <c r="S28" i="61"/>
  <c r="R28" i="61"/>
  <c r="Q28" i="61"/>
  <c r="P28" i="61"/>
  <c r="X27" i="61"/>
  <c r="W27" i="61"/>
  <c r="V27" i="61"/>
  <c r="U27" i="61"/>
  <c r="T27" i="61"/>
  <c r="S27" i="61"/>
  <c r="R27" i="61"/>
  <c r="Q27" i="61"/>
  <c r="P27" i="61"/>
  <c r="X26" i="61"/>
  <c r="W26" i="61"/>
  <c r="V26" i="61"/>
  <c r="U26" i="61"/>
  <c r="T26" i="61"/>
  <c r="S26" i="61"/>
  <c r="R26" i="61"/>
  <c r="Q26" i="61"/>
  <c r="P26" i="61"/>
  <c r="X25" i="61"/>
  <c r="W25" i="61"/>
  <c r="V25" i="61"/>
  <c r="U25" i="61"/>
  <c r="T25" i="61"/>
  <c r="S25" i="61"/>
  <c r="R25" i="61"/>
  <c r="Q25" i="61"/>
  <c r="P25" i="61"/>
  <c r="X24" i="61"/>
  <c r="W24" i="61"/>
  <c r="V24" i="61"/>
  <c r="U24" i="61"/>
  <c r="T24" i="61"/>
  <c r="S24" i="61"/>
  <c r="R24" i="61"/>
  <c r="Q24" i="61"/>
  <c r="P24" i="61"/>
  <c r="X23" i="61"/>
  <c r="W23" i="61"/>
  <c r="V23" i="61"/>
  <c r="U23" i="61"/>
  <c r="T23" i="61"/>
  <c r="S23" i="61"/>
  <c r="R23" i="61"/>
  <c r="Q23" i="61"/>
  <c r="P23" i="61"/>
  <c r="X22" i="61"/>
  <c r="W22" i="61"/>
  <c r="V22" i="61"/>
  <c r="U22" i="61"/>
  <c r="T22" i="61"/>
  <c r="S22" i="61"/>
  <c r="R22" i="61"/>
  <c r="Q22" i="61"/>
  <c r="P22" i="61"/>
  <c r="X21" i="61"/>
  <c r="W21" i="61"/>
  <c r="V21" i="61"/>
  <c r="U21" i="61"/>
  <c r="T21" i="61"/>
  <c r="S21" i="61"/>
  <c r="R21" i="61"/>
  <c r="Q21" i="61"/>
  <c r="P21" i="61"/>
  <c r="X20" i="61"/>
  <c r="W20" i="61"/>
  <c r="V20" i="61"/>
  <c r="U20" i="61"/>
  <c r="T20" i="61"/>
  <c r="S20" i="61"/>
  <c r="R20" i="61"/>
  <c r="Q20" i="61"/>
  <c r="P20" i="61"/>
  <c r="X19" i="61"/>
  <c r="W19" i="61"/>
  <c r="V19" i="61"/>
  <c r="U19" i="61"/>
  <c r="T19" i="61"/>
  <c r="S19" i="61"/>
  <c r="R19" i="61"/>
  <c r="Q19" i="61"/>
  <c r="P19" i="61"/>
  <c r="X18" i="61"/>
  <c r="W18" i="61"/>
  <c r="V18" i="61"/>
  <c r="U18" i="61"/>
  <c r="T18" i="61"/>
  <c r="S18" i="61"/>
  <c r="R18" i="61"/>
  <c r="Q18" i="61"/>
  <c r="P18" i="61"/>
  <c r="X17" i="61"/>
  <c r="W17" i="61"/>
  <c r="V17" i="61"/>
  <c r="U17" i="61"/>
  <c r="T17" i="61"/>
  <c r="S17" i="61"/>
  <c r="R17" i="61"/>
  <c r="Q17" i="61"/>
  <c r="P17" i="61"/>
  <c r="X16" i="61"/>
  <c r="W16" i="61"/>
  <c r="V16" i="61"/>
  <c r="U16" i="61"/>
  <c r="T16" i="61"/>
  <c r="S16" i="61"/>
  <c r="R16" i="61"/>
  <c r="Q16" i="61"/>
  <c r="P16" i="61"/>
  <c r="X15" i="61"/>
  <c r="W15" i="61"/>
  <c r="V15" i="61"/>
  <c r="U15" i="61"/>
  <c r="T15" i="61"/>
  <c r="S15" i="61"/>
  <c r="R15" i="61"/>
  <c r="Q15" i="61"/>
  <c r="P15" i="61"/>
  <c r="X14" i="61"/>
  <c r="W14" i="61"/>
  <c r="V14" i="61"/>
  <c r="U14" i="61"/>
  <c r="T14" i="61"/>
  <c r="S14" i="61"/>
  <c r="R14" i="61"/>
  <c r="Q14" i="61"/>
  <c r="P14" i="61"/>
  <c r="X13" i="61"/>
  <c r="W13" i="61"/>
  <c r="V13" i="61"/>
  <c r="U13" i="61"/>
  <c r="T13" i="61"/>
  <c r="S13" i="61"/>
  <c r="R13" i="61"/>
  <c r="Q13" i="61"/>
  <c r="P13" i="61"/>
  <c r="X12" i="61"/>
  <c r="W12" i="61"/>
  <c r="V12" i="61"/>
  <c r="U12" i="61"/>
  <c r="T12" i="61"/>
  <c r="S12" i="61"/>
  <c r="R12" i="61"/>
  <c r="Q12" i="61"/>
  <c r="P12" i="61"/>
  <c r="X11" i="61"/>
  <c r="W11" i="61"/>
  <c r="V11" i="61"/>
  <c r="U11" i="61"/>
  <c r="T11" i="61"/>
  <c r="S11" i="61"/>
  <c r="R11" i="61"/>
  <c r="Q11" i="61"/>
  <c r="P11" i="61"/>
  <c r="F16" i="77" l="1"/>
  <c r="E41" i="77" l="1"/>
  <c r="C10" i="55"/>
  <c r="C30" i="82"/>
  <c r="E28" i="82"/>
  <c r="G14" i="82"/>
  <c r="E18" i="82"/>
  <c r="G12" i="3"/>
  <c r="G38" i="77"/>
  <c r="F38" i="77"/>
  <c r="E38" i="77"/>
  <c r="H23" i="78"/>
  <c r="J23" i="78" s="1"/>
  <c r="D103" i="77"/>
  <c r="C34" i="82"/>
  <c r="C104" i="77" s="1"/>
  <c r="E15" i="82"/>
  <c r="C10" i="82"/>
  <c r="D8" i="82"/>
  <c r="D7" i="82"/>
  <c r="D6" i="82"/>
  <c r="B4" i="82"/>
  <c r="H28" i="82" l="1"/>
  <c r="D23" i="78" s="1"/>
  <c r="AH23" i="75" s="1"/>
  <c r="F23" i="78"/>
  <c r="L23" i="78"/>
  <c r="I23" i="78"/>
  <c r="G28" i="45"/>
  <c r="G22" i="45"/>
  <c r="G27" i="43"/>
  <c r="G21" i="43"/>
  <c r="G27" i="42"/>
  <c r="G21" i="42"/>
  <c r="G18" i="44"/>
  <c r="C52" i="37"/>
  <c r="BH41" i="63" a="1"/>
  <c r="BH41" i="63" s="1"/>
  <c r="BG41" i="63" a="1"/>
  <c r="BG41" i="63" s="1"/>
  <c r="BF41" i="63" a="1"/>
  <c r="BF41" i="63" s="1"/>
  <c r="BE41" i="63" a="1"/>
  <c r="BE41" i="63" s="1"/>
  <c r="BD41" i="63" a="1"/>
  <c r="BD41" i="63" s="1"/>
  <c r="BC41" i="63" a="1"/>
  <c r="BC41" i="63" s="1"/>
  <c r="BB41" i="63" a="1"/>
  <c r="BB41" i="63" s="1"/>
  <c r="BA41" i="63" a="1"/>
  <c r="BA41" i="63" s="1"/>
  <c r="BH40" i="63" a="1"/>
  <c r="BH40" i="63" s="1"/>
  <c r="BG40" i="63" a="1"/>
  <c r="BG40" i="63" s="1"/>
  <c r="BF40" i="63" a="1"/>
  <c r="BF40" i="63" s="1"/>
  <c r="BE40" i="63" a="1"/>
  <c r="BE40" i="63" s="1"/>
  <c r="BD40" i="63" a="1"/>
  <c r="BD40" i="63" s="1"/>
  <c r="BC40" i="63" a="1"/>
  <c r="BC40" i="63" s="1"/>
  <c r="BB40" i="63" a="1"/>
  <c r="BB40" i="63" s="1"/>
  <c r="BA40" i="63" a="1"/>
  <c r="BA40" i="63" s="1"/>
  <c r="BH39" i="63" a="1"/>
  <c r="BH39" i="63" s="1"/>
  <c r="BG39" i="63" a="1"/>
  <c r="BG39" i="63" s="1"/>
  <c r="BF39" i="63" a="1"/>
  <c r="BF39" i="63" s="1"/>
  <c r="BE39" i="63" a="1"/>
  <c r="BE39" i="63" s="1"/>
  <c r="BD39" i="63" a="1"/>
  <c r="BD39" i="63" s="1"/>
  <c r="BC39" i="63" a="1"/>
  <c r="BC39" i="63" s="1"/>
  <c r="BB39" i="63" a="1"/>
  <c r="BB39" i="63" s="1"/>
  <c r="BA39" i="63" a="1"/>
  <c r="BA39" i="63" s="1"/>
  <c r="BH38" i="63" a="1"/>
  <c r="BH38" i="63" s="1"/>
  <c r="BG38" i="63" a="1"/>
  <c r="BG38" i="63" s="1"/>
  <c r="BF38" i="63" a="1"/>
  <c r="BF38" i="63" s="1"/>
  <c r="BE38" i="63" a="1"/>
  <c r="BE38" i="63" s="1"/>
  <c r="BD38" i="63" a="1"/>
  <c r="BD38" i="63" s="1"/>
  <c r="BC38" i="63" a="1"/>
  <c r="BC38" i="63" s="1"/>
  <c r="BB38" i="63" a="1"/>
  <c r="BB38" i="63" s="1"/>
  <c r="BA38" i="63" a="1"/>
  <c r="BA38" i="63" s="1"/>
  <c r="BH37" i="63" a="1"/>
  <c r="BH37" i="63" s="1"/>
  <c r="BG37" i="63" a="1"/>
  <c r="BG37" i="63" s="1"/>
  <c r="BF37" i="63" a="1"/>
  <c r="BF37" i="63" s="1"/>
  <c r="BE37" i="63" a="1"/>
  <c r="BE37" i="63" s="1"/>
  <c r="BD37" i="63" a="1"/>
  <c r="BD37" i="63" s="1"/>
  <c r="BC37" i="63" a="1"/>
  <c r="BC37" i="63" s="1"/>
  <c r="BB37" i="63" a="1"/>
  <c r="BB37" i="63" s="1"/>
  <c r="BA37" i="63" a="1"/>
  <c r="BA37" i="63" s="1"/>
  <c r="BH36" i="63" a="1"/>
  <c r="BH36" i="63" s="1"/>
  <c r="BG36" i="63" a="1"/>
  <c r="BG36" i="63" s="1"/>
  <c r="BF36" i="63" a="1"/>
  <c r="BF36" i="63" s="1"/>
  <c r="BE36" i="63" a="1"/>
  <c r="BE36" i="63" s="1"/>
  <c r="BD36" i="63" a="1"/>
  <c r="BD36" i="63" s="1"/>
  <c r="BC36" i="63" a="1"/>
  <c r="BC36" i="63" s="1"/>
  <c r="BB36" i="63" a="1"/>
  <c r="BB36" i="63" s="1"/>
  <c r="BA36" i="63" a="1"/>
  <c r="BA36" i="63" s="1"/>
  <c r="BH35" i="63" a="1"/>
  <c r="BH35" i="63" s="1"/>
  <c r="BG35" i="63" a="1"/>
  <c r="BG35" i="63" s="1"/>
  <c r="BF35" i="63" a="1"/>
  <c r="BF35" i="63" s="1"/>
  <c r="BE35" i="63" a="1"/>
  <c r="BE35" i="63" s="1"/>
  <c r="BD35" i="63" a="1"/>
  <c r="BD35" i="63" s="1"/>
  <c r="BC35" i="63" a="1"/>
  <c r="BC35" i="63" s="1"/>
  <c r="BB35" i="63" a="1"/>
  <c r="BB35" i="63" s="1"/>
  <c r="BA35" i="63" a="1"/>
  <c r="BA35" i="63" s="1"/>
  <c r="BH34" i="63" a="1"/>
  <c r="BH34" i="63" s="1"/>
  <c r="BG34" i="63" a="1"/>
  <c r="BG34" i="63" s="1"/>
  <c r="BF34" i="63" a="1"/>
  <c r="BF34" i="63" s="1"/>
  <c r="BE34" i="63" a="1"/>
  <c r="BE34" i="63" s="1"/>
  <c r="BD34" i="63" a="1"/>
  <c r="BD34" i="63" s="1"/>
  <c r="BC34" i="63" a="1"/>
  <c r="BC34" i="63" s="1"/>
  <c r="BB34" i="63" a="1"/>
  <c r="BB34" i="63" s="1"/>
  <c r="BA34" i="63" a="1"/>
  <c r="BA34" i="63" s="1"/>
  <c r="BH33" i="63" a="1"/>
  <c r="BH33" i="63" s="1"/>
  <c r="BG33" i="63" a="1"/>
  <c r="BG33" i="63" s="1"/>
  <c r="BF33" i="63" a="1"/>
  <c r="BF33" i="63" s="1"/>
  <c r="BE33" i="63" a="1"/>
  <c r="BE33" i="63" s="1"/>
  <c r="BD33" i="63" a="1"/>
  <c r="BD33" i="63" s="1"/>
  <c r="BC33" i="63" a="1"/>
  <c r="BC33" i="63" s="1"/>
  <c r="BB33" i="63" a="1"/>
  <c r="BB33" i="63" s="1"/>
  <c r="BA33" i="63" a="1"/>
  <c r="BA33" i="63" s="1"/>
  <c r="BH32" i="63" a="1"/>
  <c r="BH32" i="63" s="1"/>
  <c r="BG32" i="63" a="1"/>
  <c r="BG32" i="63" s="1"/>
  <c r="BF32" i="63" a="1"/>
  <c r="BF32" i="63" s="1"/>
  <c r="BE32" i="63" a="1"/>
  <c r="BE32" i="63" s="1"/>
  <c r="BD32" i="63" a="1"/>
  <c r="BD32" i="63" s="1"/>
  <c r="BC32" i="63" a="1"/>
  <c r="BC32" i="63" s="1"/>
  <c r="BB32" i="63" a="1"/>
  <c r="BB32" i="63" s="1"/>
  <c r="BA32" i="63" a="1"/>
  <c r="BA32" i="63" s="1"/>
  <c r="BH31" i="63" a="1"/>
  <c r="BH31" i="63" s="1"/>
  <c r="BG31" i="63" a="1"/>
  <c r="BG31" i="63" s="1"/>
  <c r="BF31" i="63" a="1"/>
  <c r="BF31" i="63" s="1"/>
  <c r="BE31" i="63" a="1"/>
  <c r="BE31" i="63" s="1"/>
  <c r="BD31" i="63" a="1"/>
  <c r="BD31" i="63" s="1"/>
  <c r="BC31" i="63" a="1"/>
  <c r="BC31" i="63" s="1"/>
  <c r="BB31" i="63" a="1"/>
  <c r="BB31" i="63" s="1"/>
  <c r="BA31" i="63" a="1"/>
  <c r="BA31" i="63" s="1"/>
  <c r="BH30" i="63" a="1"/>
  <c r="BH30" i="63" s="1"/>
  <c r="BG30" i="63" a="1"/>
  <c r="BG30" i="63" s="1"/>
  <c r="BF30" i="63" a="1"/>
  <c r="BF30" i="63" s="1"/>
  <c r="BE30" i="63" a="1"/>
  <c r="BE30" i="63" s="1"/>
  <c r="BD30" i="63" a="1"/>
  <c r="BD30" i="63" s="1"/>
  <c r="BC30" i="63" a="1"/>
  <c r="BC30" i="63" s="1"/>
  <c r="BB30" i="63" a="1"/>
  <c r="BB30" i="63" s="1"/>
  <c r="BA30" i="63" a="1"/>
  <c r="BA30" i="63" s="1"/>
  <c r="BH29" i="63" a="1"/>
  <c r="BH29" i="63" s="1"/>
  <c r="BG29" i="63" a="1"/>
  <c r="BG29" i="63" s="1"/>
  <c r="BF29" i="63" a="1"/>
  <c r="BF29" i="63" s="1"/>
  <c r="BE29" i="63" a="1"/>
  <c r="BE29" i="63" s="1"/>
  <c r="BD29" i="63" a="1"/>
  <c r="BD29" i="63" s="1"/>
  <c r="BC29" i="63" a="1"/>
  <c r="BC29" i="63" s="1"/>
  <c r="BB29" i="63" a="1"/>
  <c r="BB29" i="63" s="1"/>
  <c r="BA29" i="63" a="1"/>
  <c r="BA29" i="63" s="1"/>
  <c r="BH28" i="63" a="1"/>
  <c r="BH28" i="63" s="1"/>
  <c r="BG28" i="63" a="1"/>
  <c r="BG28" i="63" s="1"/>
  <c r="BF28" i="63" a="1"/>
  <c r="BF28" i="63" s="1"/>
  <c r="BE28" i="63" a="1"/>
  <c r="BE28" i="63" s="1"/>
  <c r="BD28" i="63" a="1"/>
  <c r="BD28" i="63" s="1"/>
  <c r="BC28" i="63" a="1"/>
  <c r="BC28" i="63" s="1"/>
  <c r="BB28" i="63" a="1"/>
  <c r="BB28" i="63" s="1"/>
  <c r="BA28" i="63" a="1"/>
  <c r="BA28" i="63" s="1"/>
  <c r="BH27" i="63" a="1"/>
  <c r="BH27" i="63" s="1"/>
  <c r="BG27" i="63" a="1"/>
  <c r="BG27" i="63" s="1"/>
  <c r="BF27" i="63" a="1"/>
  <c r="BF27" i="63" s="1"/>
  <c r="BE27" i="63" a="1"/>
  <c r="BE27" i="63" s="1"/>
  <c r="BD27" i="63" a="1"/>
  <c r="BD27" i="63" s="1"/>
  <c r="BC27" i="63" a="1"/>
  <c r="BC27" i="63" s="1"/>
  <c r="BB27" i="63" a="1"/>
  <c r="BB27" i="63" s="1"/>
  <c r="BA27" i="63" a="1"/>
  <c r="BA27" i="63" s="1"/>
  <c r="BH26" i="63" a="1"/>
  <c r="BH26" i="63" s="1"/>
  <c r="BG26" i="63" a="1"/>
  <c r="BG26" i="63" s="1"/>
  <c r="BF26" i="63" a="1"/>
  <c r="BF26" i="63" s="1"/>
  <c r="BE26" i="63" a="1"/>
  <c r="BE26" i="63" s="1"/>
  <c r="BD26" i="63" a="1"/>
  <c r="BD26" i="63" s="1"/>
  <c r="BC26" i="63" a="1"/>
  <c r="BC26" i="63" s="1"/>
  <c r="BB26" i="63" a="1"/>
  <c r="BB26" i="63" s="1"/>
  <c r="BA26" i="63" a="1"/>
  <c r="BA26" i="63" s="1"/>
  <c r="BH24" i="63" a="1"/>
  <c r="BH24" i="63" s="1"/>
  <c r="BG24" i="63" a="1"/>
  <c r="BG24" i="63" s="1"/>
  <c r="BF24" i="63" a="1"/>
  <c r="BF24" i="63" s="1"/>
  <c r="BE24" i="63" a="1"/>
  <c r="BE24" i="63" s="1"/>
  <c r="BD24" i="63" a="1"/>
  <c r="BD24" i="63" s="1"/>
  <c r="BC24" i="63" a="1"/>
  <c r="BC24" i="63" s="1"/>
  <c r="BB24" i="63" a="1"/>
  <c r="BB24" i="63" s="1"/>
  <c r="BA24" i="63" a="1"/>
  <c r="BA24" i="63" s="1"/>
  <c r="BH23" i="63" a="1"/>
  <c r="BH23" i="63" s="1"/>
  <c r="BG23" i="63" a="1"/>
  <c r="BG23" i="63" s="1"/>
  <c r="BF23" i="63" a="1"/>
  <c r="BF23" i="63" s="1"/>
  <c r="BE23" i="63" a="1"/>
  <c r="BE23" i="63" s="1"/>
  <c r="BD23" i="63" a="1"/>
  <c r="BD23" i="63" s="1"/>
  <c r="BC23" i="63" a="1"/>
  <c r="BC23" i="63" s="1"/>
  <c r="BB23" i="63" a="1"/>
  <c r="BB23" i="63" s="1"/>
  <c r="BA23" i="63" a="1"/>
  <c r="BA23" i="63" s="1"/>
  <c r="BH22" i="63" a="1"/>
  <c r="BH22" i="63" s="1"/>
  <c r="BG22" i="63" a="1"/>
  <c r="BG22" i="63" s="1"/>
  <c r="BF22" i="63" a="1"/>
  <c r="BF22" i="63" s="1"/>
  <c r="BE22" i="63" a="1"/>
  <c r="BE22" i="63" s="1"/>
  <c r="BD22" i="63" a="1"/>
  <c r="BD22" i="63" s="1"/>
  <c r="BC22" i="63" a="1"/>
  <c r="BC22" i="63" s="1"/>
  <c r="BB22" i="63" a="1"/>
  <c r="BB22" i="63" s="1"/>
  <c r="BA22" i="63" a="1"/>
  <c r="BA22" i="63" s="1"/>
  <c r="BH21" i="63" a="1"/>
  <c r="BH21" i="63" s="1"/>
  <c r="BG21" i="63" a="1"/>
  <c r="BG21" i="63" s="1"/>
  <c r="BF21" i="63" a="1"/>
  <c r="BF21" i="63" s="1"/>
  <c r="BE21" i="63" a="1"/>
  <c r="BE21" i="63" s="1"/>
  <c r="BD21" i="63" a="1"/>
  <c r="BD21" i="63" s="1"/>
  <c r="BC21" i="63" a="1"/>
  <c r="BC21" i="63" s="1"/>
  <c r="BB21" i="63" a="1"/>
  <c r="BB21" i="63" s="1"/>
  <c r="BA21" i="63" a="1"/>
  <c r="BA21" i="63" s="1"/>
  <c r="BH20" i="63" a="1"/>
  <c r="BH20" i="63" s="1"/>
  <c r="BG20" i="63" a="1"/>
  <c r="BG20" i="63" s="1"/>
  <c r="BF20" i="63" a="1"/>
  <c r="BF20" i="63" s="1"/>
  <c r="BE20" i="63" a="1"/>
  <c r="BE20" i="63" s="1"/>
  <c r="BD20" i="63" a="1"/>
  <c r="BD20" i="63" s="1"/>
  <c r="BC20" i="63" a="1"/>
  <c r="BC20" i="63" s="1"/>
  <c r="BB20" i="63" a="1"/>
  <c r="BB20" i="63" s="1"/>
  <c r="BA20" i="63" a="1"/>
  <c r="BA20" i="63" s="1"/>
  <c r="BH19" i="63" a="1"/>
  <c r="BH19" i="63" s="1"/>
  <c r="BG19" i="63" a="1"/>
  <c r="BG19" i="63" s="1"/>
  <c r="BF19" i="63" a="1"/>
  <c r="BF19" i="63" s="1"/>
  <c r="BE19" i="63" a="1"/>
  <c r="BE19" i="63" s="1"/>
  <c r="BD19" i="63" a="1"/>
  <c r="BD19" i="63" s="1"/>
  <c r="BC19" i="63" a="1"/>
  <c r="BC19" i="63" s="1"/>
  <c r="BB19" i="63" a="1"/>
  <c r="BB19" i="63" s="1"/>
  <c r="BA19" i="63" a="1"/>
  <c r="BA19" i="63" s="1"/>
  <c r="BH18" i="63" a="1"/>
  <c r="BH18" i="63" s="1"/>
  <c r="BG18" i="63" a="1"/>
  <c r="BG18" i="63" s="1"/>
  <c r="BF18" i="63" a="1"/>
  <c r="BF18" i="63" s="1"/>
  <c r="BE18" i="63" a="1"/>
  <c r="BE18" i="63" s="1"/>
  <c r="BD18" i="63" a="1"/>
  <c r="BD18" i="63" s="1"/>
  <c r="BC18" i="63" a="1"/>
  <c r="BC18" i="63" s="1"/>
  <c r="BB18" i="63" a="1"/>
  <c r="BB18" i="63" s="1"/>
  <c r="BA18" i="63" a="1"/>
  <c r="BA18" i="63" s="1"/>
  <c r="BH17" i="63" a="1"/>
  <c r="BH17" i="63" s="1"/>
  <c r="BG17" i="63" a="1"/>
  <c r="BG17" i="63" s="1"/>
  <c r="BF17" i="63" a="1"/>
  <c r="BF17" i="63" s="1"/>
  <c r="BE17" i="63" a="1"/>
  <c r="BE17" i="63" s="1"/>
  <c r="BD17" i="63" a="1"/>
  <c r="BD17" i="63" s="1"/>
  <c r="BC17" i="63" a="1"/>
  <c r="BC17" i="63" s="1"/>
  <c r="BB17" i="63" a="1"/>
  <c r="BB17" i="63" s="1"/>
  <c r="BA17" i="63" a="1"/>
  <c r="BA17" i="63" s="1"/>
  <c r="BH16" i="63" a="1"/>
  <c r="BH16" i="63" s="1"/>
  <c r="BG16" i="63" a="1"/>
  <c r="BG16" i="63" s="1"/>
  <c r="BF16" i="63" a="1"/>
  <c r="BF16" i="63" s="1"/>
  <c r="BE16" i="63" a="1"/>
  <c r="BE16" i="63" s="1"/>
  <c r="BD16" i="63" a="1"/>
  <c r="BD16" i="63" s="1"/>
  <c r="BC16" i="63" a="1"/>
  <c r="BC16" i="63" s="1"/>
  <c r="BB16" i="63" a="1"/>
  <c r="BB16" i="63" s="1"/>
  <c r="BA16" i="63" a="1"/>
  <c r="BA16" i="63" s="1"/>
  <c r="BH14" i="63" a="1"/>
  <c r="BH14" i="63" s="1"/>
  <c r="BG14" i="63" a="1"/>
  <c r="BG14" i="63" s="1"/>
  <c r="BF14" i="63" a="1"/>
  <c r="BF14" i="63" s="1"/>
  <c r="BE14" i="63" a="1"/>
  <c r="BE14" i="63" s="1"/>
  <c r="BD14" i="63" a="1"/>
  <c r="BD14" i="63" s="1"/>
  <c r="BC14" i="63" a="1"/>
  <c r="BC14" i="63" s="1"/>
  <c r="BB14" i="63" a="1"/>
  <c r="BB14" i="63" s="1"/>
  <c r="BA14" i="63" a="1"/>
  <c r="BA14" i="63" s="1"/>
  <c r="BH13" i="63" a="1"/>
  <c r="BH13" i="63" s="1"/>
  <c r="BG13" i="63" a="1"/>
  <c r="BG13" i="63" s="1"/>
  <c r="BF13" i="63" a="1"/>
  <c r="BF13" i="63" s="1"/>
  <c r="BE13" i="63" a="1"/>
  <c r="BE13" i="63" s="1"/>
  <c r="BD13" i="63" a="1"/>
  <c r="BD13" i="63" s="1"/>
  <c r="BC13" i="63" a="1"/>
  <c r="BC13" i="63" s="1"/>
  <c r="BB13" i="63" a="1"/>
  <c r="BB13" i="63" s="1"/>
  <c r="BA13" i="63" a="1"/>
  <c r="BA13" i="63" s="1"/>
  <c r="BH12" i="63" a="1"/>
  <c r="BH12" i="63" s="1"/>
  <c r="BG12" i="63" a="1"/>
  <c r="BG12" i="63" s="1"/>
  <c r="BF12" i="63" a="1"/>
  <c r="BF12" i="63" s="1"/>
  <c r="BE12" i="63" a="1"/>
  <c r="BE12" i="63" s="1"/>
  <c r="BD12" i="63" a="1"/>
  <c r="BD12" i="63" s="1"/>
  <c r="BC12" i="63" a="1"/>
  <c r="BC12" i="63" s="1"/>
  <c r="BB12" i="63" a="1"/>
  <c r="BB12" i="63" s="1"/>
  <c r="BA12" i="63" a="1"/>
  <c r="BA12" i="63" s="1"/>
  <c r="BH11" i="63" a="1"/>
  <c r="BH11" i="63" s="1"/>
  <c r="BG11" i="63" a="1"/>
  <c r="BG11" i="63" s="1"/>
  <c r="BF11" i="63" a="1"/>
  <c r="BF11" i="63" s="1"/>
  <c r="BE11" i="63" a="1"/>
  <c r="BE11" i="63" s="1"/>
  <c r="BD11" i="63" a="1"/>
  <c r="BD11" i="63" s="1"/>
  <c r="BC11" i="63" a="1"/>
  <c r="BC11" i="63" s="1"/>
  <c r="BB11" i="63" a="1"/>
  <c r="BB11" i="63" s="1"/>
  <c r="BA11" i="63" a="1"/>
  <c r="BA11" i="63" s="1"/>
  <c r="AV23" i="75" l="1"/>
  <c r="G28" i="50"/>
  <c r="G22" i="50"/>
  <c r="H26" i="46"/>
  <c r="H20" i="46"/>
  <c r="H22" i="14"/>
  <c r="H16" i="14"/>
  <c r="H46" i="59"/>
  <c r="H40" i="59"/>
  <c r="H23" i="59"/>
  <c r="H17" i="59"/>
  <c r="H13" i="72"/>
  <c r="H31" i="72"/>
  <c r="H25" i="72"/>
  <c r="H19" i="72"/>
  <c r="G14" i="65"/>
  <c r="G24" i="23"/>
  <c r="G15" i="23"/>
  <c r="G21" i="30"/>
  <c r="G22" i="79"/>
  <c r="G20" i="68"/>
  <c r="C37" i="23"/>
  <c r="G14" i="43" l="1"/>
  <c r="G14" i="64" l="1"/>
  <c r="F55" i="37" l="1"/>
  <c r="F38" i="59" l="1"/>
  <c r="E20" i="50"/>
  <c r="F14" i="77"/>
  <c r="C40" i="45" l="1"/>
  <c r="E18" i="45"/>
  <c r="E18" i="39"/>
  <c r="E26" i="39" s="1"/>
  <c r="C20" i="67"/>
  <c r="CI6" i="74"/>
  <c r="CH12" i="74" s="1"/>
  <c r="CJ13" i="74"/>
  <c r="CJ14" i="74"/>
  <c r="CJ12" i="74"/>
  <c r="G13" i="30"/>
  <c r="H15" i="55"/>
  <c r="G15" i="27"/>
  <c r="H30" i="59"/>
  <c r="H14" i="14"/>
  <c r="H13" i="14"/>
  <c r="H14" i="59"/>
  <c r="H13" i="59"/>
  <c r="C19" i="40"/>
  <c r="C8" i="40"/>
  <c r="C9" i="26"/>
  <c r="F12" i="77"/>
  <c r="F10" i="77"/>
  <c r="F8" i="77"/>
  <c r="C22" i="26"/>
  <c r="C32" i="44"/>
  <c r="G13" i="27"/>
  <c r="H13" i="55"/>
  <c r="CH11" i="74" l="1"/>
  <c r="CH14" i="74"/>
  <c r="CH13" i="74"/>
  <c r="CH3" i="74" l="1"/>
  <c r="E14" i="24" s="1"/>
  <c r="B9" i="61" l="1"/>
  <c r="P1075" i="61" s="1"/>
  <c r="D79" i="77"/>
  <c r="C34" i="68"/>
  <c r="C40" i="79"/>
  <c r="C80" i="77" s="1"/>
  <c r="C36" i="79"/>
  <c r="C10" i="79"/>
  <c r="D8" i="79"/>
  <c r="D7" i="79"/>
  <c r="D6" i="79"/>
  <c r="B4" i="79"/>
  <c r="E30" i="77"/>
  <c r="F30" i="77"/>
  <c r="G30" i="77"/>
  <c r="H15" i="78"/>
  <c r="I15" i="78" s="1"/>
  <c r="H39" i="78"/>
  <c r="L39" i="78" s="1"/>
  <c r="H38" i="78"/>
  <c r="L38" i="78" s="1"/>
  <c r="H37" i="78"/>
  <c r="L37" i="78" s="1"/>
  <c r="H36" i="78"/>
  <c r="L36" i="78" s="1"/>
  <c r="H35" i="78"/>
  <c r="L35" i="78" s="1"/>
  <c r="H26" i="78"/>
  <c r="L26" i="78" s="1"/>
  <c r="H34" i="78"/>
  <c r="J34" i="78" s="1"/>
  <c r="H33" i="78"/>
  <c r="L33" i="78" s="1"/>
  <c r="H32" i="78"/>
  <c r="L32" i="78" s="1"/>
  <c r="H31" i="78"/>
  <c r="L31" i="78" s="1"/>
  <c r="H30" i="78"/>
  <c r="H29" i="78"/>
  <c r="L29" i="78" s="1"/>
  <c r="H28" i="78"/>
  <c r="L28" i="78" s="1"/>
  <c r="H27" i="78"/>
  <c r="L27" i="78" s="1"/>
  <c r="H25" i="78"/>
  <c r="L25" i="78" s="1"/>
  <c r="H24" i="78"/>
  <c r="L24" i="78" s="1"/>
  <c r="H22" i="78"/>
  <c r="L22" i="78" s="1"/>
  <c r="H21" i="78"/>
  <c r="L21" i="78" s="1"/>
  <c r="H20" i="78"/>
  <c r="K20" i="78" s="1"/>
  <c r="H19" i="78"/>
  <c r="L19" i="78" s="1"/>
  <c r="H18" i="78"/>
  <c r="L18" i="78" s="1"/>
  <c r="H17" i="78"/>
  <c r="K17" i="78" s="1"/>
  <c r="H16" i="78"/>
  <c r="L16" i="78" s="1"/>
  <c r="H14" i="78"/>
  <c r="H13" i="78"/>
  <c r="K13" i="78" s="1"/>
  <c r="H12" i="78"/>
  <c r="L12" i="78" s="1"/>
  <c r="H11" i="78"/>
  <c r="L11" i="78" s="1"/>
  <c r="E14" i="40"/>
  <c r="F24" i="78" s="1"/>
  <c r="P1372" i="61" l="1"/>
  <c r="P809" i="61"/>
  <c r="P1384" i="61"/>
  <c r="P1095" i="61"/>
  <c r="P1073" i="61"/>
  <c r="P1615" i="61"/>
  <c r="P1527" i="61"/>
  <c r="P1371" i="61"/>
  <c r="P1285" i="61"/>
  <c r="P1098" i="61"/>
  <c r="P1686" i="61"/>
  <c r="P1393" i="61"/>
  <c r="P1211" i="61"/>
  <c r="P1373" i="61"/>
  <c r="P876" i="61"/>
  <c r="P1530" i="61"/>
  <c r="P827" i="61"/>
  <c r="P1532" i="61"/>
  <c r="P1531" i="61"/>
  <c r="P1609" i="61"/>
  <c r="P1692" i="61"/>
  <c r="P1731" i="61"/>
  <c r="P1665" i="61"/>
  <c r="P1533" i="61"/>
  <c r="P1726" i="61"/>
  <c r="P1682" i="61"/>
  <c r="P1523" i="61"/>
  <c r="P1618" i="61"/>
  <c r="P1679" i="61"/>
  <c r="P1569" i="61"/>
  <c r="P1564" i="61"/>
  <c r="P1388" i="61"/>
  <c r="P1366" i="61"/>
  <c r="P948" i="61"/>
  <c r="P1691" i="61"/>
  <c r="P1434" i="61"/>
  <c r="P1412" i="61"/>
  <c r="P1385" i="61"/>
  <c r="P1363" i="61"/>
  <c r="P1534" i="61"/>
  <c r="P1617" i="61"/>
  <c r="P1304" i="61"/>
  <c r="P1282" i="61"/>
  <c r="P1387" i="61"/>
  <c r="P1365" i="61"/>
  <c r="P1668" i="61"/>
  <c r="P1404" i="61"/>
  <c r="C15" i="48"/>
  <c r="C13" i="48"/>
  <c r="L15" i="78"/>
  <c r="I13" i="78"/>
  <c r="K31" i="78"/>
  <c r="J15" i="78"/>
  <c r="J25" i="78"/>
  <c r="L13" i="78"/>
  <c r="I17" i="78"/>
  <c r="J32" i="78"/>
  <c r="K34" i="78"/>
  <c r="I20" i="78"/>
  <c r="J31" i="78"/>
  <c r="K32" i="78"/>
  <c r="L34" i="78"/>
  <c r="L20" i="78"/>
  <c r="J21" i="78"/>
  <c r="J36" i="78"/>
  <c r="I14" i="78"/>
  <c r="I25" i="78"/>
  <c r="K36" i="78"/>
  <c r="J37" i="78"/>
  <c r="K37" i="78"/>
  <c r="I24" i="78"/>
  <c r="I11" i="78"/>
  <c r="L17" i="78"/>
  <c r="K24" i="78"/>
  <c r="J28" i="78"/>
  <c r="K28" i="78"/>
  <c r="I26" i="78"/>
  <c r="J39" i="78"/>
  <c r="I18" i="78"/>
  <c r="J26" i="78"/>
  <c r="K39" i="78"/>
  <c r="J18" i="78"/>
  <c r="J29" i="78"/>
  <c r="I12" i="78"/>
  <c r="I16" i="78"/>
  <c r="I19" i="78"/>
  <c r="I22" i="78"/>
  <c r="I30" i="78"/>
  <c r="J19" i="78"/>
  <c r="J27" i="78"/>
  <c r="J30" i="78"/>
  <c r="J33" i="78"/>
  <c r="J35" i="78"/>
  <c r="J38" i="78"/>
  <c r="K12" i="78"/>
  <c r="K16" i="78"/>
  <c r="K27" i="78"/>
  <c r="K30" i="78"/>
  <c r="K33" i="78"/>
  <c r="K35" i="78"/>
  <c r="K38" i="78"/>
  <c r="K11" i="78"/>
  <c r="K21" i="78"/>
  <c r="K29" i="78"/>
  <c r="L14" i="78"/>
  <c r="C149" i="77"/>
  <c r="C86" i="77"/>
  <c r="C74" i="77"/>
  <c r="W9" i="61" l="1"/>
  <c r="E20" i="68" s="1"/>
  <c r="E24" i="68" s="1"/>
  <c r="E32" i="68" s="1"/>
  <c r="D148" i="77"/>
  <c r="D145" i="77"/>
  <c r="D142" i="77"/>
  <c r="D139" i="77"/>
  <c r="D136" i="77"/>
  <c r="D109" i="77"/>
  <c r="D133" i="77"/>
  <c r="D130" i="77"/>
  <c r="D127" i="77"/>
  <c r="D124" i="77"/>
  <c r="D121" i="77"/>
  <c r="D118" i="77"/>
  <c r="D115" i="77"/>
  <c r="D112" i="77"/>
  <c r="D106" i="77"/>
  <c r="D100" i="77"/>
  <c r="D97" i="77"/>
  <c r="D94" i="77"/>
  <c r="D91" i="77"/>
  <c r="D88" i="77"/>
  <c r="D85" i="77"/>
  <c r="D82" i="77"/>
  <c r="D76" i="77"/>
  <c r="D73" i="77"/>
  <c r="D70" i="77"/>
  <c r="D67" i="77"/>
  <c r="B65" i="77"/>
  <c r="G54" i="77"/>
  <c r="F54" i="77"/>
  <c r="E54" i="77"/>
  <c r="G53" i="77"/>
  <c r="F53" i="77"/>
  <c r="E53" i="77"/>
  <c r="G52" i="77"/>
  <c r="F52" i="77"/>
  <c r="E52" i="77"/>
  <c r="G51" i="77"/>
  <c r="F51" i="77"/>
  <c r="E51" i="77"/>
  <c r="G50" i="77"/>
  <c r="F50" i="77"/>
  <c r="E50" i="77"/>
  <c r="G41" i="77"/>
  <c r="F41" i="77"/>
  <c r="G49" i="77"/>
  <c r="F49" i="77"/>
  <c r="E49" i="77"/>
  <c r="G48" i="77"/>
  <c r="F48" i="77"/>
  <c r="E48" i="77"/>
  <c r="G47" i="77"/>
  <c r="F47" i="77"/>
  <c r="E47" i="77"/>
  <c r="G46" i="77"/>
  <c r="F46" i="77"/>
  <c r="E46" i="77"/>
  <c r="G45" i="77"/>
  <c r="F45" i="77"/>
  <c r="E45" i="77"/>
  <c r="G44" i="77"/>
  <c r="F44" i="77"/>
  <c r="E44" i="77"/>
  <c r="G43" i="77"/>
  <c r="F43" i="77"/>
  <c r="E43" i="77"/>
  <c r="G42" i="77"/>
  <c r="F42" i="77"/>
  <c r="E42" i="77"/>
  <c r="G40" i="77"/>
  <c r="F40" i="77"/>
  <c r="E40" i="77"/>
  <c r="G39" i="77"/>
  <c r="F39" i="77"/>
  <c r="E39" i="77"/>
  <c r="G37" i="77"/>
  <c r="F37" i="77"/>
  <c r="E37" i="77"/>
  <c r="G36" i="77"/>
  <c r="F36" i="77"/>
  <c r="E36" i="77"/>
  <c r="G35" i="77"/>
  <c r="F35" i="77"/>
  <c r="E35" i="77"/>
  <c r="G34" i="77"/>
  <c r="F34" i="77"/>
  <c r="E34" i="77"/>
  <c r="G33" i="77"/>
  <c r="F33" i="77"/>
  <c r="E33" i="77"/>
  <c r="G32" i="77"/>
  <c r="F32" i="77"/>
  <c r="E32" i="77"/>
  <c r="G31" i="77"/>
  <c r="F31" i="77"/>
  <c r="E31" i="77"/>
  <c r="G29" i="77"/>
  <c r="F29" i="77"/>
  <c r="E29" i="77"/>
  <c r="G28" i="77"/>
  <c r="F28" i="77"/>
  <c r="E28" i="77"/>
  <c r="G27" i="77"/>
  <c r="F27" i="77"/>
  <c r="E27" i="77"/>
  <c r="G26" i="77"/>
  <c r="F26" i="77"/>
  <c r="E26" i="77"/>
  <c r="E18" i="77"/>
  <c r="E16" i="77"/>
  <c r="E12" i="77"/>
  <c r="E10" i="77"/>
  <c r="E8" i="77"/>
  <c r="C36" i="50" l="1"/>
  <c r="C50" i="37"/>
  <c r="C39" i="43"/>
  <c r="C39" i="42"/>
  <c r="C36" i="46"/>
  <c r="C57" i="59"/>
  <c r="E14" i="77" l="1"/>
  <c r="C33" i="23"/>
  <c r="C24" i="3"/>
  <c r="C28" i="16"/>
  <c r="C57" i="14"/>
  <c r="C24" i="49"/>
  <c r="C43" i="72"/>
  <c r="C25" i="70"/>
  <c r="C28" i="39"/>
  <c r="C26" i="65"/>
  <c r="C26" i="64"/>
  <c r="C37" i="30"/>
  <c r="C24" i="55"/>
  <c r="C26" i="27"/>
  <c r="F18" i="77" l="1"/>
  <c r="P9" i="61"/>
  <c r="E21" i="30" s="1"/>
  <c r="O9" i="61"/>
  <c r="X9" i="61"/>
  <c r="F31" i="72" s="1"/>
  <c r="V9" i="61"/>
  <c r="F25" i="72" s="1"/>
  <c r="AB9" i="61"/>
  <c r="E12" i="49" s="1"/>
  <c r="AA9" i="61"/>
  <c r="Z9" i="61"/>
  <c r="U9" i="61"/>
  <c r="T9" i="61"/>
  <c r="F16" i="14" s="1"/>
  <c r="S9" i="61"/>
  <c r="E28" i="50" s="1"/>
  <c r="E32" i="50" s="1"/>
  <c r="R9" i="61"/>
  <c r="AD9" i="61"/>
  <c r="Y9" i="61"/>
  <c r="E12" i="3" s="1"/>
  <c r="AC9" i="61"/>
  <c r="E15" i="23" s="1"/>
  <c r="Q9" i="61"/>
  <c r="E22" i="79" s="1"/>
  <c r="E26" i="79" s="1"/>
  <c r="E34" i="79" s="1"/>
  <c r="BN6" i="74"/>
  <c r="BM12" i="74" s="1"/>
  <c r="AT6" i="74"/>
  <c r="AS13" i="74" s="1"/>
  <c r="AQ6" i="74"/>
  <c r="AP6" i="74"/>
  <c r="AD6" i="74"/>
  <c r="AF6" i="74"/>
  <c r="I6" i="74"/>
  <c r="N6" i="74"/>
  <c r="H3" i="74"/>
  <c r="BR3" i="74"/>
  <c r="BQ3" i="74"/>
  <c r="BE6" i="74"/>
  <c r="BE13" i="74" s="1"/>
  <c r="BG6" i="74"/>
  <c r="BJ8" i="74" s="1"/>
  <c r="BA3" i="74"/>
  <c r="U3" i="74"/>
  <c r="T3" i="74"/>
  <c r="Y3" i="74"/>
  <c r="P3" i="74"/>
  <c r="L3" i="74"/>
  <c r="G3" i="74"/>
  <c r="E22" i="50" l="1"/>
  <c r="F22" i="14"/>
  <c r="F34" i="14"/>
  <c r="AI6" i="74" s="1"/>
  <c r="F36" i="14"/>
  <c r="AH6" i="74" s="1"/>
  <c r="AH8" i="74" s="1"/>
  <c r="H34" i="79"/>
  <c r="D15" i="78" s="1"/>
  <c r="F15" i="78"/>
  <c r="E11" i="26"/>
  <c r="D6" i="74" s="1"/>
  <c r="B4" i="77"/>
  <c r="F20" i="46"/>
  <c r="F19" i="72"/>
  <c r="F26" i="46"/>
  <c r="F30" i="46" s="1"/>
  <c r="F13" i="72"/>
  <c r="F46" i="59"/>
  <c r="F40" i="59"/>
  <c r="F17" i="59"/>
  <c r="F23" i="59"/>
  <c r="E18" i="44"/>
  <c r="E28" i="45"/>
  <c r="E24" i="23"/>
  <c r="E28" i="23" s="1"/>
  <c r="E22" i="45"/>
  <c r="E27" i="42"/>
  <c r="E27" i="43"/>
  <c r="E21" i="42"/>
  <c r="E21" i="43"/>
  <c r="E25" i="43" s="1"/>
  <c r="BM11" i="74"/>
  <c r="BM3" i="74" s="1"/>
  <c r="F39" i="72" s="1"/>
  <c r="AS11" i="74"/>
  <c r="AS12" i="74"/>
  <c r="BE12" i="74"/>
  <c r="BE14" i="74"/>
  <c r="BE15" i="74"/>
  <c r="BE11" i="74"/>
  <c r="BH8" i="74"/>
  <c r="BK8" i="74"/>
  <c r="BG8" i="74"/>
  <c r="BI8" i="74"/>
  <c r="AM14" i="74"/>
  <c r="AM13" i="74"/>
  <c r="AM12" i="74"/>
  <c r="AM11" i="74"/>
  <c r="AL14" i="74"/>
  <c r="AL13" i="74"/>
  <c r="AL12" i="74"/>
  <c r="AL11" i="74"/>
  <c r="AC12" i="74"/>
  <c r="AC13" i="74"/>
  <c r="AC14" i="74"/>
  <c r="AC15" i="74"/>
  <c r="AC16" i="74"/>
  <c r="AC17" i="74"/>
  <c r="AC18" i="74"/>
  <c r="AC19" i="74"/>
  <c r="AC20" i="74"/>
  <c r="AC21" i="74"/>
  <c r="AC22" i="74"/>
  <c r="AC11" i="74"/>
  <c r="AI8" i="74" l="1"/>
  <c r="AJ8" i="74"/>
  <c r="C11" i="74"/>
  <c r="C12" i="74"/>
  <c r="C13" i="74"/>
  <c r="C14" i="74"/>
  <c r="AS3" i="74"/>
  <c r="F48" i="14" s="1"/>
  <c r="BE3" i="74"/>
  <c r="F16" i="71" s="1"/>
  <c r="AL3" i="74"/>
  <c r="F46" i="14" s="1"/>
  <c r="AC3" i="74" l="1"/>
  <c r="F44" i="14" s="1"/>
  <c r="C3" i="74"/>
  <c r="F15" i="26" s="1"/>
  <c r="F17" i="26" s="1"/>
  <c r="F13" i="78" s="1"/>
  <c r="C16" i="45" l="1"/>
  <c r="C14" i="45"/>
  <c r="C18" i="71"/>
  <c r="F35" i="72" l="1"/>
  <c r="F29" i="72"/>
  <c r="C46" i="72"/>
  <c r="C110" i="77" s="1"/>
  <c r="F17" i="72"/>
  <c r="C10" i="72"/>
  <c r="D8" i="72"/>
  <c r="D7" i="72"/>
  <c r="D6" i="72"/>
  <c r="B4" i="72"/>
  <c r="C21" i="71"/>
  <c r="C10" i="71"/>
  <c r="D8" i="71"/>
  <c r="F34" i="78" s="1"/>
  <c r="D7" i="71"/>
  <c r="D6" i="71"/>
  <c r="B4" i="71"/>
  <c r="C28" i="70"/>
  <c r="C113" i="77" s="1"/>
  <c r="E15" i="70"/>
  <c r="C10" i="70"/>
  <c r="D8" i="70"/>
  <c r="E23" i="70" s="1"/>
  <c r="F25" i="78" s="1"/>
  <c r="D7" i="70"/>
  <c r="D6" i="70"/>
  <c r="B4" i="70"/>
  <c r="C38" i="68"/>
  <c r="C77" i="77" s="1"/>
  <c r="C10" i="68"/>
  <c r="D8" i="68"/>
  <c r="D7" i="68"/>
  <c r="D6" i="68"/>
  <c r="B4" i="68"/>
  <c r="C24" i="67"/>
  <c r="C98" i="77" s="1"/>
  <c r="C10" i="67"/>
  <c r="D8" i="67"/>
  <c r="E18" i="67" s="1"/>
  <c r="F21" i="78" s="1"/>
  <c r="D7" i="67"/>
  <c r="D6" i="67"/>
  <c r="B4" i="67"/>
  <c r="C46" i="45"/>
  <c r="C146" i="77" s="1"/>
  <c r="C10" i="45"/>
  <c r="D8" i="45"/>
  <c r="D7" i="45"/>
  <c r="D6" i="45"/>
  <c r="B4" i="45"/>
  <c r="C45" i="43"/>
  <c r="C143" i="77" s="1"/>
  <c r="C10" i="43"/>
  <c r="D8" i="43"/>
  <c r="D7" i="43"/>
  <c r="D6" i="43"/>
  <c r="B4" i="43"/>
  <c r="C44" i="42"/>
  <c r="C140" i="77" s="1"/>
  <c r="C11" i="42"/>
  <c r="D9" i="42"/>
  <c r="D8" i="42"/>
  <c r="D7" i="42"/>
  <c r="B4" i="42"/>
  <c r="C37" i="44"/>
  <c r="C137" i="77" s="1"/>
  <c r="C10" i="44"/>
  <c r="D8" i="44"/>
  <c r="D7" i="44"/>
  <c r="D6" i="44"/>
  <c r="B4" i="44"/>
  <c r="C27" i="49"/>
  <c r="C134" i="77" s="1"/>
  <c r="C10" i="49"/>
  <c r="D8" i="49"/>
  <c r="E22" i="49" s="1"/>
  <c r="F33" i="78" s="1"/>
  <c r="D7" i="49"/>
  <c r="D6" i="49"/>
  <c r="B4" i="49"/>
  <c r="C28" i="48"/>
  <c r="C131" i="77" s="1"/>
  <c r="C10" i="48"/>
  <c r="D8" i="48"/>
  <c r="F23" i="48" s="1"/>
  <c r="F32" i="78" s="1"/>
  <c r="D7" i="48"/>
  <c r="D6" i="48"/>
  <c r="B4" i="48"/>
  <c r="C39" i="46"/>
  <c r="C128" i="77" s="1"/>
  <c r="C10" i="46"/>
  <c r="D8" i="46"/>
  <c r="D7" i="46"/>
  <c r="D6" i="46"/>
  <c r="B4" i="46"/>
  <c r="C60" i="14"/>
  <c r="C125" i="77" s="1"/>
  <c r="C10" i="14"/>
  <c r="D8" i="14"/>
  <c r="D7" i="14"/>
  <c r="D6" i="14"/>
  <c r="B4" i="14"/>
  <c r="I16" i="71" l="1"/>
  <c r="D34" i="78" s="1"/>
  <c r="I23" i="48"/>
  <c r="D32" i="78" s="1"/>
  <c r="H18" i="67"/>
  <c r="D21" i="78" s="1"/>
  <c r="H23" i="70"/>
  <c r="D25" i="78" s="1"/>
  <c r="H22" i="49"/>
  <c r="D33" i="78" s="1"/>
  <c r="C61" i="59"/>
  <c r="C122" i="77" s="1"/>
  <c r="C10" i="59"/>
  <c r="D8" i="59"/>
  <c r="D7" i="59"/>
  <c r="D6" i="59"/>
  <c r="B4" i="59"/>
  <c r="C31" i="16"/>
  <c r="C119" i="77" s="1"/>
  <c r="C10" i="16"/>
  <c r="D8" i="16"/>
  <c r="E26" i="16" s="1"/>
  <c r="F28" i="78" s="1"/>
  <c r="D7" i="16"/>
  <c r="D6" i="16"/>
  <c r="B4" i="16"/>
  <c r="C27" i="3"/>
  <c r="C116" i="77" s="1"/>
  <c r="C10" i="3"/>
  <c r="D8" i="3"/>
  <c r="D7" i="3"/>
  <c r="D6" i="3"/>
  <c r="B4" i="3"/>
  <c r="C32" i="39"/>
  <c r="C10" i="39"/>
  <c r="D8" i="39"/>
  <c r="F22" i="78" s="1"/>
  <c r="D7" i="39"/>
  <c r="D6" i="39"/>
  <c r="B4" i="39"/>
  <c r="C29" i="65"/>
  <c r="C95" i="77" s="1"/>
  <c r="C10" i="65"/>
  <c r="D8" i="65"/>
  <c r="D7" i="65"/>
  <c r="D6" i="65"/>
  <c r="B4" i="65"/>
  <c r="C29" i="64"/>
  <c r="C92" i="77" s="1"/>
  <c r="C10" i="64"/>
  <c r="D8" i="64"/>
  <c r="D7" i="64"/>
  <c r="D6" i="64"/>
  <c r="B4" i="64"/>
  <c r="C89" i="77"/>
  <c r="C10" i="23"/>
  <c r="D8" i="23"/>
  <c r="D7" i="23"/>
  <c r="D6" i="23"/>
  <c r="B4" i="23"/>
  <c r="C41" i="30"/>
  <c r="C83" i="77" s="1"/>
  <c r="C10" i="30"/>
  <c r="D8" i="30"/>
  <c r="D7" i="30"/>
  <c r="D6" i="30"/>
  <c r="B4" i="30"/>
  <c r="C29" i="27"/>
  <c r="C71" i="77" s="1"/>
  <c r="C10" i="27"/>
  <c r="D8" i="27"/>
  <c r="E24" i="27" s="1"/>
  <c r="D7" i="27"/>
  <c r="D6" i="27"/>
  <c r="B4" i="27"/>
  <c r="C27" i="55"/>
  <c r="C68" i="77" s="1"/>
  <c r="D8" i="55"/>
  <c r="F22" i="55" s="1"/>
  <c r="D7" i="55"/>
  <c r="D6" i="55"/>
  <c r="B4" i="55"/>
  <c r="C101" i="77" l="1"/>
  <c r="AH25" i="75"/>
  <c r="F11" i="78"/>
  <c r="AH21" i="75"/>
  <c r="AH31" i="75"/>
  <c r="AH33" i="75"/>
  <c r="F12" i="78"/>
  <c r="AH32" i="75"/>
  <c r="C107" i="77"/>
  <c r="H26" i="39"/>
  <c r="D22" i="78" s="1"/>
  <c r="H26" i="16"/>
  <c r="H24" i="27"/>
  <c r="D12" i="78" s="1"/>
  <c r="I22" i="55"/>
  <c r="D11" i="78" s="1"/>
  <c r="E17" i="42"/>
  <c r="AV33" i="75" l="1"/>
  <c r="BF23" i="75"/>
  <c r="AV31" i="75"/>
  <c r="BD23" i="75"/>
  <c r="AV32" i="75"/>
  <c r="BE23" i="75"/>
  <c r="AV21" i="75"/>
  <c r="AT23" i="75"/>
  <c r="AV25" i="75"/>
  <c r="AX23" i="75"/>
  <c r="BF31" i="75"/>
  <c r="AX31" i="75"/>
  <c r="BD31" i="75"/>
  <c r="BE31" i="75"/>
  <c r="AT31" i="75"/>
  <c r="AT21" i="75"/>
  <c r="BF21" i="75"/>
  <c r="AX21" i="75"/>
  <c r="BE21" i="75"/>
  <c r="BD21" i="75"/>
  <c r="AT33" i="75"/>
  <c r="BF33" i="75"/>
  <c r="AX33" i="75"/>
  <c r="BE33" i="75"/>
  <c r="BD33" i="75"/>
  <c r="BF25" i="75"/>
  <c r="AX25" i="75"/>
  <c r="AT25" i="75"/>
  <c r="BE25" i="75"/>
  <c r="BD25" i="75"/>
  <c r="AX32" i="75"/>
  <c r="AT32" i="75"/>
  <c r="BF32" i="75"/>
  <c r="BE32" i="75"/>
  <c r="BD32" i="75"/>
  <c r="D28" i="78"/>
  <c r="AH12" i="75"/>
  <c r="AK25" i="75" s="1"/>
  <c r="AH11" i="75"/>
  <c r="AJ25" i="75" s="1"/>
  <c r="AH22" i="75"/>
  <c r="AU21" i="75" s="1"/>
  <c r="AJ33" i="75" l="1"/>
  <c r="AU33" i="75"/>
  <c r="AK33" i="75"/>
  <c r="AU32" i="75"/>
  <c r="AJ32" i="75"/>
  <c r="AK32" i="75"/>
  <c r="AJ31" i="75"/>
  <c r="AU31" i="75"/>
  <c r="AK31" i="75"/>
  <c r="AU25" i="75"/>
  <c r="AV11" i="75"/>
  <c r="AJ23" i="75"/>
  <c r="AV12" i="75"/>
  <c r="AK23" i="75"/>
  <c r="AJ21" i="75"/>
  <c r="AK21" i="75"/>
  <c r="AV22" i="75"/>
  <c r="AU23" i="75"/>
  <c r="BD11" i="75"/>
  <c r="AJ11" i="75"/>
  <c r="AX11" i="75"/>
  <c r="AT11" i="75"/>
  <c r="BF11" i="75"/>
  <c r="AU11" i="75"/>
  <c r="BE11" i="75"/>
  <c r="BD22" i="75"/>
  <c r="AT22" i="75"/>
  <c r="BF22" i="75"/>
  <c r="AX22" i="75"/>
  <c r="BE22" i="75"/>
  <c r="AU22" i="75"/>
  <c r="AK22" i="75"/>
  <c r="AJ22" i="75"/>
  <c r="AU12" i="75"/>
  <c r="AK12" i="75"/>
  <c r="AJ12" i="75"/>
  <c r="AT12" i="75"/>
  <c r="AK11" i="75"/>
  <c r="BF12" i="75"/>
  <c r="BE12" i="75"/>
  <c r="BD12" i="75"/>
  <c r="AX12" i="75"/>
  <c r="AH27" i="75"/>
  <c r="AZ32" i="75" l="1"/>
  <c r="AZ33" i="75"/>
  <c r="AZ25" i="75"/>
  <c r="AZ31" i="75"/>
  <c r="AZ22" i="75"/>
  <c r="AZ23" i="75"/>
  <c r="AZ12" i="75"/>
  <c r="AZ21" i="75"/>
  <c r="AZ11" i="75"/>
  <c r="AV27" i="75"/>
  <c r="AT27" i="75"/>
  <c r="AK27" i="75"/>
  <c r="AZ27" i="75"/>
  <c r="AJ27" i="75"/>
  <c r="BF27" i="75"/>
  <c r="AX27" i="75"/>
  <c r="BE27" i="75"/>
  <c r="BD27" i="75"/>
  <c r="AU27" i="75"/>
  <c r="E19" i="43"/>
  <c r="F17" i="48"/>
  <c r="H14" i="40" l="1"/>
  <c r="D24" i="78" s="1"/>
  <c r="C14" i="24"/>
  <c r="C38" i="49"/>
  <c r="F14" i="78" l="1"/>
  <c r="AH24" i="75"/>
  <c r="AW33" i="75" s="1"/>
  <c r="C25" i="48"/>
  <c r="AW31" i="75" l="1"/>
  <c r="AW32" i="75"/>
  <c r="AW25" i="75"/>
  <c r="AW27" i="75"/>
  <c r="AW21" i="75"/>
  <c r="AW23" i="75"/>
  <c r="AW12" i="75"/>
  <c r="AV24" i="75"/>
  <c r="AW22" i="75"/>
  <c r="AT24" i="75"/>
  <c r="AZ24" i="75"/>
  <c r="AK24" i="75"/>
  <c r="AJ24" i="75"/>
  <c r="BF24" i="75"/>
  <c r="AX24" i="75"/>
  <c r="BE24" i="75"/>
  <c r="AW24" i="75"/>
  <c r="BD24" i="75"/>
  <c r="AU24" i="75"/>
  <c r="AW11" i="75"/>
  <c r="H32" i="68"/>
  <c r="D14" i="78" s="1"/>
  <c r="F44" i="59"/>
  <c r="AH15" i="75" l="1"/>
  <c r="AN33" i="75" s="1"/>
  <c r="AH14" i="75"/>
  <c r="AM33" i="75" s="1"/>
  <c r="G13" i="23"/>
  <c r="AM31" i="75" l="1"/>
  <c r="AM32" i="75"/>
  <c r="AN31" i="75"/>
  <c r="AN32" i="75"/>
  <c r="AM25" i="75"/>
  <c r="AM27" i="75"/>
  <c r="AN25" i="75"/>
  <c r="AN27" i="75"/>
  <c r="AM23" i="75"/>
  <c r="AM24" i="75"/>
  <c r="AN23" i="75"/>
  <c r="AN24" i="75"/>
  <c r="AM21" i="75"/>
  <c r="AM22" i="75"/>
  <c r="AN21" i="75"/>
  <c r="AN22" i="75"/>
  <c r="AM12" i="75"/>
  <c r="AV14" i="75"/>
  <c r="AN12" i="75"/>
  <c r="AV15" i="75"/>
  <c r="BD14" i="75"/>
  <c r="AM14" i="75"/>
  <c r="AN14" i="75"/>
  <c r="AM11" i="75"/>
  <c r="AX14" i="75"/>
  <c r="AK14" i="75"/>
  <c r="AZ14" i="75"/>
  <c r="AW14" i="75"/>
  <c r="AJ14" i="75"/>
  <c r="AU14" i="75"/>
  <c r="AT14" i="75"/>
  <c r="BF14" i="75"/>
  <c r="BE14" i="75"/>
  <c r="AZ15" i="75"/>
  <c r="AK15" i="75"/>
  <c r="AX15" i="75"/>
  <c r="AW15" i="75"/>
  <c r="AJ15" i="75"/>
  <c r="AU15" i="75"/>
  <c r="AT15" i="75"/>
  <c r="AN11" i="75"/>
  <c r="BF15" i="75"/>
  <c r="BE15" i="75"/>
  <c r="BD15" i="75"/>
  <c r="AN15" i="75"/>
  <c r="AM15" i="75"/>
  <c r="K14" i="78"/>
  <c r="C15" i="24" l="1"/>
  <c r="C19" i="24" s="1"/>
  <c r="E25" i="30"/>
  <c r="E31" i="30"/>
  <c r="E19" i="30"/>
  <c r="E35" i="30" l="1"/>
  <c r="F16" i="78" s="1"/>
  <c r="G16" i="50" l="1"/>
  <c r="F50" i="59" l="1"/>
  <c r="F23" i="72"/>
  <c r="F41" i="72" s="1"/>
  <c r="F26" i="78" s="1"/>
  <c r="E15" i="39"/>
  <c r="I41" i="72" l="1"/>
  <c r="D26" i="78" s="1"/>
  <c r="AH34" i="75" l="1"/>
  <c r="BG33" i="75" s="1"/>
  <c r="BG31" i="75" l="1"/>
  <c r="BG32" i="75"/>
  <c r="BG25" i="75"/>
  <c r="BG27" i="75"/>
  <c r="BG23" i="75"/>
  <c r="BG24" i="75"/>
  <c r="BG21" i="75"/>
  <c r="BG22" i="75"/>
  <c r="BG15" i="75"/>
  <c r="BG14" i="75"/>
  <c r="BG12" i="75"/>
  <c r="AV34" i="75"/>
  <c r="BD34" i="75"/>
  <c r="AN34" i="75"/>
  <c r="AZ34" i="75"/>
  <c r="AM34" i="75"/>
  <c r="AX34" i="75"/>
  <c r="AK34" i="75"/>
  <c r="AW34" i="75"/>
  <c r="AJ34" i="75"/>
  <c r="AU34" i="75"/>
  <c r="BG34" i="75"/>
  <c r="AT34" i="75"/>
  <c r="BF34" i="75"/>
  <c r="BE34" i="75"/>
  <c r="BG11" i="75"/>
  <c r="F21" i="59"/>
  <c r="F27" i="59"/>
  <c r="E31" i="42"/>
  <c r="E32" i="45"/>
  <c r="E31" i="43"/>
  <c r="E26" i="45"/>
  <c r="E22" i="44"/>
  <c r="E25" i="42"/>
  <c r="E19" i="23"/>
  <c r="E30" i="23" s="1"/>
  <c r="F18" i="78" s="1"/>
  <c r="E38" i="45" l="1"/>
  <c r="F38" i="78" s="1"/>
  <c r="F55" i="59"/>
  <c r="F29" i="78" s="1"/>
  <c r="H30" i="23"/>
  <c r="D18" i="78" s="1"/>
  <c r="AH18" i="75" s="1"/>
  <c r="AQ33" i="75" s="1"/>
  <c r="E37" i="43"/>
  <c r="F37" i="78" s="1"/>
  <c r="E37" i="42"/>
  <c r="F36" i="78" s="1"/>
  <c r="AQ31" i="75" l="1"/>
  <c r="AQ32" i="75"/>
  <c r="AQ25" i="75"/>
  <c r="AQ27" i="75"/>
  <c r="AQ23" i="75"/>
  <c r="AQ24" i="75"/>
  <c r="AQ21" i="75"/>
  <c r="AQ22" i="75"/>
  <c r="AQ14" i="75"/>
  <c r="AQ15" i="75"/>
  <c r="AQ34" i="75"/>
  <c r="AV18" i="75"/>
  <c r="AT18" i="75"/>
  <c r="BE18" i="75"/>
  <c r="BF18" i="75"/>
  <c r="AQ11" i="75"/>
  <c r="BD18" i="75"/>
  <c r="AQ18" i="75"/>
  <c r="AJ18" i="75"/>
  <c r="AN18" i="75"/>
  <c r="AW18" i="75"/>
  <c r="AZ18" i="75"/>
  <c r="AM18" i="75"/>
  <c r="AX18" i="75"/>
  <c r="AK18" i="75"/>
  <c r="AU18" i="75"/>
  <c r="BG18" i="75"/>
  <c r="AQ12" i="75"/>
  <c r="H38" i="45"/>
  <c r="D38" i="78" s="1"/>
  <c r="H37" i="43"/>
  <c r="D37" i="78" s="1"/>
  <c r="H37" i="42"/>
  <c r="D36" i="78" s="1"/>
  <c r="I55" i="59"/>
  <c r="E18" i="64"/>
  <c r="E18" i="65"/>
  <c r="AH38" i="75" l="1"/>
  <c r="BK33" i="75" s="1"/>
  <c r="AH36" i="75"/>
  <c r="BI33" i="75" s="1"/>
  <c r="AH37" i="75"/>
  <c r="BJ33" i="75" s="1"/>
  <c r="D29" i="78"/>
  <c r="AH28" i="75" s="1"/>
  <c r="BA33" i="75" s="1"/>
  <c r="E24" i="64"/>
  <c r="F19" i="78" s="1"/>
  <c r="E24" i="65"/>
  <c r="F20" i="78" s="1"/>
  <c r="BI31" i="75" l="1"/>
  <c r="BI32" i="75"/>
  <c r="BA31" i="75"/>
  <c r="BA32" i="75"/>
  <c r="BJ31" i="75"/>
  <c r="BJ32" i="75"/>
  <c r="BK31" i="75"/>
  <c r="BK32" i="75"/>
  <c r="BI25" i="75"/>
  <c r="BI27" i="75"/>
  <c r="BA25" i="75"/>
  <c r="BA27" i="75"/>
  <c r="BJ25" i="75"/>
  <c r="BJ27" i="75"/>
  <c r="BK25" i="75"/>
  <c r="BK27" i="75"/>
  <c r="BI23" i="75"/>
  <c r="BI24" i="75"/>
  <c r="BA23" i="75"/>
  <c r="BA24" i="75"/>
  <c r="BJ23" i="75"/>
  <c r="BJ24" i="75"/>
  <c r="BK23" i="75"/>
  <c r="BK24" i="75"/>
  <c r="BJ21" i="75"/>
  <c r="BJ22" i="75"/>
  <c r="BA21" i="75"/>
  <c r="BA22" i="75"/>
  <c r="BI21" i="75"/>
  <c r="BI22" i="75"/>
  <c r="BK21" i="75"/>
  <c r="BK22" i="75"/>
  <c r="AV28" i="75"/>
  <c r="BA15" i="75"/>
  <c r="BA14" i="75"/>
  <c r="AV38" i="75"/>
  <c r="BK14" i="75"/>
  <c r="BK15" i="75"/>
  <c r="AV37" i="75"/>
  <c r="BJ15" i="75"/>
  <c r="BJ14" i="75"/>
  <c r="AV36" i="75"/>
  <c r="BI15" i="75"/>
  <c r="BI14" i="75"/>
  <c r="BI34" i="75"/>
  <c r="BI12" i="75"/>
  <c r="BJ34" i="75"/>
  <c r="BJ12" i="75"/>
  <c r="BK34" i="75"/>
  <c r="BK12" i="75"/>
  <c r="BA34" i="75"/>
  <c r="BA12" i="75"/>
  <c r="AU36" i="75"/>
  <c r="BG36" i="75"/>
  <c r="AT36" i="75"/>
  <c r="BF36" i="75"/>
  <c r="BE36" i="75"/>
  <c r="BD36" i="75"/>
  <c r="AQ36" i="75"/>
  <c r="BA36" i="75"/>
  <c r="AN36" i="75"/>
  <c r="AZ36" i="75"/>
  <c r="AM36" i="75"/>
  <c r="BI11" i="75"/>
  <c r="BK36" i="75"/>
  <c r="BJ36" i="75"/>
  <c r="AX36" i="75"/>
  <c r="AK36" i="75"/>
  <c r="BI36" i="75"/>
  <c r="AW36" i="75"/>
  <c r="AJ36" i="75"/>
  <c r="BI18" i="75"/>
  <c r="BD28" i="75"/>
  <c r="AQ28" i="75"/>
  <c r="BA28" i="75"/>
  <c r="AN28" i="75"/>
  <c r="AZ28" i="75"/>
  <c r="AM28" i="75"/>
  <c r="BK28" i="75"/>
  <c r="BJ28" i="75"/>
  <c r="AX28" i="75"/>
  <c r="AK28" i="75"/>
  <c r="BA11" i="75"/>
  <c r="BI28" i="75"/>
  <c r="AW28" i="75"/>
  <c r="AJ28" i="75"/>
  <c r="AU28" i="75"/>
  <c r="BG28" i="75"/>
  <c r="AT28" i="75"/>
  <c r="BF28" i="75"/>
  <c r="BE28" i="75"/>
  <c r="BA18" i="75"/>
  <c r="BD37" i="75"/>
  <c r="AQ37" i="75"/>
  <c r="BA37" i="75"/>
  <c r="AN37" i="75"/>
  <c r="AZ37" i="75"/>
  <c r="AM37" i="75"/>
  <c r="BK37" i="75"/>
  <c r="BJ37" i="75"/>
  <c r="AX37" i="75"/>
  <c r="AK37" i="75"/>
  <c r="BI37" i="75"/>
  <c r="AW37" i="75"/>
  <c r="AJ37" i="75"/>
  <c r="AU37" i="75"/>
  <c r="BG37" i="75"/>
  <c r="AT37" i="75"/>
  <c r="BJ11" i="75"/>
  <c r="BF37" i="75"/>
  <c r="BE37" i="75"/>
  <c r="BJ18" i="75"/>
  <c r="AZ38" i="75"/>
  <c r="AM38" i="75"/>
  <c r="BK38" i="75"/>
  <c r="BJ38" i="75"/>
  <c r="AX38" i="75"/>
  <c r="AK38" i="75"/>
  <c r="BI38" i="75"/>
  <c r="AW38" i="75"/>
  <c r="AJ38" i="75"/>
  <c r="AU38" i="75"/>
  <c r="BG38" i="75"/>
  <c r="AT38" i="75"/>
  <c r="BF38" i="75"/>
  <c r="BK11" i="75"/>
  <c r="BE38" i="75"/>
  <c r="BD38" i="75"/>
  <c r="AQ38" i="75"/>
  <c r="BA38" i="75"/>
  <c r="AN38" i="75"/>
  <c r="BK18" i="75"/>
  <c r="H24" i="65"/>
  <c r="D20" i="78" s="1"/>
  <c r="H24" i="64"/>
  <c r="D19" i="78" s="1"/>
  <c r="AH20" i="75" l="1"/>
  <c r="AH19" i="75"/>
  <c r="AR37" i="75" l="1"/>
  <c r="AR38" i="75"/>
  <c r="AS37" i="75"/>
  <c r="AS38" i="75"/>
  <c r="AR33" i="75"/>
  <c r="AR36" i="75"/>
  <c r="AS33" i="75"/>
  <c r="AS36" i="75"/>
  <c r="AR31" i="75"/>
  <c r="AR32" i="75"/>
  <c r="AS31" i="75"/>
  <c r="AS32" i="75"/>
  <c r="AR25" i="75"/>
  <c r="AR27" i="75"/>
  <c r="AS25" i="75"/>
  <c r="AS27" i="75"/>
  <c r="AR23" i="75"/>
  <c r="AR24" i="75"/>
  <c r="AS23" i="75"/>
  <c r="AS24" i="75"/>
  <c r="AR21" i="75"/>
  <c r="AR22" i="75"/>
  <c r="AS21" i="75"/>
  <c r="AS22" i="75"/>
  <c r="AR15" i="75"/>
  <c r="AR14" i="75"/>
  <c r="AS14" i="75"/>
  <c r="AS15" i="75"/>
  <c r="AS28" i="75"/>
  <c r="AV20" i="75"/>
  <c r="AR28" i="75"/>
  <c r="AV19" i="75"/>
  <c r="AR12" i="75"/>
  <c r="AR34" i="75"/>
  <c r="AS12" i="75"/>
  <c r="AS34" i="75"/>
  <c r="BK19" i="75"/>
  <c r="AT19" i="75"/>
  <c r="BJ19" i="75"/>
  <c r="AS19" i="75"/>
  <c r="AK19" i="75"/>
  <c r="AZ19" i="75"/>
  <c r="BG19" i="75"/>
  <c r="BI19" i="75"/>
  <c r="BA19" i="75"/>
  <c r="AR19" i="75"/>
  <c r="AJ19" i="75"/>
  <c r="AQ19" i="75"/>
  <c r="BF19" i="75"/>
  <c r="AX19" i="75"/>
  <c r="BE19" i="75"/>
  <c r="AW19" i="75"/>
  <c r="AN19" i="75"/>
  <c r="AU19" i="75"/>
  <c r="AM19" i="75"/>
  <c r="BD19" i="75"/>
  <c r="AR11" i="75"/>
  <c r="AR18" i="75"/>
  <c r="BG20" i="75"/>
  <c r="AM20" i="75"/>
  <c r="AT20" i="75"/>
  <c r="BF20" i="75"/>
  <c r="AX20" i="75"/>
  <c r="BD20" i="75"/>
  <c r="BK20" i="75"/>
  <c r="BE20" i="75"/>
  <c r="AW20" i="75"/>
  <c r="AN20" i="75"/>
  <c r="AU20" i="75"/>
  <c r="BJ20" i="75"/>
  <c r="AS20" i="75"/>
  <c r="AK20" i="75"/>
  <c r="BI20" i="75"/>
  <c r="BA20" i="75"/>
  <c r="AR20" i="75"/>
  <c r="AJ20" i="75"/>
  <c r="AZ20" i="75"/>
  <c r="AQ20" i="75"/>
  <c r="AS11" i="75"/>
  <c r="AS18" i="75"/>
  <c r="F26" i="14"/>
  <c r="F24" i="46" l="1"/>
  <c r="F34" i="46" s="1"/>
  <c r="F31" i="78" s="1"/>
  <c r="E26" i="50"/>
  <c r="F20" i="14"/>
  <c r="F55" i="14" l="1"/>
  <c r="F30" i="78" s="1"/>
  <c r="I34" i="46"/>
  <c r="D31" i="78" s="1"/>
  <c r="E34" i="50"/>
  <c r="F39" i="78" s="1"/>
  <c r="I55" i="14" l="1"/>
  <c r="D30" i="78" s="1"/>
  <c r="AH29" i="75" s="1"/>
  <c r="AH30" i="75"/>
  <c r="H34" i="50"/>
  <c r="D39" i="78" s="1"/>
  <c r="BC37" i="75" l="1"/>
  <c r="BC38" i="75"/>
  <c r="BB37" i="75"/>
  <c r="BB38" i="75"/>
  <c r="BC33" i="75"/>
  <c r="BC36" i="75"/>
  <c r="BB33" i="75"/>
  <c r="BB36" i="75"/>
  <c r="BC31" i="75"/>
  <c r="BC32" i="75"/>
  <c r="BB31" i="75"/>
  <c r="BB32" i="75"/>
  <c r="BC25" i="75"/>
  <c r="BC27" i="75"/>
  <c r="BB25" i="75"/>
  <c r="BB27" i="75"/>
  <c r="BC23" i="75"/>
  <c r="BC24" i="75"/>
  <c r="BB23" i="75"/>
  <c r="BB24" i="75"/>
  <c r="BC21" i="75"/>
  <c r="BC22" i="75"/>
  <c r="BB21" i="75"/>
  <c r="BB22" i="75"/>
  <c r="BC19" i="75"/>
  <c r="BC20" i="75"/>
  <c r="BB19" i="75"/>
  <c r="BB20" i="75"/>
  <c r="BC14" i="75"/>
  <c r="BC15" i="75"/>
  <c r="BB14" i="75"/>
  <c r="BB15" i="75"/>
  <c r="BC28" i="75"/>
  <c r="AV30" i="75"/>
  <c r="BB28" i="75"/>
  <c r="AV29" i="75"/>
  <c r="BC34" i="75"/>
  <c r="BC12" i="75"/>
  <c r="BB34" i="75"/>
  <c r="BB12" i="75"/>
  <c r="AU30" i="75"/>
  <c r="BG30" i="75"/>
  <c r="AT30" i="75"/>
  <c r="BF30" i="75"/>
  <c r="AS30" i="75"/>
  <c r="BE30" i="75"/>
  <c r="AR30" i="75"/>
  <c r="BD30" i="75"/>
  <c r="AQ30" i="75"/>
  <c r="BC30" i="75"/>
  <c r="BB30" i="75"/>
  <c r="BA30" i="75"/>
  <c r="AN30" i="75"/>
  <c r="BC11" i="75"/>
  <c r="AZ30" i="75"/>
  <c r="AM30" i="75"/>
  <c r="BK30" i="75"/>
  <c r="BJ30" i="75"/>
  <c r="AX30" i="75"/>
  <c r="AK30" i="75"/>
  <c r="BI30" i="75"/>
  <c r="AW30" i="75"/>
  <c r="AJ30" i="75"/>
  <c r="BC18" i="75"/>
  <c r="AZ29" i="75"/>
  <c r="AM29" i="75"/>
  <c r="BK29" i="75"/>
  <c r="BJ29" i="75"/>
  <c r="AX29" i="75"/>
  <c r="AK29" i="75"/>
  <c r="BI29" i="75"/>
  <c r="AW29" i="75"/>
  <c r="AJ29" i="75"/>
  <c r="AU29" i="75"/>
  <c r="BG29" i="75"/>
  <c r="AT29" i="75"/>
  <c r="BB11" i="75"/>
  <c r="BF29" i="75"/>
  <c r="AS29" i="75"/>
  <c r="BE29" i="75"/>
  <c r="AR29" i="75"/>
  <c r="BD29" i="75"/>
  <c r="AQ29" i="75"/>
  <c r="BC29" i="75"/>
  <c r="BB29" i="75"/>
  <c r="BA29" i="75"/>
  <c r="AN29" i="75"/>
  <c r="BB18" i="75"/>
  <c r="AH39" i="75"/>
  <c r="BL38" i="75" s="1"/>
  <c r="BL36" i="75" l="1"/>
  <c r="BL37" i="75"/>
  <c r="BL32" i="75"/>
  <c r="BL33" i="75"/>
  <c r="BL29" i="75"/>
  <c r="BL31" i="75"/>
  <c r="BL25" i="75"/>
  <c r="BL27" i="75"/>
  <c r="BL23" i="75"/>
  <c r="BL24" i="75"/>
  <c r="BL21" i="75"/>
  <c r="BL22" i="75"/>
  <c r="BL19" i="75"/>
  <c r="BL20" i="75"/>
  <c r="AV39" i="75"/>
  <c r="BL14" i="75"/>
  <c r="BL15" i="75"/>
  <c r="BL34" i="75"/>
  <c r="BL28" i="75"/>
  <c r="BL30" i="75"/>
  <c r="BL39" i="75"/>
  <c r="AZ39" i="75"/>
  <c r="BK39" i="75"/>
  <c r="AJ39" i="75"/>
  <c r="BJ39" i="75"/>
  <c r="AX39" i="75"/>
  <c r="BL11" i="75"/>
  <c r="BA39" i="75"/>
  <c r="BI39" i="75"/>
  <c r="AW39" i="75"/>
  <c r="AU39" i="75"/>
  <c r="BG39" i="75"/>
  <c r="AT39" i="75"/>
  <c r="AM39" i="75"/>
  <c r="BF39" i="75"/>
  <c r="AS39" i="75"/>
  <c r="BE39" i="75"/>
  <c r="AR39" i="75"/>
  <c r="BD39" i="75"/>
  <c r="AN39" i="75"/>
  <c r="BC39" i="75"/>
  <c r="BB39" i="75"/>
  <c r="BL12" i="75"/>
  <c r="AK39" i="75"/>
  <c r="BL18" i="75"/>
  <c r="AQ39" i="75"/>
  <c r="E15" i="16"/>
  <c r="E13" i="16"/>
  <c r="E16" i="16" l="1"/>
  <c r="E20" i="16"/>
  <c r="E22" i="16" l="1"/>
  <c r="E16" i="44" l="1"/>
  <c r="E30" i="44" s="1"/>
  <c r="F35" i="78" l="1"/>
  <c r="H30" i="44"/>
  <c r="D35" i="78" s="1"/>
  <c r="AH35" i="75" l="1"/>
  <c r="BH38" i="75" s="1"/>
  <c r="BH36" i="75" l="1"/>
  <c r="BH37" i="75"/>
  <c r="BH32" i="75"/>
  <c r="BH33" i="75"/>
  <c r="BH29" i="75"/>
  <c r="BH31" i="75"/>
  <c r="BH25" i="75"/>
  <c r="BH27" i="75"/>
  <c r="BH23" i="75"/>
  <c r="BH24" i="75"/>
  <c r="BH21" i="75"/>
  <c r="BH22" i="75"/>
  <c r="BH19" i="75"/>
  <c r="BH20" i="75"/>
  <c r="AV35" i="75"/>
  <c r="BH14" i="75"/>
  <c r="BH15" i="75"/>
  <c r="BH12" i="75"/>
  <c r="BH28" i="75"/>
  <c r="BH34" i="75"/>
  <c r="BH30" i="75"/>
  <c r="BH39" i="75"/>
  <c r="BL35" i="75"/>
  <c r="AZ35" i="75"/>
  <c r="AM35" i="75"/>
  <c r="BK35" i="75"/>
  <c r="BJ35" i="75"/>
  <c r="AX35" i="75"/>
  <c r="AK35" i="75"/>
  <c r="BI35" i="75"/>
  <c r="AW35" i="75"/>
  <c r="AJ35" i="75"/>
  <c r="BH35" i="75"/>
  <c r="AU35" i="75"/>
  <c r="BG35" i="75"/>
  <c r="AT35" i="75"/>
  <c r="BF35" i="75"/>
  <c r="AS35" i="75"/>
  <c r="BE35" i="75"/>
  <c r="AR35" i="75"/>
  <c r="BD35" i="75"/>
  <c r="AQ35" i="75"/>
  <c r="BC35" i="75"/>
  <c r="BB35" i="75"/>
  <c r="BA35" i="75"/>
  <c r="AN35" i="75"/>
  <c r="BH11" i="75"/>
  <c r="BH18" i="75"/>
  <c r="E17" i="24"/>
  <c r="F17" i="78" s="1"/>
  <c r="H17" i="24" l="1"/>
  <c r="D17" i="78" s="1"/>
  <c r="AH17" i="75" l="1"/>
  <c r="AP37" i="75" l="1"/>
  <c r="AP38" i="75"/>
  <c r="AP35" i="75"/>
  <c r="AP36" i="75"/>
  <c r="AP32" i="75"/>
  <c r="AP33" i="75"/>
  <c r="AP29" i="75"/>
  <c r="AP31" i="75"/>
  <c r="AP25" i="75"/>
  <c r="AP27" i="75"/>
  <c r="AP23" i="75"/>
  <c r="AP24" i="75"/>
  <c r="AP21" i="75"/>
  <c r="AP22" i="75"/>
  <c r="AP19" i="75"/>
  <c r="AP20" i="75"/>
  <c r="AP14" i="75"/>
  <c r="AP15" i="75"/>
  <c r="AP28" i="75"/>
  <c r="AV17" i="75"/>
  <c r="AP12" i="75"/>
  <c r="AP34" i="75"/>
  <c r="AP30" i="75"/>
  <c r="AP39" i="75"/>
  <c r="BG17" i="75"/>
  <c r="AP17" i="75"/>
  <c r="BL17" i="75"/>
  <c r="BF17" i="75"/>
  <c r="AX17" i="75"/>
  <c r="AU17" i="75"/>
  <c r="BE17" i="75"/>
  <c r="AW17" i="75"/>
  <c r="AN17" i="75"/>
  <c r="BD17" i="75"/>
  <c r="AM17" i="75"/>
  <c r="BJ17" i="75"/>
  <c r="BB17" i="75"/>
  <c r="AS17" i="75"/>
  <c r="AK17" i="75"/>
  <c r="BI17" i="75"/>
  <c r="BA17" i="75"/>
  <c r="AR17" i="75"/>
  <c r="AJ17" i="75"/>
  <c r="BC17" i="75"/>
  <c r="AQ17" i="75"/>
  <c r="BK17" i="75"/>
  <c r="BH17" i="75"/>
  <c r="AZ17" i="75"/>
  <c r="AT17" i="75"/>
  <c r="AP11" i="75"/>
  <c r="AP18" i="75"/>
  <c r="C19" i="26"/>
  <c r="E16" i="3" l="1"/>
  <c r="E22" i="3" s="1"/>
  <c r="F27" i="78" s="1"/>
  <c r="H22" i="3" l="1"/>
  <c r="D27" i="78" s="1"/>
  <c r="AH26" i="75" s="1"/>
  <c r="AY37" i="75" l="1"/>
  <c r="AY38" i="75"/>
  <c r="AY35" i="75"/>
  <c r="AY36" i="75"/>
  <c r="AY32" i="75"/>
  <c r="AY33" i="75"/>
  <c r="AY29" i="75"/>
  <c r="AY31" i="75"/>
  <c r="AY25" i="75"/>
  <c r="AY27" i="75"/>
  <c r="AY23" i="75"/>
  <c r="AY24" i="75"/>
  <c r="AY21" i="75"/>
  <c r="AY22" i="75"/>
  <c r="AY19" i="75"/>
  <c r="AY20" i="75"/>
  <c r="AY14" i="75"/>
  <c r="AY15" i="75"/>
  <c r="AY28" i="75"/>
  <c r="AV26" i="75"/>
  <c r="AY39" i="75"/>
  <c r="AY17" i="75"/>
  <c r="AY34" i="75"/>
  <c r="AY12" i="75"/>
  <c r="AY30" i="75"/>
  <c r="BL26" i="75"/>
  <c r="AZ26" i="75"/>
  <c r="AM26" i="75"/>
  <c r="BK26" i="75"/>
  <c r="AY26" i="75"/>
  <c r="BJ26" i="75"/>
  <c r="AX26" i="75"/>
  <c r="AK26" i="75"/>
  <c r="BI26" i="75"/>
  <c r="AW26" i="75"/>
  <c r="AJ26" i="75"/>
  <c r="BH26" i="75"/>
  <c r="AU26" i="75"/>
  <c r="BG26" i="75"/>
  <c r="AT26" i="75"/>
  <c r="AY11" i="75"/>
  <c r="BF26" i="75"/>
  <c r="AS26" i="75"/>
  <c r="BE26" i="75"/>
  <c r="AR26" i="75"/>
  <c r="BD26" i="75"/>
  <c r="AQ26" i="75"/>
  <c r="BC26" i="75"/>
  <c r="AP26" i="75"/>
  <c r="BB26" i="75"/>
  <c r="BA26" i="75"/>
  <c r="AN26" i="75"/>
  <c r="AY18" i="75"/>
  <c r="C16" i="40"/>
  <c r="H35" i="30" l="1"/>
  <c r="I17" i="26"/>
  <c r="D13" i="78" l="1"/>
  <c r="D16" i="78"/>
  <c r="AH16" i="75" l="1"/>
  <c r="AH13" i="75"/>
  <c r="AL38" i="75" s="1"/>
  <c r="AO37" i="75" l="1"/>
  <c r="AO38" i="75"/>
  <c r="BM38" i="75" s="1"/>
  <c r="H53" i="77" s="1"/>
  <c r="AL36" i="75"/>
  <c r="AL37" i="75"/>
  <c r="AO35" i="75"/>
  <c r="AO36" i="75"/>
  <c r="AL33" i="75"/>
  <c r="AL35" i="75"/>
  <c r="AO32" i="75"/>
  <c r="AO33" i="75"/>
  <c r="AL31" i="75"/>
  <c r="AL32" i="75"/>
  <c r="AO29" i="75"/>
  <c r="AO31" i="75"/>
  <c r="AL27" i="75"/>
  <c r="AL29" i="75"/>
  <c r="AO25" i="75"/>
  <c r="AO27" i="75"/>
  <c r="AL24" i="75"/>
  <c r="AL25" i="75"/>
  <c r="AO23" i="75"/>
  <c r="AO24" i="75"/>
  <c r="AL21" i="75"/>
  <c r="AL22" i="75"/>
  <c r="AO21" i="75"/>
  <c r="AO22" i="75"/>
  <c r="AL19" i="75"/>
  <c r="AL20" i="75"/>
  <c r="AO19" i="75"/>
  <c r="AO20" i="75"/>
  <c r="AL15" i="75"/>
  <c r="AL14" i="75"/>
  <c r="AO15" i="75"/>
  <c r="AO14" i="75"/>
  <c r="AO28" i="75"/>
  <c r="AV16" i="75"/>
  <c r="AV13" i="75"/>
  <c r="AL23" i="75"/>
  <c r="AL17" i="75"/>
  <c r="AL28" i="75"/>
  <c r="AO12" i="75"/>
  <c r="AO17" i="75"/>
  <c r="AL34" i="75"/>
  <c r="AL30" i="75"/>
  <c r="AL39" i="75"/>
  <c r="AL26" i="75"/>
  <c r="AO34" i="75"/>
  <c r="AO30" i="75"/>
  <c r="AO39" i="75"/>
  <c r="AO26" i="75"/>
  <c r="BH16" i="75"/>
  <c r="BG16" i="75"/>
  <c r="AT16" i="75"/>
  <c r="AS16" i="75"/>
  <c r="AQ16" i="75"/>
  <c r="BF16" i="75"/>
  <c r="BE16" i="75"/>
  <c r="AR16" i="75"/>
  <c r="BD16" i="75"/>
  <c r="BC16" i="75"/>
  <c r="AP16" i="75"/>
  <c r="BB16" i="75"/>
  <c r="AO16" i="75"/>
  <c r="AZ16" i="75"/>
  <c r="BA16" i="75"/>
  <c r="AN16" i="75"/>
  <c r="BL16" i="75"/>
  <c r="AM16" i="75"/>
  <c r="BK16" i="75"/>
  <c r="AY16" i="75"/>
  <c r="AL16" i="75"/>
  <c r="AO11" i="75"/>
  <c r="BJ16" i="75"/>
  <c r="AX16" i="75"/>
  <c r="AK16" i="75"/>
  <c r="BI16" i="75"/>
  <c r="AW16" i="75"/>
  <c r="AJ16" i="75"/>
  <c r="AU16" i="75"/>
  <c r="AO18" i="75"/>
  <c r="BG13" i="75"/>
  <c r="BF13" i="75"/>
  <c r="AS13" i="75"/>
  <c r="BE13" i="75"/>
  <c r="AR13" i="75"/>
  <c r="BD13" i="75"/>
  <c r="AQ13" i="75"/>
  <c r="AK13" i="75"/>
  <c r="BC13" i="75"/>
  <c r="AP13" i="75"/>
  <c r="AO13" i="75"/>
  <c r="AN13" i="75"/>
  <c r="BJ13" i="75"/>
  <c r="BB13" i="75"/>
  <c r="BA13" i="75"/>
  <c r="AL13" i="75"/>
  <c r="BL13" i="75"/>
  <c r="AZ13" i="75"/>
  <c r="AM13" i="75"/>
  <c r="AY13" i="75"/>
  <c r="BK13" i="75"/>
  <c r="AX13" i="75"/>
  <c r="BI13" i="75"/>
  <c r="AW13" i="75"/>
  <c r="AJ13" i="75"/>
  <c r="AL11" i="75"/>
  <c r="BH13" i="75"/>
  <c r="AU13" i="75"/>
  <c r="AT13" i="75"/>
  <c r="AL12" i="75"/>
  <c r="AL18" i="75"/>
  <c r="BM37" i="75" l="1"/>
  <c r="H52" i="77" s="1"/>
  <c r="J52" i="77" s="1"/>
  <c r="BM36" i="75"/>
  <c r="H51" i="77" s="1"/>
  <c r="J51" i="77" s="1"/>
  <c r="BM35" i="75"/>
  <c r="H50" i="77" s="1"/>
  <c r="J50" i="77" s="1"/>
  <c r="BM33" i="75"/>
  <c r="H49" i="77" s="1"/>
  <c r="J49" i="77" s="1"/>
  <c r="BM32" i="75"/>
  <c r="H48" i="77" s="1"/>
  <c r="J48" i="77" s="1"/>
  <c r="BM31" i="75"/>
  <c r="H47" i="77" s="1"/>
  <c r="J47" i="77" s="1"/>
  <c r="BM29" i="75"/>
  <c r="H45" i="77" s="1"/>
  <c r="J45" i="77" s="1"/>
  <c r="BM27" i="75"/>
  <c r="H43" i="77" s="1"/>
  <c r="J43" i="77" s="1"/>
  <c r="BM25" i="75"/>
  <c r="H40" i="77" s="1"/>
  <c r="J40" i="77" s="1"/>
  <c r="BM24" i="75"/>
  <c r="H39" i="77" s="1"/>
  <c r="J39" i="77" s="1"/>
  <c r="BM23" i="75"/>
  <c r="H38" i="77" s="1"/>
  <c r="J38" i="77" s="1"/>
  <c r="BM21" i="75"/>
  <c r="H36" i="77" s="1"/>
  <c r="J36" i="77" s="1"/>
  <c r="BM22" i="75"/>
  <c r="H37" i="77" s="1"/>
  <c r="J37" i="77" s="1"/>
  <c r="BM20" i="75"/>
  <c r="H35" i="77" s="1"/>
  <c r="J35" i="77" s="1"/>
  <c r="BM19" i="75"/>
  <c r="H34" i="77" s="1"/>
  <c r="J34" i="77" s="1"/>
  <c r="BM15" i="75"/>
  <c r="H30" i="77" s="1"/>
  <c r="J30" i="77" s="1"/>
  <c r="BM14" i="75"/>
  <c r="H29" i="77" s="1"/>
  <c r="J29" i="77" s="1"/>
  <c r="BM17" i="75"/>
  <c r="H32" i="77" s="1"/>
  <c r="J32" i="77" s="1"/>
  <c r="BM12" i="75"/>
  <c r="H27" i="77" s="1"/>
  <c r="J27" i="77" s="1"/>
  <c r="BM39" i="75"/>
  <c r="H54" i="77" s="1"/>
  <c r="J54" i="77" s="1"/>
  <c r="BM28" i="75"/>
  <c r="H44" i="77" s="1"/>
  <c r="J44" i="77" s="1"/>
  <c r="BM26" i="75"/>
  <c r="H42" i="77" s="1"/>
  <c r="J42" i="77" s="1"/>
  <c r="BM30" i="75"/>
  <c r="H46" i="77" s="1"/>
  <c r="J46" i="77" s="1"/>
  <c r="BM34" i="75"/>
  <c r="H41" i="77" s="1"/>
  <c r="J41" i="77" s="1"/>
  <c r="BM18" i="75"/>
  <c r="BM16" i="75"/>
  <c r="BM11" i="75"/>
  <c r="BM13" i="75"/>
  <c r="J53" i="77"/>
  <c r="E38" i="78"/>
  <c r="G38" i="78" s="1"/>
  <c r="I38" i="78" s="1"/>
  <c r="BO38" i="75"/>
  <c r="BO37" i="75" l="1"/>
  <c r="E37" i="78"/>
  <c r="G37" i="78" s="1"/>
  <c r="I37" i="78" s="1"/>
  <c r="BO36" i="75"/>
  <c r="E36" i="78"/>
  <c r="G36" i="78" s="1"/>
  <c r="I36" i="78" s="1"/>
  <c r="BO35" i="75"/>
  <c r="E35" i="78"/>
  <c r="G35" i="78" s="1"/>
  <c r="I35" i="78" s="1"/>
  <c r="BO33" i="75"/>
  <c r="E34" i="78"/>
  <c r="G34" i="78" s="1"/>
  <c r="I34" i="78" s="1"/>
  <c r="BO32" i="75"/>
  <c r="E33" i="78"/>
  <c r="G33" i="78" s="1"/>
  <c r="I33" i="78" s="1"/>
  <c r="E32" i="78"/>
  <c r="G32" i="78" s="1"/>
  <c r="I32" i="78" s="1"/>
  <c r="BO31" i="75"/>
  <c r="BO29" i="75"/>
  <c r="E30" i="78"/>
  <c r="G30" i="78" s="1"/>
  <c r="L30" i="78" s="1"/>
  <c r="L8" i="78" s="1"/>
  <c r="H62" i="77" s="1"/>
  <c r="BO27" i="75"/>
  <c r="E28" i="78"/>
  <c r="G28" i="78" s="1"/>
  <c r="I28" i="78" s="1"/>
  <c r="E25" i="78"/>
  <c r="G25" i="78" s="1"/>
  <c r="K25" i="78" s="1"/>
  <c r="BO25" i="75"/>
  <c r="BO24" i="75"/>
  <c r="E24" i="78"/>
  <c r="G24" i="78" s="1"/>
  <c r="J24" i="78" s="1"/>
  <c r="E23" i="78"/>
  <c r="G23" i="78" s="1"/>
  <c r="K23" i="78" s="1"/>
  <c r="BO23" i="75"/>
  <c r="E21" i="78"/>
  <c r="G21" i="78" s="1"/>
  <c r="I21" i="78" s="1"/>
  <c r="BO21" i="75"/>
  <c r="BO22" i="75"/>
  <c r="E22" i="78"/>
  <c r="G22" i="78" s="1"/>
  <c r="J22" i="78" s="1"/>
  <c r="E20" i="78"/>
  <c r="G20" i="78" s="1"/>
  <c r="J20" i="78" s="1"/>
  <c r="BO20" i="75"/>
  <c r="BO19" i="75"/>
  <c r="E19" i="78"/>
  <c r="G19" i="78" s="1"/>
  <c r="K19" i="78" s="1"/>
  <c r="BO39" i="75"/>
  <c r="E17" i="78"/>
  <c r="G17" i="78" s="1"/>
  <c r="J17" i="78" s="1"/>
  <c r="E39" i="78"/>
  <c r="G39" i="78" s="1"/>
  <c r="I39" i="78" s="1"/>
  <c r="BO17" i="75"/>
  <c r="BO14" i="75"/>
  <c r="E14" i="78"/>
  <c r="G14" i="78" s="1"/>
  <c r="J14" i="78" s="1"/>
  <c r="BO12" i="75"/>
  <c r="E15" i="78"/>
  <c r="G15" i="78" s="1"/>
  <c r="K15" i="78" s="1"/>
  <c r="BO15" i="75"/>
  <c r="BO30" i="75"/>
  <c r="E12" i="78"/>
  <c r="G12" i="78" s="1"/>
  <c r="J12" i="78" s="1"/>
  <c r="E31" i="78"/>
  <c r="G31" i="78" s="1"/>
  <c r="I31" i="78" s="1"/>
  <c r="BO28" i="75"/>
  <c r="BO34" i="75"/>
  <c r="E29" i="78"/>
  <c r="G29" i="78" s="1"/>
  <c r="I29" i="78" s="1"/>
  <c r="E26" i="78"/>
  <c r="G26" i="78" s="1"/>
  <c r="K26" i="78" s="1"/>
  <c r="E27" i="78"/>
  <c r="G27" i="78" s="1"/>
  <c r="I27" i="78" s="1"/>
  <c r="BO26" i="75"/>
  <c r="K22" i="78"/>
  <c r="H28" i="77"/>
  <c r="J28" i="77" s="1"/>
  <c r="E11" i="78"/>
  <c r="G11" i="78" s="1"/>
  <c r="J11" i="78" s="1"/>
  <c r="H26" i="77"/>
  <c r="J26" i="77" s="1"/>
  <c r="E16" i="78"/>
  <c r="G16" i="78" s="1"/>
  <c r="J16" i="78" s="1"/>
  <c r="H31" i="77"/>
  <c r="J31" i="77" s="1"/>
  <c r="E18" i="78"/>
  <c r="G18" i="78" s="1"/>
  <c r="K18" i="78" s="1"/>
  <c r="H33" i="77"/>
  <c r="J33" i="77" s="1"/>
  <c r="BO18" i="75"/>
  <c r="BO16" i="75"/>
  <c r="BO13" i="75"/>
  <c r="E13" i="78"/>
  <c r="G13" i="78" s="1"/>
  <c r="J13" i="78" s="1"/>
  <c r="BO11" i="75"/>
  <c r="I8" i="78" l="1"/>
  <c r="H60" i="77" s="1"/>
  <c r="K8" i="78"/>
  <c r="H58" i="77" s="1"/>
  <c r="H20" i="77"/>
  <c r="J8" i="78"/>
  <c r="H56" i="77" s="1"/>
  <c r="BO9" i="75"/>
  <c r="B10" i="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23" authorId="0" shapeId="0" xr:uid="{00000000-0006-0000-0000-000001000000}">
      <text>
        <r>
          <rPr>
            <sz val="9"/>
            <color indexed="81"/>
            <rFont val="Tahoma"/>
            <family val="2"/>
          </rPr>
          <t>sample help text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7" authorId="0" shapeId="0" xr:uid="{00000000-0006-0000-0800-000001000000}">
      <text>
        <r>
          <rPr>
            <sz val="9"/>
            <color indexed="81"/>
            <rFont val="Tahoma"/>
            <family val="2"/>
          </rPr>
          <t>The user may override the above default vanpool participation rate in this cell. Leave blank otherwise.</t>
        </r>
      </text>
    </comment>
    <comment ref="G23" authorId="0" shapeId="0" xr:uid="{00000000-0006-0000-0800-000002000000}">
      <text>
        <r>
          <rPr>
            <sz val="9"/>
            <color indexed="81"/>
            <rFont val="Tahoma"/>
            <family val="2"/>
          </rPr>
          <t>The user may override the above average auto commute trip length in this cell. Leave blank otherwise.</t>
        </r>
      </text>
    </comment>
    <comment ref="G29" authorId="0" shapeId="0" xr:uid="{00000000-0006-0000-0800-000003000000}">
      <text>
        <r>
          <rPr>
            <sz val="9"/>
            <color indexed="81"/>
            <rFont val="Tahoma"/>
            <family val="2"/>
          </rPr>
          <t>The user may override the above default long (vanpool) commute trip length in this cell. Leave blank otherwise.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 authorId="0" shapeId="0" xr:uid="{00000000-0006-0000-0A00-000001000000}">
      <text>
        <r>
          <rPr>
            <sz val="9"/>
            <color indexed="81"/>
            <rFont val="Tahoma"/>
            <family val="2"/>
          </rPr>
          <t>Transit service must provide frequent and reliable service, connecting to regional destinations.</t>
        </r>
      </text>
    </comment>
    <comment ref="G17" authorId="0" shapeId="0" xr:uid="{00000000-0006-0000-0A00-000002000000}">
      <text>
        <r>
          <rPr>
            <sz val="9"/>
            <color indexed="81"/>
            <rFont val="Tahoma"/>
            <family val="2"/>
          </rPr>
          <t>The user may override the above default community transit mode share in this cell. Leave blank otherwise.</t>
        </r>
      </text>
    </comment>
    <comment ref="G26" authorId="0" shapeId="0" xr:uid="{7CCE14B9-4E1F-4049-8A66-1C8ED2E66277}">
      <text>
        <r>
          <rPr>
            <sz val="9"/>
            <color indexed="81"/>
            <rFont val="Tahoma"/>
            <family val="2"/>
          </rPr>
          <t>The user may override the above default community auto mode share in this cell. Leave blank otherwise.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6" authorId="0" shapeId="0" xr:uid="{4D072435-51B8-4E41-B5D8-A090D85B5D3F}">
      <text>
        <r>
          <rPr>
            <sz val="9"/>
            <color indexed="81"/>
            <rFont val="Tahoma"/>
            <family val="2"/>
          </rPr>
          <t>The user may override the above residential density of typical development in this cell. Leave blank otherwise.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6" authorId="0" shapeId="0" xr:uid="{8269A268-FB22-4943-8B2A-7C35F3147AC0}">
      <text>
        <r>
          <rPr>
            <sz val="9"/>
            <color indexed="81"/>
            <rFont val="Tahoma"/>
            <family val="2"/>
          </rPr>
          <t>The user may override the above default job density of typical development in this cell. Leave blank otherwise.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6" authorId="0" shapeId="0" xr:uid="{38B5FEA7-2FBF-47CF-8698-BA8FC05D4874}">
      <text>
        <r>
          <rPr>
            <sz val="9"/>
            <color indexed="81"/>
            <rFont val="Tahoma"/>
            <family val="2"/>
          </rPr>
          <t>The user may override the above default annual vehicle cost. Leave blank otherwise.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Drew Levitt</author>
  </authors>
  <commentList>
    <comment ref="G10" authorId="0" shapeId="0" xr:uid="{F69C42F0-D450-4580-8F36-5CFAE174963B}">
      <text>
        <r>
          <rPr>
            <sz val="9"/>
            <color indexed="81"/>
            <rFont val="Tahoma"/>
            <family val="2"/>
          </rPr>
          <t>See FAQs page, Question #15 for explanation of "% of employees eligible".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5" authorId="0" shapeId="0" xr:uid="{4369990B-47D3-4F75-8A40-D546AA551C47}">
      <text>
        <r>
          <rPr>
            <sz val="9"/>
            <color indexed="81"/>
            <rFont val="Tahoma"/>
            <family val="2"/>
          </rPr>
          <t>The user may override the above average bicycle trip length in this cell. Leave blank otherwise.</t>
        </r>
      </text>
    </comment>
    <comment ref="H21" authorId="0" shapeId="0" xr:uid="{4CDB4145-AA0F-4A42-9FA9-E01B32444641}">
      <text>
        <r>
          <rPr>
            <sz val="9"/>
            <color indexed="81"/>
            <rFont val="Tahoma"/>
            <family val="2"/>
          </rPr>
          <t>The user may override the above average auto trip length in this cell. Leave blank otherwise.</t>
        </r>
      </text>
    </comment>
    <comment ref="H27" authorId="0" shapeId="0" xr:uid="{B05B133D-654F-4444-8D89-D903D236334F}">
      <text>
        <r>
          <rPr>
            <sz val="9"/>
            <color indexed="81"/>
            <rFont val="Tahoma"/>
            <family val="2"/>
          </rPr>
          <t>The user may override the above average bicycle trip length in this cell. Leave blank otherwise.</t>
        </r>
      </text>
    </comment>
    <comment ref="H33" authorId="0" shapeId="0" xr:uid="{81CE43BE-6B20-41B0-A5DF-3F73197CE11B}">
      <text>
        <r>
          <rPr>
            <sz val="9"/>
            <color indexed="81"/>
            <rFont val="Tahoma"/>
            <family val="2"/>
          </rPr>
          <t>The user may override the above average auto trip length in this cell. Leave blank otherwise.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4" authorId="0" shapeId="0" xr:uid="{00000000-0006-0000-0E00-000001000000}">
      <text>
        <r>
          <rPr>
            <sz val="9"/>
            <color indexed="81"/>
            <rFont val="Tahoma"/>
            <family val="2"/>
          </rPr>
          <t>The user may override the above default existing intersection density in this cell. Leave blank otherwise.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 authorId="0" shapeId="0" xr:uid="{00000000-0006-0000-0F00-000001000000}">
      <text>
        <r>
          <rPr>
            <sz val="9"/>
            <color indexed="81"/>
            <rFont val="Tahoma"/>
            <family val="2"/>
          </rPr>
          <t>Measure the sidewalk on both sides of the street. For example, if one 0.5-mile long street has full sidewalk coverage, the sidewalk length would be 1.0 mile. If there is only sidewalk on one side of the street, the sidewalk length would be 0.5 mile.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9" authorId="0" shapeId="0" xr:uid="{00000000-0006-0000-1000-000001000000}">
      <text>
        <r>
          <rPr>
            <sz val="9"/>
            <color indexed="81"/>
            <rFont val="Tahoma"/>
            <family val="2"/>
          </rPr>
          <t>The user may override the above default community bicycle mode share in this cell. Leave blank otherwise.</t>
        </r>
      </text>
    </comment>
    <comment ref="H25" authorId="0" shapeId="0" xr:uid="{00000000-0006-0000-1000-000002000000}">
      <text>
        <r>
          <rPr>
            <sz val="9"/>
            <color indexed="81"/>
            <rFont val="Tahoma"/>
            <family val="2"/>
          </rPr>
          <t>The user may override the above default community SOV mode share in this cell. Leave blank otherwise.</t>
        </r>
      </text>
    </comment>
    <comment ref="H29" authorId="0" shapeId="0" xr:uid="{BDE5AA46-E319-4CAF-AC0C-F1EB03969589}">
      <text>
        <r>
          <rPr>
            <sz val="9"/>
            <color indexed="81"/>
            <rFont val="Tahoma"/>
            <family val="2"/>
          </rPr>
          <t>See the link at right (Table 1 on page 5) for information on bicycle facility types.</t>
        </r>
      </text>
    </comment>
    <comment ref="H34" authorId="0" shapeId="0" xr:uid="{00000000-0006-0000-1000-000003000000}">
      <text>
        <r>
          <rPr>
            <sz val="9"/>
            <color indexed="81"/>
            <rFont val="Tahoma"/>
            <family val="2"/>
          </rPr>
          <t>Calculated as centerline miles of roadways containing bikeways.
For smaller analysis contexts, it may be easiest to show "bicycling" on Google Maps and measure the lengths of roadways containing bikeways. For larger contexts, contact the local jurisdiction's transportation planning staff, or contact Alameda County Public Works for projects in unincorporated areas.</t>
        </r>
      </text>
    </comment>
    <comment ref="H36" authorId="0" shapeId="0" xr:uid="{00000000-0006-0000-1000-000004000000}">
      <text>
        <r>
          <rPr>
            <sz val="9"/>
            <color indexed="81"/>
            <rFont val="Tahoma"/>
            <family val="2"/>
          </rPr>
          <t>Calculated as centerline miles of roadways containing bikeways.</t>
        </r>
      </text>
    </comment>
    <comment ref="H42" authorId="0" shapeId="0" xr:uid="{00000000-0006-0000-1000-000005000000}">
      <text>
        <r>
          <rPr>
            <sz val="9"/>
            <color indexed="81"/>
            <rFont val="Tahoma"/>
            <family val="2"/>
          </rPr>
          <t>The user may override the above average bicycle trip length in this cell. Leave blank otherwise.</t>
        </r>
      </text>
    </comment>
    <comment ref="H48" authorId="0" shapeId="0" xr:uid="{00000000-0006-0000-1000-000006000000}">
      <text>
        <r>
          <rPr>
            <sz val="9"/>
            <color indexed="81"/>
            <rFont val="Tahoma"/>
            <family val="2"/>
          </rPr>
          <t>The user may override the above average auto trip length in this cell. Leave blank otherwise.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tc={D501B285-010E-4E10-9EE1-583CD1B1D438}</author>
    <author>tc={3E5BA277-BDA4-4D23-A305-2A636B30020A}</author>
    <author>tc={C2B4D42E-4C58-4B7A-B3DF-35FEA65A85C3}</author>
    <author>tc={20FBA55F-3E26-4B2D-9BE6-5E7AB7C1D057}</author>
    <author>tc={3144BBB6-AC38-461D-85E7-7F668521B641}</author>
  </authors>
  <commentList>
    <comment ref="AG17" authorId="0" shapeId="0" xr:uid="{D501B285-010E-4E10-9EE1-583CD1B1D438}">
      <text>
        <t>[Threaded comment]
Your version of Excel allows you to read this threaded comment; however, any edits to it will get removed if the file is opened in a newer version of Excel. Learn more: https://go.microsoft.com/fwlink/?linkid=870924
Comment:
    Update SANDAG with sources for AC values.</t>
      </text>
    </comment>
    <comment ref="AU31" authorId="1" shapeId="0" xr:uid="{3E5BA277-BDA4-4D23-A305-2A636B30020A}">
      <text>
        <t>[Threaded comment]
Your version of Excel allows you to read this threaded comment; however, any edits to it will get removed if the file is opened in a newer version of Excel. Learn more: https://go.microsoft.com/fwlink/?linkid=870924
Comment:
    Calculated from ADT, facility length, jurisdiction pop, and university</t>
      </text>
    </comment>
    <comment ref="AV31" authorId="2" shapeId="0" xr:uid="{C2B4D42E-4C58-4B7A-B3DF-35FEA65A85C3}">
      <text>
        <t>[Threaded comment]
Your version of Excel allows you to read this threaded comment; however, any edits to it will get removed if the file is opened in a newer version of Excel. Learn more: https://go.microsoft.com/fwlink/?linkid=870924
Comment:
    Key destinations within 1/2 and 1/4 mile of facility</t>
      </text>
    </comment>
    <comment ref="AW31" authorId="3" shapeId="0" xr:uid="{20FBA55F-3E26-4B2D-9BE6-5E7AB7C1D057}">
      <text>
        <t>[Threaded comment]
Your version of Excel allows you to read this threaded comment; however, any edits to it will get removed if the file is opened in a newer version of Excel. Learn more: https://go.microsoft.com/fwlink/?linkid=870924
Comment:
    Input: bike facility type</t>
      </text>
    </comment>
    <comment ref="D36" authorId="4" shapeId="0" xr:uid="{3144BBB6-AC38-461D-85E7-7F668521B641}">
      <text>
        <t>[Threaded comment]
Your version of Excel allows you to read this threaded comment; however, any edits to it will get removed if the file is opened in a newer version of Excel. Learn more: https://go.microsoft.com/fwlink/?linkid=870924
Comment:
    T-9 has bike parking but other amenities as well</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8" authorId="0" shapeId="0" xr:uid="{00000000-0006-0000-1100-000001000000}">
      <text>
        <r>
          <rPr>
            <sz val="9"/>
            <color indexed="81"/>
            <rFont val="Tahoma"/>
            <family val="2"/>
          </rPr>
          <t>The user may override the above average bicycle trip length in this cell. Leave blank otherwise.</t>
        </r>
      </text>
    </comment>
    <comment ref="H24" authorId="0" shapeId="0" xr:uid="{00000000-0006-0000-1100-000002000000}">
      <text>
        <r>
          <rPr>
            <sz val="9"/>
            <color indexed="81"/>
            <rFont val="Tahoma"/>
            <family val="2"/>
          </rPr>
          <t>The user may override the above average auto trip length in this cell. Leave blank otherwise.</t>
        </r>
      </text>
    </comment>
    <comment ref="H30" authorId="0" shapeId="0" xr:uid="{3BAE5CB2-EAAD-4423-AAF7-035036125A48}">
      <text>
        <r>
          <rPr>
            <sz val="9"/>
            <color indexed="81"/>
            <rFont val="Tahoma"/>
            <family val="2"/>
          </rPr>
          <t>Roadways with AADT greater than 30,000 are not appropriate for bicycle facilities.</t>
        </r>
      </text>
    </comment>
    <comment ref="H38" authorId="0" shapeId="0" xr:uid="{A0C5D51F-FDDD-4D37-A446-873B7279E208}">
      <text>
        <r>
          <rPr>
            <sz val="9"/>
            <color indexed="81"/>
            <rFont val="Tahoma"/>
            <family val="2"/>
          </rPr>
          <t>Key destinations include banks, churches, hospitals, light rail stations (park &amp; ride), office parks, post offices, public libraries, shopping areas or grocery stores, and universities or junior colleges, source (1).</t>
        </r>
      </text>
    </comment>
    <comment ref="H40" authorId="0" shapeId="0" xr:uid="{2AD3528A-7F99-482F-A6A8-688A171C5671}">
      <text>
        <r>
          <rPr>
            <sz val="9"/>
            <color indexed="81"/>
            <rFont val="Tahoma"/>
            <family val="2"/>
          </rPr>
          <t>Key destinations include banks, churches, hospitals, light rail stations (park &amp; ride), office parks, post offices, public libraries, shopping areas or grocery stores, and universities or junior colleges, source (1).</t>
        </r>
      </text>
    </comment>
    <comment ref="H42" authorId="0" shapeId="0" xr:uid="{E90C57DA-8BB7-42B0-81BE-26692BECA3A2}">
      <text>
        <r>
          <rPr>
            <sz val="9"/>
            <color indexed="81"/>
            <rFont val="Tahoma"/>
            <family val="2"/>
          </rPr>
          <t>See the link at right (Table 1 on page 5) for information on bicycle facility types.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2" authorId="0" shapeId="0" xr:uid="{00000000-0006-0000-1200-000001000000}">
      <text>
        <r>
          <rPr>
            <sz val="9"/>
            <color indexed="81"/>
            <rFont val="Tahoma"/>
            <family val="2"/>
          </rPr>
          <t>The user may override the above average auto trip length in this cell. Leave blank otherwise.</t>
        </r>
      </text>
    </comment>
    <comment ref="H28" authorId="0" shapeId="0" xr:uid="{D10A5759-9DE7-4328-8C9B-0287FE0287E9}">
      <text>
        <r>
          <rPr>
            <sz val="9"/>
            <color indexed="81"/>
            <rFont val="Tahoma"/>
            <family val="2"/>
          </rPr>
          <t>The user may override the above average bicycle trip length in this cell. Leave blank otherwise.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3" authorId="0" shapeId="0" xr:uid="{00000000-0006-0000-1300-000002000000}">
      <text>
        <r>
          <rPr>
            <sz val="9"/>
            <color indexed="81"/>
            <rFont val="Tahoma"/>
            <family val="2"/>
          </rPr>
          <t>Car share access defined as at least 1 car share pod within 1/2 mile of residence.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Drew Levitt</author>
    <author>Author</author>
  </authors>
  <commentList>
    <comment ref="G16" authorId="0" shapeId="0" xr:uid="{A3FBC8FF-492C-473C-8B4D-D562024F26CE}">
      <text>
        <r>
          <rPr>
            <sz val="9"/>
            <color indexed="81"/>
            <rFont val="Tahoma"/>
            <family val="2"/>
          </rPr>
          <t>Capped at a doubling in size, or 100% increase.</t>
        </r>
      </text>
    </comment>
    <comment ref="G20" authorId="1" shapeId="0" xr:uid="{00000000-0006-0000-1500-000001000000}">
      <text>
        <r>
          <rPr>
            <sz val="9"/>
            <color indexed="81"/>
            <rFont val="Tahoma"/>
            <family val="2"/>
          </rPr>
          <t>The user may override the above default existing transit mode share in this cell. Leave blank otherwise.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Author</author>
    <author>Drew Levitt</author>
  </authors>
  <commentList>
    <comment ref="G13" authorId="0" shapeId="0" xr:uid="{00000000-0006-0000-1600-000001000000}">
      <text>
        <r>
          <rPr>
            <sz val="9"/>
            <color indexed="81"/>
            <rFont val="Tahoma"/>
            <family val="2"/>
          </rPr>
          <t>Headway is the amount of time that elapses between two buses servicing a given route and given line. Headway is the inverse of frequency (headway = 1/frequency), where frequency is the number of arrivals over a given time period (e.g., buses per hour).</t>
        </r>
      </text>
    </comment>
    <comment ref="G19" authorId="1" shapeId="0" xr:uid="{B45511C0-2FD4-4F4A-AB13-BABD1BBE4287}">
      <text>
        <r>
          <rPr>
            <sz val="9"/>
            <color indexed="81"/>
            <rFont val="Tahoma"/>
            <family val="2"/>
          </rPr>
          <t>The level of implementation refers to the number of transit routes receiving the frequency improvement as a fraction of the total transit routes in the neighborhood/city.</t>
        </r>
      </text>
    </comment>
    <comment ref="G23" authorId="0" shapeId="0" xr:uid="{00000000-0006-0000-1600-000002000000}">
      <text>
        <r>
          <rPr>
            <sz val="9"/>
            <color indexed="81"/>
            <rFont val="Tahoma"/>
            <family val="2"/>
          </rPr>
          <t>The user may override the above default existing transit mode share in this cell. Leave blank otherwise.</t>
        </r>
      </text>
    </comment>
    <comment ref="G29" authorId="0" shapeId="0" xr:uid="{00000000-0006-0000-1600-000003000000}">
      <text>
        <r>
          <rPr>
            <sz val="9"/>
            <color indexed="81"/>
            <rFont val="Tahoma"/>
            <family val="2"/>
          </rPr>
          <t>The user may override the above default SOV mode share in this cell. Leave blank otherwise.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6" authorId="0" shapeId="0" xr:uid="{00000000-0006-0000-1700-000001000000}">
      <text>
        <r>
          <rPr>
            <sz val="9"/>
            <color indexed="81"/>
            <rFont val="Tahoma"/>
            <family val="2"/>
          </rPr>
          <t>The user may override the above % change in transit travel time due to treatments in this cell. Leave blank otherwise. If the user enters a positive value, the default will be used.</t>
        </r>
      </text>
    </comment>
    <comment ref="G23" authorId="0" shapeId="0" xr:uid="{00000000-0006-0000-1700-000002000000}">
      <text>
        <r>
          <rPr>
            <sz val="9"/>
            <color indexed="81"/>
            <rFont val="Tahoma"/>
            <family val="2"/>
          </rPr>
          <t>The user may override the above default existing transit mode share in this cell. Leave blank otherwise.</t>
        </r>
      </text>
    </comment>
    <comment ref="G29" authorId="0" shapeId="0" xr:uid="{00000000-0006-0000-1700-000003000000}">
      <text>
        <r>
          <rPr>
            <sz val="9"/>
            <color indexed="81"/>
            <rFont val="Tahoma"/>
            <family val="2"/>
          </rPr>
          <t>The user may override the above default SOV mode share in this cell. Leave blank otherwise.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24" authorId="0" shapeId="0" xr:uid="{00000000-0006-0000-1800-000001000000}">
      <text>
        <r>
          <rPr>
            <sz val="9"/>
            <color indexed="81"/>
            <rFont val="Tahoma"/>
            <family val="2"/>
          </rPr>
          <t>The user may override the above default existing transit mode share in this cell. Leave blank otherwise.</t>
        </r>
      </text>
    </comment>
    <comment ref="G30" authorId="0" shapeId="0" xr:uid="{00000000-0006-0000-1800-000002000000}">
      <text>
        <r>
          <rPr>
            <sz val="9"/>
            <color indexed="81"/>
            <rFont val="Tahoma"/>
            <family val="2"/>
          </rPr>
          <t>The user may override the above default SOV mode share in this cell. Leave blank otherwise.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8" authorId="0" shapeId="0" xr:uid="{00000000-0006-0000-1900-000001000000}">
      <text>
        <r>
          <rPr>
            <sz val="9"/>
            <color indexed="81"/>
            <rFont val="Tahoma"/>
            <family val="2"/>
          </rPr>
          <t>The user may override the above average microtransit trip length in this cell. Leave blank otherwise.</t>
        </r>
      </text>
    </comment>
    <comment ref="G24" authorId="0" shapeId="0" xr:uid="{00000000-0006-0000-1900-000002000000}">
      <text>
        <r>
          <rPr>
            <sz val="9"/>
            <color indexed="81"/>
            <rFont val="Tahoma"/>
            <family val="2"/>
          </rPr>
          <t>The user may override the above average auto trip length in this cell. Leave blank otherwise.</t>
        </r>
      </text>
    </comment>
    <comment ref="G30" authorId="0" shapeId="0" xr:uid="{00000000-0006-0000-1900-000003000000}">
      <text>
        <r>
          <rPr>
            <sz val="9"/>
            <color indexed="81"/>
            <rFont val="Tahoma"/>
            <family val="2"/>
          </rPr>
          <t>The user may override the above default SOV mode share in this cell. Leave blank otherwise.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tc={D8B57686-9E12-4197-A7BB-34FB674D270C}</author>
    <author>tc={855E9636-3B0D-4247-A2D7-A81653F6B9AC}</author>
    <author>tc={393489B5-6983-4ED0-B031-A51A2327DA3C}</author>
    <author>tc={2857E843-5EEB-4050-BACE-A79946F11AD9}</author>
    <author>tc={5640B8F9-F236-4B1C-B14B-CE33FA5B11C1}</author>
    <author>tc={472BDB42-6B34-4178-967B-88F28549DEEE}</author>
    <author>tc={8D521F65-0F57-43F5-AC48-239B16B498C3}</author>
    <author>tc={73434A22-77AB-4A99-92CF-F6B24A3D7B7D}</author>
    <author>tc={1DE9E66B-4347-4A0B-BB16-6D35894C6099}</author>
    <author>tc={0876D30D-DB84-46C5-918F-7DF442D0F257}</author>
    <author>tc={EE4F296D-1BD4-469A-A7CC-516B110DB310}</author>
    <author>tc={69B29FB3-B4E2-40EE-955A-D237D1117396}</author>
    <author>tc={AB3761C1-01D9-4079-B0DA-EC979C0DF5F9}</author>
    <author>tc={70E551F4-AB91-4DFB-91F7-5D2106EBF70B}</author>
    <author>tc={4F7D7319-78E5-460C-8027-D2FF74B5F085}</author>
    <author>tc={596EEB1A-960C-410E-AB55-5FB9E1AA09D7}</author>
    <author>tc={5E260CEE-232B-4C2A-9A1F-3A2BAE8980B4}</author>
  </authors>
  <commentList>
    <comment ref="P1" authorId="0" shapeId="0" xr:uid="{D8B57686-9E12-4197-A7BB-34FB674D270C}">
      <text>
        <t>[Threaded comment]
Your version of Excel allows you to read this threaded comment; however, any edits to it will get removed if the file is opened in a newer version of Excel. Learn more: https://go.microsoft.com/fwlink/?linkid=870924
Comment:
    COMPLETELY WRONG: I still need to extract auto commute trip length. Right now this is just copying overall average auto trip length.
Reply:
    I've replaced this with actual auto commute trip lengths.</t>
      </text>
    </comment>
    <comment ref="Q1" authorId="1" shapeId="0" xr:uid="{855E9636-3B0D-4247-A2D7-A81653F6B9AC}">
      <text>
        <t>[Threaded comment]
Your version of Excel allows you to read this threaded comment; however, any edits to it will get removed if the file is opened in a newer version of Excel. Learn more: https://go.microsoft.com/fwlink/?linkid=870924
Comment:
    medium confidence
Reply:
    Duplicate of col AB?</t>
      </text>
    </comment>
    <comment ref="R1" authorId="2" shapeId="0" xr:uid="{393489B5-6983-4ED0-B031-A51A2327DA3C}">
      <text>
        <t>[Threaded comment]
Your version of Excel allows you to read this threaded comment; however, any edits to it will get removed if the file is opened in a newer version of Excel. Learn more: https://go.microsoft.com/fwlink/?linkid=870924
Comment:
    low/medium confidence</t>
      </text>
    </comment>
    <comment ref="S1" authorId="3" shapeId="0" xr:uid="{2857E843-5EEB-4050-BACE-A79946F11AD9}">
      <text>
        <t>[Threaded comment]
Your version of Excel allows you to read this threaded comment; however, any edits to it will get removed if the file is opened in a newer version of Excel. Learn more: https://go.microsoft.com/fwlink/?linkid=870924
Comment:
    high confidence</t>
      </text>
    </comment>
    <comment ref="T1" authorId="4" shapeId="0" xr:uid="{5640B8F9-F236-4B1C-B14B-CE33FA5B11C1}">
      <text>
        <t>[Threaded comment]
Your version of Excel allows you to read this threaded comment; however, any edits to it will get removed if the file is opened in a newer version of Excel. Learn more: https://go.microsoft.com/fwlink/?linkid=870924
Comment:
    Low degree of confidence in some of these numbers</t>
      </text>
    </comment>
    <comment ref="U1" authorId="5" shapeId="0" xr:uid="{472BDB42-6B34-4178-967B-88F28549DEEE}">
      <text>
        <t>[Threaded comment]
Your version of Excel allows you to read this threaded comment; however, any edits to it will get removed if the file is opened in a newer version of Excel. Learn more: https://go.microsoft.com/fwlink/?linkid=870924
Comment:
    High confidence in all these numbers</t>
      </text>
    </comment>
    <comment ref="V1" authorId="6" shapeId="0" xr:uid="{8D521F65-0F57-43F5-AC48-239B16B498C3}">
      <text>
        <t>[Threaded comment]
Your version of Excel allows you to read this threaded comment; however, any edits to it will get removed if the file is opened in a newer version of Excel. Learn more: https://go.microsoft.com/fwlink/?linkid=870924
Comment:
    low/medium confidence
Reply:
    change "work" to "commute"</t>
      </text>
    </comment>
    <comment ref="X1" authorId="7" shapeId="0" xr:uid="{73434A22-77AB-4A99-92CF-F6B24A3D7B7D}">
      <text>
        <t>[Threaded comment]
Your version of Excel allows you to read this threaded comment; however, any edits to it will get removed if the file is opened in a newer version of Excel. Learn more: https://go.microsoft.com/fwlink/?linkid=870924
Comment:
    good confidence but there are some divide-by-zero errors
Reply:
    change "work" to "commute"</t>
      </text>
    </comment>
    <comment ref="Z1" authorId="8" shapeId="0" xr:uid="{1DE9E66B-4347-4A0B-BB16-6D35894C6099}">
      <text>
        <t>[Threaded comment]
Your version of Excel allows you to read this threaded comment; however, any edits to it will get removed if the file is opened in a newer version of Excel. Learn more: https://go.microsoft.com/fwlink/?linkid=870924
Comment:
    Calculated by IF, high confidence
Reply:
    Per this list, Berkeley is the only college town in Alameda County https://en.wikipedia.org/wiki/List_of_college_towns#California</t>
      </text>
    </comment>
    <comment ref="AA1" authorId="9" shapeId="0" xr:uid="{0876D30D-DB84-46C5-918F-7DF442D0F257}">
      <text>
        <t>[Threaded comment]
Your version of Excel allows you to read this threaded comment; however, any edits to it will get removed if the file is opened in a newer version of Excel. Learn more: https://go.microsoft.com/fwlink/?linkid=870924
Comment:
    Calculated by SUMIFS, high confidence</t>
      </text>
    </comment>
    <comment ref="AB1" authorId="10" shapeId="0" xr:uid="{EE4F296D-1BD4-469A-A7CC-516B110DB310}">
      <text>
        <t>[Threaded comment]
Your version of Excel allows you to read this threaded comment; however, any edits to it will get removed if the file is opened in a newer version of Excel. Learn more: https://go.microsoft.com/fwlink/?linkid=870924
Comment:
    calculated by SUMIFS
Reply:
    Need to go back and make sure this should be jurisdiction level and not TAZ level</t>
      </text>
    </comment>
    <comment ref="AC1" authorId="11" shapeId="0" xr:uid="{69B29FB3-B4E2-40EE-955A-D237D1117396}">
      <text>
        <t>[Threaded comment]
Your version of Excel allows you to read this threaded comment; however, any edits to it will get removed if the file is opened in a newer version of Excel. Learn more: https://go.microsoft.com/fwlink/?linkid=870924
Comment:
    COMPLETE GARBAGE - still need to do GIS exercise to exclude BART-adjacent TAZs and aggregate to jurisdiction level. Currently just using TAZ-level transit mode share.
Reply:
    Completed GIS exercise, these are now working as designed.</t>
      </text>
    </comment>
    <comment ref="AD1" authorId="12" shapeId="0" xr:uid="{AB3761C1-01D9-4079-B0DA-EC979C0DF5F9}">
      <text>
        <t>[Threaded comment]
Your version of Excel allows you to read this threaded comment; however, any edits to it will get removed if the file is opened in a newer version of Excel. Learn more: https://go.microsoft.com/fwlink/?linkid=870924
Comment:
    COMPLETE GARBAGE - still need to do GIS exercise to exclude BART-adjacent TAZs and aggregate to jurisdiction level. Currently just using TAZ-level auto mode share.
Reply:
    Completed GIS exercise, these are now working as designed.</t>
      </text>
    </comment>
    <comment ref="AF9" authorId="13" shapeId="0" xr:uid="{70E551F4-AB91-4DFB-91F7-5D2106EBF70B}">
      <text>
        <t>[Threaded comment]
Your version of Excel allows you to read this threaded comment; however, any edits to it will get removed if the file is opened in a newer version of Excel. Learn more: https://go.microsoft.com/fwlink/?linkid=870924
Comment:
    The issue is that some TAZ-level values are either 0 or errors. In either case, we want to replace the faulty TAZ-level value with the average value of TAZs in that jurisdiction that are NOT 0 or errors. Therefore, I copied the columns that contain errors to this side so that I could refer to them from the main columns in their original locations.</t>
      </text>
    </comment>
    <comment ref="N10" authorId="14" shapeId="0" xr:uid="{4F7D7319-78E5-460C-8027-D2FF74B5F085}">
      <text>
        <t>[Threaded comment]
Your version of Excel allows you to read this threaded comment; however, any edits to it will get removed if the file is opened in a newer version of Excel. Learn more: https://go.microsoft.com/fwlink/?linkid=870924
Comment:
    Within 2075ft of BART</t>
      </text>
    </comment>
    <comment ref="Z10" authorId="15" shapeId="0" xr:uid="{596EEB1A-960C-410E-AB55-5FB9E1AA09D7}">
      <text>
        <t>[Threaded comment]
Your version of Excel allows you to read this threaded comment; however, any edits to it will get removed if the file is opened in a newer version of Excel. Learn more: https://go.microsoft.com/fwlink/?linkid=870924
Comment:
    Only Berkeley is university town</t>
      </text>
    </comment>
    <comment ref="AA10" authorId="16" shapeId="0" xr:uid="{5E260CEE-232B-4C2A-9A1F-3A2BAE8980B4}">
      <text>
        <t>[Threaded comment]
Your version of Excel allows you to read this threaded comment; however, any edits to it will get removed if the file is opened in a newer version of Excel. Learn more: https://go.microsoft.com/fwlink/?linkid=870924
Comment:
    Only Oakland is &gt; 250,000</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tc={93EDF147-E512-4754-AE1E-7BAEE52E2DA1}</author>
  </authors>
  <commentList>
    <comment ref="I14" authorId="0" shapeId="0" xr:uid="{93EDF147-E512-4754-AE1E-7BAEE52E2DA1}">
      <text>
        <t>[Threaded comment]
Your version of Excel allows you to read this threaded comment; however, any edits to it will get removed if the file is opened in a newer version of Excel. Learn more: https://go.microsoft.com/fwlink/?linkid=870924
Comment:
    Removed this and the transpose of this conflict because the two measures now refer explicitly to different target populations, therefore there is no conflict.</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8" authorId="0" shapeId="0" xr:uid="{00000000-0006-0000-0400-000002000000}">
      <text>
        <r>
          <rPr>
            <sz val="9"/>
            <color indexed="81"/>
            <rFont val="Tahoma"/>
            <family val="2"/>
          </rPr>
          <t>See FAQs page, Question #15 for explanation of "% of employees eligible".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8" authorId="0" shapeId="0" xr:uid="{00000000-0006-0000-0500-000001000000}">
      <text>
        <r>
          <rPr>
            <sz val="9"/>
            <color indexed="81"/>
            <rFont val="Tahoma"/>
            <family val="2"/>
          </rPr>
          <t>See FAQs page, Question #15 for explanation of "% of employees eligible".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3" authorId="0" shapeId="0" xr:uid="{00000000-0006-0000-0600-000002000000}">
      <text>
        <r>
          <rPr>
            <sz val="9"/>
            <color indexed="81"/>
            <rFont val="Tahoma"/>
            <family val="2"/>
          </rPr>
          <t>See FAQs page, Question #15 for explanation of "% of employees eligible".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Drew Levitt</author>
    <author>Author</author>
  </authors>
  <commentList>
    <comment ref="G18" authorId="0" shapeId="0" xr:uid="{57F8E942-C080-4CB3-AC1D-AEECC9FB15AB}">
      <text>
        <r>
          <rPr>
            <sz val="9"/>
            <color indexed="81"/>
            <rFont val="Tahoma"/>
            <family val="2"/>
          </rPr>
          <t>See FAQs page, Question #15 for explanation of "% of employees eligible".</t>
        </r>
      </text>
    </comment>
    <comment ref="G22" authorId="1" shapeId="0" xr:uid="{998CF7FF-C668-4EEE-AE3D-0B7C01D1FFEE}">
      <text>
        <r>
          <rPr>
            <sz val="9"/>
            <color indexed="81"/>
            <rFont val="Tahoma"/>
            <family val="2"/>
          </rPr>
          <t>The user may override the above default existing transit mode share in this cell. Leave blank otherwise.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24" authorId="0" shapeId="0" xr:uid="{2A2481B3-B945-4C39-9E00-2C055C728561}">
      <text>
        <r>
          <rPr>
            <sz val="9"/>
            <color indexed="81"/>
            <rFont val="Tahoma"/>
            <family val="2"/>
          </rPr>
          <t>The user may override the above default existing transit mode share in this cell. Leave blank otherwise.</t>
        </r>
      </text>
    </comment>
  </commentList>
</comments>
</file>

<file path=xl/sharedStrings.xml><?xml version="1.0" encoding="utf-8"?>
<sst xmlns="http://schemas.openxmlformats.org/spreadsheetml/2006/main" count="9516" uniqueCount="924">
  <si>
    <t>ALAMEDA CTC VMT REDUCTION CALCULATOR TOOL</t>
  </si>
  <si>
    <t>Version 2.0</t>
  </si>
  <si>
    <t>I. Overview</t>
  </si>
  <si>
    <t>The Alameda CTC VMT Reduction Calculator Tool estimates the percent reduction in vehicle miles traveled (VMT) resulting from the application of mobility management strategies. This Excel-based tool is intended to act as a resource for identifying and evaluating the impacts of mobility management strategies as part of the development review and transportation analysis process. The tool supports the goals of SB 743 (Steinberg, 2013) by providing jurisdictions and developers with a method for quantifying VMT reductions resulting from implementation of a variety of mitigation strategies at various scales. The tool also supports local government planning efforts including implementation of general and community plans, transportation demand management (TDM) ordinances, and climate action plans. 
The tool operates at two geographic scales: project/site-level and community/city-level. Depending on the project location and project type, users can select appropriate strategies of interest for mitigating transportation impacts. Some strategies reduce VMT only from employee commute trips. Other strategies reduce VMT from all project-generated trips or all community/city trips. The type of VMT affected is shown on the Results pages and on the individual strategy pages. Each strategy requires that the user input values that are used to calculate the percent reduction in VMT. For many strategies, the tool offers default parameters that can be replaced with user-provided values if available. 
This tool is based on a VMT reduction calculator tool developed by the San Diego Association of Governments (SANDAG), and has been adjusted and customized for application in Alameda County. The tool is available as a resource for local jurisdictions in Alameda County. Local jurisdictions are under no obligation to use this tool in their development approval processes or transportation analyses under SB 743. Users of the tool should exercise their professional judgment in reviewing, evaluating and analyzing VMT reduction estimate results from the tool. Any action you take upon the information is strictly at your own risk, and neither Alameda CTC nor its consultants will be liable for any losses or damages in connection with use of these data and this tool.
The Mobility Management Strategy Guidebook serves as a complement to this tool. The Guidebook includes summary descriptions and resources for a variety of mobility management strategies, including all strategies contained in the tool as well as others for which VMT reductions cannot be reliably estimated.</t>
  </si>
  <si>
    <t>For more information, visit https://www.alamedactc.org/planning/congestion-management-program/</t>
  </si>
  <si>
    <t>II. Instructions</t>
  </si>
  <si>
    <t>III. Legend</t>
  </si>
  <si>
    <t>Follow the steps below:</t>
  </si>
  <si>
    <t>Below are the different cell styles the user will see in the formulae of the strategy pages. Not all strategies use each cell style.</t>
  </si>
  <si>
    <r>
      <rPr>
        <b/>
        <sz val="11"/>
        <color theme="1"/>
        <rFont val="Calibri"/>
        <family val="2"/>
        <scheme val="minor"/>
      </rPr>
      <t>1.</t>
    </r>
    <r>
      <rPr>
        <sz val="11"/>
        <color theme="1"/>
        <rFont val="Calibri"/>
        <family val="2"/>
        <scheme val="minor"/>
      </rPr>
      <t xml:space="preserve"> Enter project name, address, and type below.</t>
    </r>
  </si>
  <si>
    <r>
      <rPr>
        <b/>
        <sz val="11"/>
        <color theme="1"/>
        <rFont val="Calibri"/>
        <family val="2"/>
        <scheme val="minor"/>
      </rPr>
      <t xml:space="preserve">2. </t>
    </r>
    <r>
      <rPr>
        <sz val="11"/>
        <color theme="1"/>
        <rFont val="Calibri"/>
        <family val="2"/>
        <scheme val="minor"/>
      </rPr>
      <t>Select the location of analysis by entering the number of the Transportation Analysis Zone (TAZ)</t>
    </r>
  </si>
  <si>
    <t xml:space="preserve"> =    </t>
  </si>
  <si>
    <t>containing the project.</t>
  </si>
  <si>
    <r>
      <rPr>
        <b/>
        <sz val="11"/>
        <color theme="1"/>
        <rFont val="Calibri"/>
        <family val="2"/>
        <scheme val="minor"/>
      </rPr>
      <t xml:space="preserve">3. </t>
    </r>
    <r>
      <rPr>
        <sz val="11"/>
        <color theme="1"/>
        <rFont val="Calibri"/>
        <family val="2"/>
        <scheme val="minor"/>
      </rPr>
      <t>Numerous mobility management strategies are available for consideration. Click on a strategy</t>
    </r>
  </si>
  <si>
    <t>constant, coefficient, or default</t>
  </si>
  <si>
    <t xml:space="preserve"> =    constant, coefficient, or default value, locked</t>
  </si>
  <si>
    <t>of interest by selecting the strategy name. The hyperlink will take the user to that strategy page.</t>
  </si>
  <si>
    <t>user input</t>
  </si>
  <si>
    <t xml:space="preserve"> =    required user input, values may be restricted, unlocked</t>
  </si>
  <si>
    <t xml:space="preserve">Each strategy page requires the user to input data into cells to estimate the percent VMT reduction. </t>
  </si>
  <si>
    <t>user input, optional</t>
  </si>
  <si>
    <t xml:space="preserve"> =    optional user input, values may be restricted, unlocked</t>
  </si>
  <si>
    <r>
      <t xml:space="preserve">See the </t>
    </r>
    <r>
      <rPr>
        <b/>
        <sz val="11"/>
        <color theme="1"/>
        <rFont val="Calibri"/>
        <family val="2"/>
        <scheme val="minor"/>
      </rPr>
      <t>Legend</t>
    </r>
    <r>
      <rPr>
        <sz val="11"/>
        <color theme="1"/>
        <rFont val="Calibri"/>
        <family val="2"/>
        <scheme val="minor"/>
      </rPr>
      <t xml:space="preserve"> for a display of the different cell styles present in the strategy pages.</t>
    </r>
  </si>
  <si>
    <t xml:space="preserve"> =    hidden help text visible if user hovers cursor over cell, locked</t>
  </si>
  <si>
    <r>
      <rPr>
        <b/>
        <sz val="11"/>
        <color theme="1"/>
        <rFont val="Calibri"/>
        <family val="2"/>
        <scheme val="minor"/>
      </rPr>
      <t>4.</t>
    </r>
    <r>
      <rPr>
        <sz val="11"/>
        <color theme="1"/>
        <rFont val="Calibri"/>
        <family val="2"/>
        <scheme val="minor"/>
      </rPr>
      <t xml:space="preserve"> Using hyperlinks, the user can navigate to the Results page to see the individual strategy and</t>
    </r>
  </si>
  <si>
    <t>calculation</t>
  </si>
  <si>
    <t xml:space="preserve"> =    intermediate calculation in formula, locked</t>
  </si>
  <si>
    <t>cumulative results.</t>
  </si>
  <si>
    <t>% change in VMT</t>
  </si>
  <si>
    <t xml:space="preserve"> =    strategy output, locked</t>
  </si>
  <si>
    <r>
      <rPr>
        <b/>
        <sz val="11"/>
        <color theme="1"/>
        <rFont val="Calibri"/>
        <family val="2"/>
        <scheme val="minor"/>
      </rPr>
      <t>5.</t>
    </r>
    <r>
      <rPr>
        <sz val="11"/>
        <color theme="1"/>
        <rFont val="Calibri"/>
        <family val="2"/>
        <scheme val="minor"/>
      </rPr>
      <t xml:space="preserve"> Additional strategies can be selected, and the Results page will reflect the combined impact of</t>
    </r>
  </si>
  <si>
    <t>% change in VMT, max decrease</t>
  </si>
  <si>
    <t xml:space="preserve"> =    strategy output, max achievable reduction, may be capped, locked</t>
  </si>
  <si>
    <t>multiple strategies. If the user does not want to include a strategy with the cumulative results, click</t>
  </si>
  <si>
    <t>% change in VMT, increase</t>
  </si>
  <si>
    <t xml:space="preserve"> =    strategy output, VMT increase, may be capped, locked</t>
  </si>
  <si>
    <r>
      <t xml:space="preserve">"Exclude from Results" on the strategy page (see </t>
    </r>
    <r>
      <rPr>
        <b/>
        <sz val="11"/>
        <color theme="1"/>
        <rFont val="Calibri"/>
        <family val="2"/>
        <scheme val="minor"/>
      </rPr>
      <t>Legend</t>
    </r>
    <r>
      <rPr>
        <sz val="11"/>
        <color theme="1"/>
        <rFont val="Calibri"/>
        <family val="2"/>
        <scheme val="minor"/>
      </rPr>
      <t>).</t>
    </r>
  </si>
  <si>
    <t xml:space="preserve"> =    optional user input, check box to exclude a strategy output from results</t>
  </si>
  <si>
    <r>
      <rPr>
        <b/>
        <sz val="11"/>
        <color theme="1"/>
        <rFont val="Calibri"/>
        <family val="2"/>
        <scheme val="minor"/>
      </rPr>
      <t>6.</t>
    </r>
    <r>
      <rPr>
        <sz val="11"/>
        <color theme="1"/>
        <rFont val="Calibri"/>
        <family val="2"/>
        <scheme val="minor"/>
      </rPr>
      <t xml:space="preserve"> Once the user has reviewed the individual strategy and cumulative results on the Results page,</t>
    </r>
  </si>
  <si>
    <t>print the Results page for a summary of project information, percent VMT reduction, and literature</t>
  </si>
  <si>
    <t>citations for all calculations.</t>
  </si>
  <si>
    <t>IV. Project Information</t>
  </si>
  <si>
    <t>Project Name (optional):</t>
  </si>
  <si>
    <t>Project Address (optional):</t>
  </si>
  <si>
    <t>Project Type (optional):</t>
  </si>
  <si>
    <t>E.g., residential, commercial</t>
  </si>
  <si>
    <t>Analysis Location (TAZ # from website):</t>
  </si>
  <si>
    <r>
      <t xml:space="preserve">Determine analysis location TAZ # (between 2079 and 3823) using </t>
    </r>
    <r>
      <rPr>
        <u/>
        <sz val="11"/>
        <color rgb="FF0070C0"/>
        <rFont val="Calibri"/>
        <family val="2"/>
        <scheme val="minor"/>
      </rPr>
      <t>Alameda County's online VMT Mapping Tool</t>
    </r>
    <r>
      <rPr>
        <sz val="11"/>
        <rFont val="Calibri"/>
        <family val="2"/>
        <scheme val="minor"/>
      </rPr>
      <t>. Click on the project location to open a pop-up window. If the parcels layer is enabled, click on the right arrow at the top of the pop-up to show the TAZ number.</t>
    </r>
  </si>
  <si>
    <t>Jurisdiction (auto calculated from TAZ #):</t>
  </si>
  <si>
    <t>V. Mobility Management Strategies</t>
  </si>
  <si>
    <t>Employer Commute Programs</t>
  </si>
  <si>
    <t>Neighborhood Enhancements</t>
  </si>
  <si>
    <t>Strategies implemented by employers that encourage workers to commute by modes other than auto</t>
  </si>
  <si>
    <t>Strategies that improve or encourage neighborhood-level bicycle, pedestrian, and other multimodal travel options</t>
  </si>
  <si>
    <t>1A</t>
  </si>
  <si>
    <t>Voluntary Employer Commute Program</t>
  </si>
  <si>
    <t>4A</t>
  </si>
  <si>
    <t>Street Connectivity Improvement</t>
  </si>
  <si>
    <t>1B</t>
  </si>
  <si>
    <t>Mandatory Employer Commute Program</t>
  </si>
  <si>
    <t>4B</t>
  </si>
  <si>
    <t>Pedestrian Facility Improvement</t>
  </si>
  <si>
    <t>1C</t>
  </si>
  <si>
    <t>Employer Carpool Program</t>
  </si>
  <si>
    <t>4C</t>
  </si>
  <si>
    <t>Bikeway Network Expansion</t>
  </si>
  <si>
    <t>1D1</t>
  </si>
  <si>
    <t>Implement Subsidized or Discounted Transit Program (for Employees)</t>
  </si>
  <si>
    <t>4D</t>
  </si>
  <si>
    <t>Bike Facility Improvement</t>
  </si>
  <si>
    <t>1D2</t>
  </si>
  <si>
    <t>Implement Subsidized or Discounted Transit Program (for Residents)</t>
  </si>
  <si>
    <t>4E</t>
  </si>
  <si>
    <t>Bikeshare</t>
  </si>
  <si>
    <t>1E</t>
  </si>
  <si>
    <t>Employer Vanpool Program</t>
  </si>
  <si>
    <t>4F</t>
  </si>
  <si>
    <t>Carshare</t>
  </si>
  <si>
    <t>1F</t>
  </si>
  <si>
    <t>Employer Telework Program</t>
  </si>
  <si>
    <t>4G</t>
  </si>
  <si>
    <t>Community-Based Travel Planning</t>
  </si>
  <si>
    <t>4H</t>
  </si>
  <si>
    <t>Provide Neighborhood Traffic Calming Measures</t>
  </si>
  <si>
    <t>Land Use Strategies</t>
  </si>
  <si>
    <t>Strategies that modify the location or characteristics of land development projects to encourage non-auto travel modes</t>
  </si>
  <si>
    <t>2A</t>
  </si>
  <si>
    <t>Transit Oriented Development</t>
  </si>
  <si>
    <t>Transit Strategies</t>
  </si>
  <si>
    <t>2B1</t>
  </si>
  <si>
    <t>Increase Residential Density</t>
  </si>
  <si>
    <t>Strategies that improve transit service and cause a mode shift from auto to transit</t>
  </si>
  <si>
    <t>2B2</t>
  </si>
  <si>
    <t>Increase Employment Density</t>
  </si>
  <si>
    <t>5A</t>
  </si>
  <si>
    <t>Transit Service Expansion</t>
  </si>
  <si>
    <t>2C</t>
  </si>
  <si>
    <t>Integrate Affordable and Below Market Rate Housing</t>
  </si>
  <si>
    <t>5B</t>
  </si>
  <si>
    <t>Transit Frequency Improvements</t>
  </si>
  <si>
    <t>5C</t>
  </si>
  <si>
    <t>Transit-Supportive Treatments</t>
  </si>
  <si>
    <t>Parking Management</t>
  </si>
  <si>
    <t>5D</t>
  </si>
  <si>
    <t>Transit Fare Reduction</t>
  </si>
  <si>
    <t>Strategies that discourage auto travel by modifying the price or supply of parking</t>
  </si>
  <si>
    <t>5E</t>
  </si>
  <si>
    <t>Microtransit NEV Shuttle</t>
  </si>
  <si>
    <t>3A1</t>
  </si>
  <si>
    <t>Price Workplace Parking</t>
  </si>
  <si>
    <t>3A2</t>
  </si>
  <si>
    <t>Unbundle Parking Costs from Property Cost</t>
  </si>
  <si>
    <t>Go to Results</t>
  </si>
  <si>
    <t>3B</t>
  </si>
  <si>
    <t>Parking Cash Out</t>
  </si>
  <si>
    <t>3C</t>
  </si>
  <si>
    <t>Limit Parking Supply</t>
  </si>
  <si>
    <t>3D</t>
  </si>
  <si>
    <t>Provide Bike Parking</t>
  </si>
  <si>
    <t xml:space="preserve"> MOBILITY MANAGEMENT VMT REDUCTION CALCULATOR TOOL</t>
  </si>
  <si>
    <r>
      <t xml:space="preserve">Return to Main </t>
    </r>
    <r>
      <rPr>
        <u/>
        <sz val="11"/>
        <color theme="10"/>
        <rFont val="Wingdings 3"/>
        <family val="1"/>
        <charset val="2"/>
      </rPr>
      <t>É</t>
    </r>
  </si>
  <si>
    <t>Frequently Asked Questions</t>
  </si>
  <si>
    <t>Disclaimers</t>
  </si>
  <si>
    <r>
      <rPr>
        <b/>
        <sz val="11"/>
        <color theme="1"/>
        <rFont val="Calibri"/>
        <family val="2"/>
        <scheme val="minor"/>
      </rPr>
      <t xml:space="preserve">1. What does this tool do?
</t>
    </r>
    <r>
      <rPr>
        <sz val="11"/>
        <color theme="1"/>
        <rFont val="Calibri"/>
        <family val="2"/>
        <scheme val="minor"/>
      </rPr>
      <t>The tool operates at two geographic scales: project/site-level and community/city-level. The tool user must provide simple input information about a strategy in order to produce a VMT reduction estimate. The tool is intended to act as a resource for evaluating and quantifying the impacts of mobility management strategies as part of the development review and transportation analysis process for development projects in Alameda County. The tool supports the goals of SB 743 (Steinberg, 2013) by providing jurisdictions and developers with a resource to quantify VMT reductions resulting from implementation of a variety of mitigation strategies.</t>
    </r>
  </si>
  <si>
    <r>
      <rPr>
        <b/>
        <sz val="11"/>
        <color theme="1"/>
        <rFont val="Calibri"/>
        <family val="2"/>
        <scheme val="minor"/>
      </rPr>
      <t xml:space="preserve">Tool Purpose
</t>
    </r>
    <r>
      <rPr>
        <sz val="11"/>
        <color theme="1"/>
        <rFont val="Calibri"/>
        <family val="2"/>
        <scheme val="minor"/>
      </rPr>
      <t>This tool, and the accompanying documentation, are intended to act as a resource for evaluating and quantifying the impacts of mobility management strategies as part of the development review and transportation analysis process. The tool will support the goals of SB 743 (Steinberg, 2013) by providing jurisdictions with a resource to quantify VMT reductions resulting from implementation of mitigation strategies. The tool also supports local government planning efforts including implementation of general and community plans, transportation demand management (TDM) ordinances, and climate action plans. Users of the tool should exercise their professional judgment in reviewing, evaluating and analyzing VMT reduction estimate results from the tool.</t>
    </r>
  </si>
  <si>
    <r>
      <t>2. Why do the strategy inputs read "#N/A"? / Why is the strategy not calculating a reduction?</t>
    </r>
    <r>
      <rPr>
        <sz val="11"/>
        <color theme="1"/>
        <rFont val="Calibri"/>
        <family val="2"/>
        <scheme val="minor"/>
      </rPr>
      <t xml:space="preserve">
The most common reason for this is that the user has not selected a TAZ for analysis, per the main screen (step #2 of the instructions, and cell F51 in the "Main" tab). This error may also occur if the TAZ selected does not have a high enough intensity of land use for the tool to be appropriate.</t>
    </r>
  </si>
  <si>
    <r>
      <t xml:space="preserve">3. How do I enter strategy information?
</t>
    </r>
    <r>
      <rPr>
        <sz val="11"/>
        <color theme="1"/>
        <rFont val="Calibri"/>
        <family val="2"/>
        <scheme val="minor"/>
      </rPr>
      <t xml:space="preserve">Tool users enter information about a strategy of interest in the orange-colored cells found on each strategy page. Users cannot enter information in any other cells. Guidance on common sources for the information required for those cells is included as part of each measure's description. </t>
    </r>
  </si>
  <si>
    <r>
      <t xml:space="preserve">Accuracy of Default Neighborhood/City Data
</t>
    </r>
    <r>
      <rPr>
        <sz val="11"/>
        <rFont val="Calibri"/>
        <family val="2"/>
        <scheme val="minor"/>
      </rPr>
      <t xml:space="preserve">Users of the tool can override the default data to reflect project conditions and characteristics. The default data found in this tool have been extracted from an Alameda CTC Travel Demand Forecasting Model scenario run (May 2019 version; base year 2020) in support of the Regional Transportation Plan. The scenario used for the extraction is subject to be rerun with updated inputs and methodologies, thus the data in this tool are subject to change. The methodologies used to calculate the VMT data have been developed by Alameda CTC in accordance with State of California guidelines.
The accuracy and reliability of the data in this tool diminishes with a reduction in activity (population and employment) found within a project-level study area. Additionally, this tool is not recommended for application when land use intensity falls below a certain level.
Any action you take upon the information is strictly at your own risk, and neither Alameda CTC nor its consultants will be liable for any losses or damages in connection with use of these data and this tool. 
</t>
    </r>
  </si>
  <si>
    <r>
      <rPr>
        <b/>
        <sz val="11"/>
        <color theme="1"/>
        <rFont val="Calibri"/>
        <family val="2"/>
        <scheme val="minor"/>
      </rPr>
      <t xml:space="preserve">4. How do I see if the strategy reduces VMT?
</t>
    </r>
    <r>
      <rPr>
        <sz val="11"/>
        <rFont val="Calibri"/>
        <family val="2"/>
        <scheme val="minor"/>
      </rPr>
      <t>Each strategy page has a row labeled "Change in VMT." A negative value in this row indicates a reduction in VMT; a positive value indicates an increase in VMT (denoted with a red outline of the cell).</t>
    </r>
    <r>
      <rPr>
        <sz val="11"/>
        <color theme="1"/>
        <rFont val="Calibri"/>
        <family val="2"/>
        <scheme val="minor"/>
      </rPr>
      <t xml:space="preserve"> Most measures will never result in an increase in VMT. If a measure does not apply, or does not create a reduction, there will be a value of either "0%" or no value in the cell.</t>
    </r>
  </si>
  <si>
    <r>
      <rPr>
        <b/>
        <sz val="11"/>
        <color theme="1"/>
        <rFont val="Calibri"/>
        <family val="2"/>
        <scheme val="minor"/>
      </rPr>
      <t>5. What is the source for the VMT reduction strategies included in the tool?</t>
    </r>
    <r>
      <rPr>
        <sz val="11"/>
        <color theme="1"/>
        <rFont val="Calibri"/>
        <family val="2"/>
        <scheme val="minor"/>
      </rPr>
      <t xml:space="preserve">
</t>
    </r>
    <r>
      <rPr>
        <sz val="11"/>
        <rFont val="Calibri"/>
        <family val="2"/>
        <scheme val="minor"/>
      </rPr>
      <t>The strategies are listed on the Main page of this tool. Generally, these strategies are modeled after those included in the 2010 CAPCOA Guide to Mitigating Greenhouse Gas Emissions. However, the tool does not include all strategies listed in CAPCOA; several have been removed as they are not particularly relevant to development, or have limited supporting evidence for their methodologies.</t>
    </r>
    <r>
      <rPr>
        <sz val="11"/>
        <color theme="1"/>
        <rFont val="Calibri"/>
        <family val="2"/>
        <scheme val="minor"/>
      </rPr>
      <t xml:space="preserve"> In addition, methodologies for individual measures have been updated based on sources detailed in each individual strategy tab.</t>
    </r>
  </si>
  <si>
    <r>
      <rPr>
        <b/>
        <sz val="11"/>
        <color theme="1"/>
        <rFont val="Calibri"/>
        <family val="2"/>
        <scheme val="minor"/>
      </rPr>
      <t xml:space="preserve">6. How do I select VMT reduction strategies?
</t>
    </r>
    <r>
      <rPr>
        <sz val="11"/>
        <rFont val="Calibri"/>
        <family val="2"/>
        <scheme val="minor"/>
      </rPr>
      <t>From the Main page or the Results page, the user can click on a strategy hyperlink of interest. On the strategy page, entering input values in all of the orange-colored cells will activate that strategy. If the user does not want the VMT reduction results of a given strategy to be included in the summary results, either delete the strategy page inputs in the orange-colored cells or click "Exclude from results" on the strategy page.</t>
    </r>
  </si>
  <si>
    <r>
      <rPr>
        <b/>
        <sz val="11"/>
        <color theme="1"/>
        <rFont val="Calibri"/>
        <family val="2"/>
        <scheme val="minor"/>
      </rPr>
      <t>7. Where can I learn more about how the reductions are calculated?</t>
    </r>
    <r>
      <rPr>
        <sz val="11"/>
        <color theme="1"/>
        <rFont val="Calibri"/>
        <family val="2"/>
        <scheme val="minor"/>
      </rPr>
      <t xml:space="preserve">
</t>
    </r>
    <r>
      <rPr>
        <sz val="11"/>
        <rFont val="Calibri"/>
        <family val="2"/>
        <scheme val="minor"/>
      </rPr>
      <t>Each strategy page lists the references that were used to develop the VMT reduction estimates. Users can also review the VMT Tool Design Document that serves as a companion resource to this tool for more information.</t>
    </r>
  </si>
  <si>
    <r>
      <rPr>
        <b/>
        <sz val="11"/>
        <color theme="1"/>
        <rFont val="Calibri"/>
        <family val="2"/>
        <scheme val="minor"/>
      </rPr>
      <t xml:space="preserve">8. How is the total percent change in VMT adjusted when I select multiple strategies?
</t>
    </r>
    <r>
      <rPr>
        <sz val="11"/>
        <rFont val="Calibri"/>
        <family val="2"/>
        <scheme val="minor"/>
      </rPr>
      <t xml:space="preserve">If only one strategy is selected, the user will see on the Results page (a) the percent change in VMT associated with that strategy, and (b) the total percent change in VMT (total) from all strategies. In this case, the values are the same. If more than one strategy is selected, the tool applies each reduction only to the remaining VMT after all previous reductions to adjust the sum of VMT reduction. This accounts for the diminished percent change in VMT that a strategy will have if other strategies are also selected. The total is calculated with the following formula:
</t>
    </r>
    <r>
      <rPr>
        <b/>
        <sz val="11"/>
        <rFont val="Calibri"/>
        <family val="2"/>
        <scheme val="minor"/>
      </rPr>
      <t xml:space="preserve">Total </t>
    </r>
    <r>
      <rPr>
        <sz val="11"/>
        <rFont val="Calibri"/>
        <family val="2"/>
        <scheme val="minor"/>
      </rPr>
      <t>= {[100% - (Strategy A % change in VMT)] * [100% - (Strategy B % change in VMT)] * ... * [100% - (Strategy Z % change in VMT)]} - 100%
In general, this process can be summarized through the following observation: two 50% reductions will not, when combined, result in a 100% reduction. Instead, they will result in a 75% reduction: the first reduces trips/VMT by 50%, and the second reduces by another 50%, for a total of 25% of the original total VMT.</t>
    </r>
    <r>
      <rPr>
        <sz val="11"/>
        <color theme="1"/>
        <rFont val="Calibri"/>
        <family val="2"/>
        <scheme val="minor"/>
      </rPr>
      <t xml:space="preserve"> This reflects that strategies will only target individuals who have not yet "changed" their behavior.</t>
    </r>
  </si>
  <si>
    <r>
      <t xml:space="preserve">9. How are the mode share, trip length, and VMT per capita data derived?
</t>
    </r>
    <r>
      <rPr>
        <sz val="11"/>
        <color theme="1"/>
        <rFont val="Calibri"/>
        <family val="2"/>
        <scheme val="minor"/>
      </rPr>
      <t>The mode share, trip length, and VMT per capita data found in this tool reflect travel by residents of the greater Bay Area region only (the nine MTC member counties). The data are parsed by jurisdiction and by transportation analysis zone (TAZ), and are derived from the scenario year 2020 model estimates produced by version 2.1 of the Alameda-Contra Costa (AlaCC) Travel Model. The data do not reflect travel by visitors to the region. They also do not include travel made by heavy-duty trucks or travel for commercial purposes.</t>
    </r>
  </si>
  <si>
    <r>
      <rPr>
        <b/>
        <sz val="11"/>
        <color theme="1"/>
        <rFont val="Calibri"/>
        <family val="2"/>
        <scheme val="minor"/>
      </rPr>
      <t>10. Can I calculate the total percent change in VMT from multiple strategies if the scales of analysis from my chosen strategies are not the same?</t>
    </r>
    <r>
      <rPr>
        <sz val="11"/>
        <color theme="1"/>
        <rFont val="Calibri"/>
        <family val="2"/>
        <scheme val="minor"/>
      </rPr>
      <t xml:space="preserve">
Yes. The user may select any combination of strategies shown on the Main page. The Results page shows the type of VMT affected by each strategy and presents the total change for each type of VMT. </t>
    </r>
  </si>
  <si>
    <r>
      <rPr>
        <b/>
        <sz val="11"/>
        <color theme="1"/>
        <rFont val="Calibri"/>
        <family val="2"/>
        <scheme val="minor"/>
      </rPr>
      <t>11. Why are there four totals displayed on the Results pages?</t>
    </r>
    <r>
      <rPr>
        <sz val="11"/>
        <color theme="1"/>
        <rFont val="Calibri"/>
        <family val="2"/>
        <scheme val="minor"/>
      </rPr>
      <t xml:space="preserve">
As discussed above in Question 8, the total percent change in VMT can be calculated when multiple strategies are selected. However, if the selected strategies reduce VMT from different types of trips (i.e., employee commute trips and all project-generated trips), it may not be valid to combine the total percent change in VMT. For example, limiting the parking supply at a commercial facility affects VMT from all project-generated trips, while an employee vanpool program only affects VMT from the facility's employee commute trips. Of the 15 project-level strategies, nine reduce VMT from employee commute trips and six reduce VMT from all project-generated trips (including non-commute trips). The nine are summed to an Employee Commute Trips Total using multiplicative dampening (see Question 8), and the six are separately summed to a Project-Generated Trips Total in the same way. Similarly, of the 14 neighborhood/city-level strategies, 13 reduce VMT from all neighborhood/city trips and only one (4D Bike Facility Improvement) reduces VMT from trips on the roadway affected by a bikeway addition. While these totals cannot be combined within the tool, they may be separately applied to off-model VMT if the analyst is able to isolate VMT production by each of the individual sources. However, this is beyond the scope of this tool as of the most recent version.
While these totals cannot be combined within the tool, they may be separately applied to off-model VMT if the analyst is able to isolate VMT production by each of the individual sources. However, this is beyond the scope of this tool as of the most recent version.
</t>
    </r>
  </si>
  <si>
    <r>
      <rPr>
        <b/>
        <sz val="11"/>
        <color theme="1"/>
        <rFont val="Calibri"/>
        <family val="2"/>
        <scheme val="minor"/>
      </rPr>
      <t>12. Can the tool be used to analyze strategies in rural / low-density areas?</t>
    </r>
    <r>
      <rPr>
        <sz val="11"/>
        <color theme="1"/>
        <rFont val="Calibri"/>
        <family val="2"/>
        <scheme val="minor"/>
      </rPr>
      <t xml:space="preserve">
There is little empirical research to support the estimation of VMT reduction in rural areas. Because of the lack of relevant research, based on the project location, the tool cannot be applied to areas with densities below a certain level. Entering data for a project located in a very low-density area will result in a message that the site cannot be analyzed using this Tool. Additional analysis outside of the Tool will likely be required to assess the true VMT characteristics of sites in those areas, due to the low intensity of existing development making it more difficult to extrapolate travel patterns. Similar caution may be warranted for projects that substantially depart from the existing land use types in the project TAZ.</t>
    </r>
  </si>
  <si>
    <r>
      <rPr>
        <b/>
        <sz val="11"/>
        <color theme="1"/>
        <rFont val="Calibri"/>
        <family val="2"/>
        <scheme val="minor"/>
      </rPr>
      <t>13. How is the maximum VMT reduction calculated for each strategy?</t>
    </r>
    <r>
      <rPr>
        <sz val="11"/>
        <color theme="1"/>
        <rFont val="Calibri"/>
        <family val="2"/>
        <scheme val="minor"/>
      </rPr>
      <t xml:space="preserve">
On each strategy page below the "Type of VMT affected," the "Max VMT reduction" is listed. Sometimes a strategy's maximum VMT reduction is dependent only on user inputs, other times it is capped at a certain percentage, and other times it is based on regional parameters (e.g. mode share) specific to each TAZ or city. Furthermore, the max VMT reduction can also be changed by optional user inputs that override default data. The max VMT reduction listed on each strategy page is meant to provide the user with a general estimate of the reduction potential for each strategy. The values listed were derived from the tool using dense, urban TAZs as the analysis location with all default data. The user may achieve a max VMT reduction that is different than the max VMT reduction listed based on the differences in regional parameters of the selected project site and any additional user overrides.
</t>
    </r>
  </si>
  <si>
    <r>
      <rPr>
        <b/>
        <sz val="11"/>
        <color theme="1"/>
        <rFont val="Calibri"/>
        <family val="2"/>
        <scheme val="minor"/>
      </rPr>
      <t xml:space="preserve">14. There is text in a locked cell that is cut off, and I cannot adjust the cell margins to read the remainder of the text. How can I read the cell text?
</t>
    </r>
    <r>
      <rPr>
        <sz val="11"/>
        <color theme="1"/>
        <rFont val="Calibri"/>
        <family val="2"/>
        <scheme val="minor"/>
      </rPr>
      <t>The margins of all cells have been adjusted so that at Excel's 100% zoom level all the text can be seen. Adjust your zoom level to 100% if you see that a cell's text is cut off. This also applies to any text in comment bubbles. If you still cannot read the text, try adjusting your zoom level to other percentages.</t>
    </r>
  </si>
  <si>
    <r>
      <rPr>
        <b/>
        <sz val="11"/>
        <color theme="1"/>
        <rFont val="Calibri"/>
        <family val="2"/>
        <scheme val="minor"/>
      </rPr>
      <t xml:space="preserve">15. What does "percent of employees eligible" mean, as used in strategies 1A through 1D and 3B?
</t>
    </r>
    <r>
      <rPr>
        <sz val="11"/>
        <color theme="1"/>
        <rFont val="Calibri"/>
        <family val="2"/>
        <scheme val="minor"/>
      </rPr>
      <t>This refers to the percent of employees that would be able to participate in the strategy's program, if they desired to. This will usually be 100%. Employees who might not be able to participate could include those who work nighttime hours when transit and rideshare services are not available, employees who are required to drive to work as part of their job duties, or contract employees who do not receive certain employer-sponsored benefits. This input does not refer to the percent of employees who actually participate in the program.</t>
    </r>
    <r>
      <rPr>
        <b/>
        <sz val="11"/>
        <color rgb="FFFF0000"/>
        <rFont val="Calibri"/>
        <family val="2"/>
        <scheme val="minor"/>
      </rPr>
      <t xml:space="preserve">
</t>
    </r>
  </si>
  <si>
    <t>MOBILITY MANAGEMENT VMT REDUCTION CALCULATOR TOOL</t>
  </si>
  <si>
    <t>Project Information</t>
  </si>
  <si>
    <t>TDM Strategy Results</t>
  </si>
  <si>
    <t>TDM ID</t>
  </si>
  <si>
    <t>Strategy Name</t>
  </si>
  <si>
    <t>Strategy Type</t>
  </si>
  <si>
    <t>VMT Type</t>
  </si>
  <si>
    <t>Change in VMT</t>
  </si>
  <si>
    <t>Exclusions</t>
  </si>
  <si>
    <t>Employee Commute Trips - Total Change in VMT</t>
  </si>
  <si>
    <t>Project-Generated Trips - Total Change in VMT</t>
  </si>
  <si>
    <t>All Neighborhood/City Trips - Total Change in VMT</t>
  </si>
  <si>
    <t>Trips on Roadway Affected by Bikeway Addition - Total Change in VMT</t>
  </si>
  <si>
    <r>
      <t xml:space="preserve">Results Summary </t>
    </r>
    <r>
      <rPr>
        <u/>
        <sz val="11"/>
        <color theme="10"/>
        <rFont val="Wingdings"/>
        <charset val="2"/>
      </rPr>
      <t>2</t>
    </r>
  </si>
  <si>
    <t>How to Resolve Conflicts Among VMT Reduction Strategies</t>
  </si>
  <si>
    <r>
      <rPr>
        <b/>
        <i/>
        <sz val="11"/>
        <color theme="1"/>
        <rFont val="Calibri"/>
        <family val="2"/>
        <scheme val="minor"/>
      </rPr>
      <t>What are conflicts among VMT reduction strategies?</t>
    </r>
    <r>
      <rPr>
        <sz val="11"/>
        <color theme="1"/>
        <rFont val="Calibri"/>
        <family val="2"/>
        <scheme val="minor"/>
      </rPr>
      <t xml:space="preserve">
Certain VMT reduction strategies conflict with one another. For example, a project may not have both a mandatory AND a voluntary commute trip reduction program: such a program must be either mandatory or voluntary, but not both. 
</t>
    </r>
    <r>
      <rPr>
        <b/>
        <i/>
        <sz val="11"/>
        <color theme="1"/>
        <rFont val="Calibri"/>
        <family val="2"/>
        <scheme val="minor"/>
      </rPr>
      <t>How can I resolve conflicts?</t>
    </r>
    <r>
      <rPr>
        <sz val="11"/>
        <color theme="1"/>
        <rFont val="Calibri"/>
        <family val="2"/>
        <scheme val="minor"/>
      </rPr>
      <t xml:space="preserve">
If a conflict occurs, the VMT reductions associated with both conflicting strategies will be omitted from the results until the conflict is resolved. The below cell displays all active conflicts among strategies currently in use. To resolve the conflict(s), simply exclude one conflicting strategy's effect from the results, using the "Exclude from Results" check-box on each strategy's worksheet.
</t>
    </r>
    <r>
      <rPr>
        <b/>
        <i/>
        <sz val="11"/>
        <color theme="1"/>
        <rFont val="Calibri"/>
        <family val="2"/>
        <scheme val="minor"/>
      </rPr>
      <t>What happens once I resolve conflicts?</t>
    </r>
    <r>
      <rPr>
        <sz val="11"/>
        <color theme="1"/>
        <rFont val="Calibri"/>
        <family val="2"/>
        <scheme val="minor"/>
      </rPr>
      <t xml:space="preserve">
Once the conflict(s) are resolved, the strategies' effects will be included in the Results tab. For informational purposes, the VMT effects of excluded strategies are shown in light gray on the Results tab, but are not included in the calculation of total reductions for each VMT category.</t>
    </r>
  </si>
  <si>
    <t>Conflict Detail Description</t>
  </si>
  <si>
    <t>? May have low range</t>
  </si>
  <si>
    <t>SANDAG</t>
  </si>
  <si>
    <t>CAPCOA 2010</t>
  </si>
  <si>
    <t>CAPCOA 2021</t>
  </si>
  <si>
    <t>Scale</t>
  </si>
  <si>
    <t>SANDAG ID</t>
  </si>
  <si>
    <t>CAPCOA 2010 ID</t>
  </si>
  <si>
    <t>CAPCOA 2021 ID</t>
  </si>
  <si>
    <t>Strategy</t>
  </si>
  <si>
    <t>notes</t>
  </si>
  <si>
    <t>Mutually exclusive with…</t>
  </si>
  <si>
    <t>Inputs</t>
  </si>
  <si>
    <t>Sensitive to Place Type?</t>
  </si>
  <si>
    <t>Sensitive to Place Type (2021)?</t>
  </si>
  <si>
    <t>Sensitive to Jurisdiction?</t>
  </si>
  <si>
    <t>Max Reduction (SANDAG Tool)</t>
  </si>
  <si>
    <t>Max Reduction (2010)</t>
  </si>
  <si>
    <t>Max Reduction (2021)</t>
  </si>
  <si>
    <t>Max Reduction (2021, Low-Density Suburb)</t>
  </si>
  <si>
    <t>Max Reduction (2021, Suburban Center)</t>
  </si>
  <si>
    <t>Max Reduction (2021, Urban)</t>
  </si>
  <si>
    <t>Low Reduction</t>
  </si>
  <si>
    <t>Maximum Reduction in SANDAG Tool</t>
  </si>
  <si>
    <t>High Reduction</t>
  </si>
  <si>
    <t>Revised Maximum Reduction</t>
  </si>
  <si>
    <t>Source for New Max Reduction</t>
  </si>
  <si>
    <t>Change from SANDAG Tool</t>
  </si>
  <si>
    <t>Notes</t>
  </si>
  <si>
    <t>Implementation Notes</t>
  </si>
  <si>
    <t>Level of application</t>
  </si>
  <si>
    <t>Type of VMT affected</t>
  </si>
  <si>
    <t>Max VMT reduction</t>
  </si>
  <si>
    <t>Description</t>
  </si>
  <si>
    <t>Sources</t>
  </si>
  <si>
    <t>Formula</t>
  </si>
  <si>
    <t>Required User Input 1</t>
  </si>
  <si>
    <t>Required User Input 2</t>
  </si>
  <si>
    <t>Required User Input 3</t>
  </si>
  <si>
    <t>Required User Input 4</t>
  </si>
  <si>
    <t>Required User Input 5</t>
  </si>
  <si>
    <t>Required User Input 6</t>
  </si>
  <si>
    <t>Required User Input 7</t>
  </si>
  <si>
    <t>Required User Input 8</t>
  </si>
  <si>
    <t>Optional User Input 1</t>
  </si>
  <si>
    <t>Optional User Input 2</t>
  </si>
  <si>
    <t>Optional User Input 3</t>
  </si>
  <si>
    <t>Optional User Input 4</t>
  </si>
  <si>
    <t>Lookup/Calculated Value 1</t>
  </si>
  <si>
    <t>Lookup/Calculated Value 2</t>
  </si>
  <si>
    <t>Lookup/Calculated Value 3</t>
  </si>
  <si>
    <t>Lookup/Calculated Value 4</t>
  </si>
  <si>
    <t>Lookup/Calculated Value 5</t>
  </si>
  <si>
    <t>B</t>
  </si>
  <si>
    <t>C</t>
  </si>
  <si>
    <t>D</t>
  </si>
  <si>
    <t>E</t>
  </si>
  <si>
    <t>F</t>
  </si>
  <si>
    <t>G</t>
  </si>
  <si>
    <t>H</t>
  </si>
  <si>
    <t>I</t>
  </si>
  <si>
    <t>Project</t>
  </si>
  <si>
    <t>TRT-1</t>
  </si>
  <si>
    <t>T-4</t>
  </si>
  <si>
    <t>% of employees eligible, percent reduction in commute VMT</t>
  </si>
  <si>
    <t>yes</t>
  </si>
  <si>
    <t>no</t>
  </si>
  <si>
    <t>1-6.2%</t>
  </si>
  <si>
    <t>up to 4%</t>
  </si>
  <si>
    <t>Simplified formula - only one coefficient (can eliminate lookup)</t>
  </si>
  <si>
    <t>Project/Site</t>
  </si>
  <si>
    <t>Employee commute trips</t>
  </si>
  <si>
    <t>This strategy will implement a voluntary commute trip reduction (CTR) program with employers. CTR programs discourage single-occupancy vehicle trips and encourage alternative modes of transportation such as carpooling, taking transit, walking, and biking, thereby reducing VMT and GHG emissions. Voluntary CTR programs do not include mandatory trip reduction requirements or monitoring and reporting. The CTR program must include all the following to apply the effectiveness reported by the literature: 
• Carpooling encouragement. 
• Ride-matching assistance. 
• Preferential carpool parking. 
• Flexible work schedules for carpools. 
• Half-time transportation coordinator. 
• Vanpool assistance. 
• Bicycle end-trip facilities (parking, showers, and lockers). 
Other elements may also be included as part of a voluntary CTR program, though they are not included in the VMT reduction estimation reported by the literature and thus are not incorporated in the estimated VMT reductions for this strategy. This program typically serves as a complement to the more effective workplace CTR strategies such as pricing parking (Strategy 3A1) or implementing employee parking “cash-out” (Strategy 3B).</t>
  </si>
  <si>
    <t>(1) Boarnet, M., Hsu, H., Handy, S. 2014. Impacts of Employer-Based Trip Reduction Programs and Vanpools on Passenger Vehicle Use and Greenhouse Gas Emissions. September. Available: https://ww2.arb.ca.gov/sites/default/files/2020-06/Impacts_of_Employer- Based_Trip_Reduction_Programs_and_Vanpools_on_Passenger_Vehicle_Use_and_Greenhouse_Ga s_Emissions_Policy_Brief.pdf. Accessed: January 2021.</t>
  </si>
  <si>
    <t>B. Percent of employees eligible for program</t>
  </si>
  <si>
    <t>-</t>
  </si>
  <si>
    <t>C. Percent reduction in commute VMT from eligible employees</t>
  </si>
  <si>
    <t>TRT-2</t>
  </si>
  <si>
    <t>T-5</t>
  </si>
  <si>
    <t>rewrite language</t>
  </si>
  <si>
    <t>% of employees eligible, % shift in vehicle mode share of commute trips</t>
  </si>
  <si>
    <t>4.2-21%</t>
  </si>
  <si>
    <t>up to 26%</t>
  </si>
  <si>
    <t>Minor change - CAPCOA 2021 includes vehicle mode share to VMT adjustment</t>
  </si>
  <si>
    <t>This strategy will implement a mandatory commute trip reduction (CTR) program with employers. CTR programs discourage single-occupancy vehicle trips and encourage alternative modes of transportation such as carpooling, taking transit, walking, and biking, thereby reducing VMT and GHG emissions. Mandatory CTR programs include mandatory trip reduction requirements (including penalties for non-compliance) and regular monitoring and reporting.
The mandatory CTR program will include all other elements described for the voluntary program (Strategy 1A). This strategy is most effective when paired with a transportation demand management or CTR ordinance. This program typically serves as a complement to the more effective workplace CTR strategies, such as pricing parking (Strategy 3A1) or implementing employee parking “cash-out” (Strategy 3B).</t>
  </si>
  <si>
    <t>(1) Nelson/Nygaard Consulting Associates. 2015. Genentech – South San Francisco Campus TDM and Parking Report. June. Available: http://ci-ssfca. granicus.com/MetaViewer.php?view_id=2&amp;clip_id=859&amp;meta_id=62028. Accessed: January 2021.</t>
  </si>
  <si>
    <t>C. Percent reduction in vehicle mode share of employee commute trips</t>
  </si>
  <si>
    <t>D. Adjustment from vehicle mode share to commute VMT</t>
  </si>
  <si>
    <t>TRT-3</t>
  </si>
  <si>
    <t>T-7</t>
  </si>
  <si>
    <t>T-4 and T-5</t>
  </si>
  <si>
    <t>% of employees eligible</t>
  </si>
  <si>
    <t>1-15%</t>
  </si>
  <si>
    <t>up to 8%</t>
  </si>
  <si>
    <t>No change - same formula and inputs; CAPCOA 2021 cites SANDAG Tool implementation</t>
  </si>
  <si>
    <t>This strategy will implement a ridesharing program and establish a permanent transportation management association with funding requirements for employers. Ridesharing encourages carpooled vehicle trips in place of single-occupied vehicle trips, thereby reducing the number of trips, VMT, and GHG emissions. When providing a ridesharing program, a best practice is to establish funding by a non-revocable funding mechanism. Ridesharing must be promoted through a multi-faceted approach, such as:
• Designating a certain percentage of parking spaces for ridesharing vehicles.
• Designating adequate passenger loading and unloading and waiting areas for ridesharing vehicles.
• Providing an app or website for coordinating rides.</t>
  </si>
  <si>
    <t>(1) San Diego Association of Governments (SANDAG). 2019. Mobility Management VMT Reduction
Calculator Tool – Design Document. June. Available:
https://www.icommutesd.com/docs/default-source/planning/tool-design-document_final_7-
17-19.pdf?sfvrsn=ec39eb3b_2. Accessed: January 2021.</t>
  </si>
  <si>
    <t>C. Percent reduction in employee commute VMT</t>
  </si>
  <si>
    <t>TRT-4</t>
  </si>
  <si>
    <t>T-8</t>
  </si>
  <si>
    <t>this is in CAPCOA 2021</t>
  </si>
  <si>
    <t>T-4, T-5</t>
  </si>
  <si>
    <t>transit fare without subsidy, subsidy amount, eligible residents/employees, project VMT related to residents/employees</t>
  </si>
  <si>
    <t>0.3-20%</t>
  </si>
  <si>
    <t>N/A - New Measure</t>
  </si>
  <si>
    <t xml:space="preserve">This strategy will provide subsidized, discounted, or free transit passes for employees. Reducing the out-of-pocket cost for choosing transit improves the competitiveness of transit against driving, increasing the total number of transit trips and decreasing vehicle trips. This decrease in vehicle trips results in reduced VMT and thus a reduction in GHG emissions. When implementing transit discounts or subsidies, projects should adhere to the following guidance: 
• Project should be located either within one mile of high-quality transit service (either rail, or bus with headways of no more than 15 minutes), one-half mile of local or less frequent transit service, or along a designated shuttle route providing last-mile connections to rail service. As an alternative to shuttle service, if bikeshare service (Strategy 4E) is available, the site may be located up to two miles from a high-quality transit service. 
• If more than one transit agency serves the site, subsidies should be provided that can be applied to each of the services available. If subsidies are applied for only one service, all variable inputs below should also pertain only to the service which is subsidized. </t>
  </si>
  <si>
    <t>(1) Federal Highway Administration (FHWA). 2017. National Household Travel Survey – 2017 Table Designer. Travel Day PMT by TRPTRANS by HH_CBSA, Workers by WRKTRANS by HH_CBSA. Available: https://nhts.ornl.gov/. Accessed: January 2021. 
(2) Handy, L., Boarnet, S. 2013. Impacts of Transit Service Strategies on Passenger Vehicle Use and Greenhouse Gas Emissions. Available: http://www.arb.ca.gov/cc/sb375/policies/transitservice/transit_brief.pdf. Accessed: January 2021. 
(3) Litman, T. 2020a. Transit Price Elasticities and Cross-elasticities. Victoria Transport Policy Institute. April. Available: https://www.vtpi.org/tranelas.pdf. Accessed: January 2021. 
(4) Taylor, B., Miller, D., Iseki, H., &amp; Fink, C. 2008. Nature and/or Nurture? Analyzing the Determinants of Transit Ridership Across US Urbanized Areas. Transportation Research Part A: Policy and Practice, 43(1), 60-77. Available: https://citeseerx.ist.psu.edu/viewdoc/download?doi=10.1.1.367.5311&amp;rep=rep1&amp;type=pdf. Accessed: January 2021.</t>
  </si>
  <si>
    <t>B. Average transit fare without subsidy</t>
  </si>
  <si>
    <t>C. Subsidy amount</t>
  </si>
  <si>
    <t>D. Percent of employees/residents eligible for subsidy</t>
  </si>
  <si>
    <t>E. Percent of project-generated VMT from employees/residents</t>
  </si>
  <si>
    <t>F. Transit mode share of all trips or work trips</t>
  </si>
  <si>
    <t>G. Elasticity of transit boardings with respect to transit fare price</t>
  </si>
  <si>
    <t>H. Percent of transit trips that would otherwise be made in a vehicle</t>
  </si>
  <si>
    <t>I. Conversion factor of vehicle trips to VMT</t>
  </si>
  <si>
    <t>Project-generated trips</t>
  </si>
  <si>
    <t>This strategy will provide subsidized, discounted, or free transit passes for residents. Reducing the out-of-pocket cost for choosing transit improves the competitiveness of transit against driving, increasing the total number of transit trips and decreasing vehicle trips. This decrease in vehicle trips results in reduced VMT and thus a reduction in GHG emissions. When implementing transit discounts or subsidies, projects should adhere to the following guidance: 
• Project should be located either within one mile of high-quality transit service (either rail, or bus with headways of no more than 15 minutes), one-half mile of local or less frequent transit service, or along a designated shuttle route providing last-mile connections to rail service. As an alternative to shuttle service, if bikeshare service (Strategy 4E) is available, the site may be located up to two miles from a high-quality transit service. 
• If more than one transit agency serves the site, subsidies should be provided that can be applied to each of the services available. If subsidies are applied for only one service, all variable inputs below should also pertain only to the service which is subsidized. 
Note: please carefully specify the "Percent of project-generated VMT from residents" input, especially for projects with a high proportion of non-resident trips (e.g. schools, hotels, shopping centers). One way to estimate this value is to look at the trip generation calculations for the project and determine what proportion of the total trips comes from the residential portion of the project.</t>
  </si>
  <si>
    <t>1D-old</t>
  </si>
  <si>
    <t>T-8*</t>
  </si>
  <si>
    <t>Employer Transit Pass Subsidy</t>
  </si>
  <si>
    <t>% of employees eligible, transit subsidy, transite mode share, transit boarding elasticity with respect to fares, percent of transit trips otherwise made by vehicle</t>
  </si>
  <si>
    <t>up to 5.5%</t>
  </si>
  <si>
    <t>Remove due to similarity to "Implement Subsidized or Discounted Transit Program"</t>
  </si>
  <si>
    <t>Remove</t>
  </si>
  <si>
    <t>TRT-11</t>
  </si>
  <si>
    <t>T-10</t>
  </si>
  <si>
    <t>% of employees participating, length of average auto commute, length of long vanpool commute, average vanpool occupancy</t>
  </si>
  <si>
    <t>0.3-13.4%</t>
  </si>
  <si>
    <t>Up to 28.4%</t>
  </si>
  <si>
    <t>Minor change - same formula, update lookup/calculated values</t>
  </si>
  <si>
    <t>This strategy will implement an employer-sponsored vanpool service. Vanpooling is a flexible form of public transportation that provides groups of 5 to 15 people with a cost-effective and convenient rideshare option for commuting. The mode shift from long-distance, single-occupied vehicles to shared vehicles reduces overall commute VMT, thereby reducing GHG emissions. When implementing a vanpool service, best practice is to subsidize the cost for employees that have a similar origin and destination and provide priority parking for employees that vanpool.</t>
  </si>
  <si>
    <t>(1) Federal Highway Administration (FHWA). 2017. National Household Travel Survey – 2017 Table Designer. Travel Day VT by HH_CBSA by TRPTRANS by TRIPPURP. Available: https://nhts.ornl.gov/. Accessed: January 2021. 
(2) San Diego Association of Governments (SANDAG). 2019. Mobility Management VMT Reduction Calculator Tool – Design Document. June. Available: https://www.icommutesd.com/docs/default-source/planning/tool-design-document_final_7- 17-19.pdf?sfvrsn=ec39eb3b_2. Accessed: January 2021.</t>
  </si>
  <si>
    <t>B. Percent of employees that participate in
vanpool program</t>
  </si>
  <si>
    <t>C. Average length of one-way vehicle commute
trip in region</t>
  </si>
  <si>
    <t>D. Average length of one-way vanpool commute
trip</t>
  </si>
  <si>
    <t>E. Average vanpool occupancy (including driver)</t>
  </si>
  <si>
    <t>TRT-6</t>
  </si>
  <si>
    <t>Not Found</t>
  </si>
  <si>
    <t>If part of a commute trip reduction program (TRT-1 &amp; TRT-2), don't double count; T-4 and T-5</t>
  </si>
  <si>
    <t>% of employees participating, days/week average employee telecommutes</t>
  </si>
  <si>
    <t>n/a</t>
  </si>
  <si>
    <t>0.07-5.5%</t>
  </si>
  <si>
    <t>SANDAG Tool</t>
  </si>
  <si>
    <t>No change - same formula and inputs</t>
  </si>
  <si>
    <t>LUT-5</t>
  </si>
  <si>
    <t>T-3</t>
  </si>
  <si>
    <t>existing transit mode share</t>
  </si>
  <si>
    <t>.5-24.6%</t>
  </si>
  <si>
    <t>up to 31%</t>
  </si>
  <si>
    <t>Most applications of this strategy would achieve much less than the maximum VMT reduction</t>
  </si>
  <si>
    <t>New formula</t>
  </si>
  <si>
    <t>This strategy would reduce project VMT in the study area relative to the same project sited in a nontransit- oriented development (TOD) location. TOD refers to projects built in compact, walkable areas that have easy access to public transit, ideally in a location with a mix of uses, including housing, retail offices, and community facilities. TODs are generally described as places within a 10-minute walk (0.5 mile) of a high-frequency rail transit station (either rail, or bus with headways of no more than 15 minutes). Project site residents, employees, and visitors would have easy access to high-quality public transit, thereby encouraging transit and reducing the number of single occupancy vehicle trips and associated GHG emissions. When building TOD, a best practice is to incorporate bike and pedestrian access to increase the likelihood of transit use.</t>
  </si>
  <si>
    <t>(1) Tal, G., et al. 2013. "Technical Background Document on the Impacts of Transit Access (Distance to Transit) Based on a Review of the Empirical Literature." www.arb.ca.gov/cc/sb375/policies/transitservice/transit_brief.pdf
(2) Federal Highway Administration. 2017a. National Household Travel Survey – 2017 Table Designer. Travel Day PMT by TRPTRANS by HH_CBSA. Available: https://nhts.ornl.gov/. Accessed: January 2021. 
(3) Federal Highway Administration. 2017b. National Household Travel Survey – 2017 Table Designer. Average Vehicle Occupancy by HHSTFIPS. Available: https://nhts.ornl.gov/. Accessed: January 2021. 
(4) Lund, H., Cervero, R., and Wilson, R. 2004. Travel Characteristics of Transit-Oriented Development in California. January. Available: https://community-wealth.org/sites/clone.communitywealth. org/files/downloads/report-lund-cerv-wil.pdf. Accessed: January 2021.</t>
  </si>
  <si>
    <t>B. Transit mode share in surrounding city</t>
  </si>
  <si>
    <t>D. Auto mode share in surrounding city</t>
  </si>
  <si>
    <t>C. Ratio of transit mode share for TOD area with
measure compared to existing transit mode
share in surrounding city</t>
  </si>
  <si>
    <t>2B</t>
  </si>
  <si>
    <t>LUT-3</t>
  </si>
  <si>
    <t>Mixed Use Development</t>
  </si>
  <si>
    <t>double counting with Increase X Density? In theory, no - this comes from the same Cervero paper as Increase X Density and that paper did a multivariate analysis such that each elasticity is independent… but the new Increase X Density citation is Stevens (2016) so there is some potential for double counting. compare Stevens vs Cervero elasticity...</t>
  </si>
  <si>
    <t>existing land use entropy index, residents added, jobs added</t>
  </si>
  <si>
    <t>9-30%</t>
  </si>
  <si>
    <t>Remove due to overlap with new "Increase Residential Density" and "Increase Employment Density" strategies</t>
  </si>
  <si>
    <t>LUT-1 Increase Density (includes resi + employment)</t>
  </si>
  <si>
    <t>T-1</t>
  </si>
  <si>
    <t>this is in CAPCOA 2021. actually there are two: increase residential density and increase employment density; also in CAPCOA 2010 as one single measure</t>
  </si>
  <si>
    <t>residential density of proposed project, residential density of typical development</t>
  </si>
  <si>
    <t>0.8-30%</t>
  </si>
  <si>
    <t>up to 30%</t>
  </si>
  <si>
    <t>This strategy accounts for the VMT reduction achieved by a project that is designed with a higher density of dwelling units (du) compared to the average residential density in the United States. Increased densities affect the distance people travel and provide greater options for the mode of travel they choose. Increasing residential density results in shorter and fewer trips by single occupancy vehicles and thus a reduction in GHG emissions.
Projects with a residential density greater than 9.1 dwelling units per acre will see VMT reductions due to this strategy.</t>
  </si>
  <si>
    <t>(1) Ewing, R., Bartholomew, K., Winkelman, S., Walters, J., Chen, D. 2007. Growing Cooler: The Evidence on Urban Development and Climate Change. October. Available: https://www.nrdc.org/sites/default/files/cit_07092401a.pdf. Accessed: January 2021.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t>
  </si>
  <si>
    <t>B. Residential density of project development</t>
  </si>
  <si>
    <t>C. Residential density of typical development</t>
  </si>
  <si>
    <t>D. Elasticity of VMT with respect to residential density</t>
  </si>
  <si>
    <t>T-2</t>
  </si>
  <si>
    <t>jobs density of proposed project, jobs density of typical development</t>
  </si>
  <si>
    <t>This strategy accounts for the VMT reduction achieved by a project that is designed with a higher density of jobs compared to the average job density in the United States. Increased densities affect the distance people travel and provide greater options for the mode of travel they choose. Increasing job density results in shorter and fewer trips by single occupancy vehicles and thus a reduction in GHG emissions.</t>
  </si>
  <si>
    <t>(1) Institute of Transportation Engineers (ITE). Trip Generation Manual. 10th Edition. Available: https://www.ite.org/technical-resources/topics/trip-and-parking-generation/trip-generation- 10th-edition-formats/. Accessed: January 2021.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t>
  </si>
  <si>
    <t>B. Job density of project development</t>
  </si>
  <si>
    <t>C. Job density of typical development</t>
  </si>
  <si>
    <t>D. Elasticity of VMT with respect to job density</t>
  </si>
  <si>
    <t>Community</t>
  </si>
  <si>
    <t>LUT-6</t>
  </si>
  <si>
    <t>T-30</t>
  </si>
  <si>
    <t>use CAPCOA 2010</t>
  </si>
  <si>
    <t>percentage of BMR units</t>
  </si>
  <si>
    <t>0.04-1.2%</t>
  </si>
  <si>
    <t>Not Quantified</t>
  </si>
  <si>
    <t>Neighborhood/City</t>
  </si>
  <si>
    <t>All neighborhood/city trips</t>
  </si>
  <si>
    <t>Income has a statistically significant effect on the probability that a commuter will take transit or walk to work (1). Below market rate (BMR) housing provides greater opportunity for lower-income families to live closer to jobs centers and achieve jobs/housing match near transit. It also addresses to some degree the risk that new transit oriented development would displace lower-income families. This strategy potentially encourages building a greater percentage of smaller units that allow a greater number of families to be accommodated on infill and transit oriented development sites within a given building footprint and height limit. Lower-income families tend to have lower levels of auto ownership, allowing buildings to be designed with less parking which, in some cases, represents the difference between a project being economically viable or not. Residential development projects of five or more dwelling units will provide a deed-restricted low-income housing component on-site.</t>
  </si>
  <si>
    <t>(1) Bento, Antonio M., Maureen L. Cropper, Ahmed Mushfiq Mobarak, and Katja Vinha. 2005. “The Effects of Urban Spatial Structure on Travel Demand in the United States.” The Review of Economics and Statistics 87,3: 466-478.
(2) Nelson\Nygaard, 2005. Crediting Low-Traffic Developments (p.15). http://www.montgomeryplanning.org/transportation/documents/TripGenerationAn alysisUsingURBEMIS.pdf Criteron Planner/Engineers and Fehr &amp; Peers Associates (2001). 
(3) Index 4D Method. A Quick-Response Method of Estimating Travel Impacts from Land- Use Changes. Technical Memorandum prepared for US EPA, October 2001. 
(4) Holtzclaw, John; Clear, Robert; Dittmar, Hank; Goldstein, David; and Haas, Peter (2002), “Location Efficiency: Neighborhood and Socio-Economic Characteristics Determine Auto Ownership and Use – Studies in Chicago, Los Angeles and San Francisco”, Transportation Planning and Technology, 25 (1): 1-27.</t>
  </si>
  <si>
    <t>% VMT Reduction = 4% * Percentage of units in project that are
deed-restricted BMR housing [1]</t>
  </si>
  <si>
    <t>B. Percentage of units in project that are deed-restricted BMR housing</t>
  </si>
  <si>
    <t>C. Elasticity</t>
  </si>
  <si>
    <t>TRT-14</t>
  </si>
  <si>
    <t>T-11</t>
  </si>
  <si>
    <t>Would not be implemented alongside cash-out</t>
  </si>
  <si>
    <t>existing parking price, future parking price, share of employees paying for parking, elasticity of parking demand relative to price</t>
  </si>
  <si>
    <t>0.1-19.7%</t>
  </si>
  <si>
    <t>Different formula, additional variables</t>
  </si>
  <si>
    <t>This strategy will price on-site parking at workplaces. This may include the following: explicitly charging for parking for its employees, implementing above market rate pricing, validating parking only for invited guests, not providing employee parking and transportation allowances, and/or educating employees about available alternatives to driving. Because free employee parking is a common benefit, charging employees to park on-site increases the cost of choosing to drive to work. This is expected to reduce single-occupant vehicle commute trips, resulting in decreased VMT, thereby reducing associated GHG emissions. 
When implementing workplace parking, best practice is to ensure that other transportation options are available, convenient, and have competitive travel times (i.e., transit service near the project site, shuttle service, or a complete active transportation network serving the site and surrounding community), and that there is no alternative free parking available nearby (such as on-street). This strategy is ineffective in environments that do not have other modes available. Though like Strategy 3B, Parking “Cash-Out,” this strategy focuses on implementing market rate and above market rate pricing to provide a price signal for employees to consider other modes for their work commute. Strategy 3B requires employers to offer employee parking “cash-out.”</t>
  </si>
  <si>
    <t xml:space="preserve">(1) Lehner, S., Stefanie, P. 2019. The Price Elasticity of Parking: A Meta-analysis. Transportation Research Part A: Policy and Practice 121 2019. Available: http://sustainabletransportationsc.org/garage/pdf/parking_elasticity.pdf. Accessed: January 2021. </t>
  </si>
  <si>
    <t>B. Proposed parking price</t>
  </si>
  <si>
    <t>C. Baseline parking price</t>
  </si>
  <si>
    <t>D. Share of employees paying for parking</t>
  </si>
  <si>
    <t>E. Elasticity of parking demand with respecting
to parking price</t>
  </si>
  <si>
    <t>F. Ratio of vehicle trip reduction to VMT</t>
  </si>
  <si>
    <t>T-15</t>
  </si>
  <si>
    <t>This strategy will unbundle, or separate, a residential project’s parking costs from property costs, requiring those who wish to purchase parking spaces to do so at an additional cost from the property cost. On the assumption that parking costs are passed through to the vehicle owners/drivers utilizing the parking spaces, this strategy results in decreased vehicle ownership and, therefore, a reduction in VMT and GHG emissions. Unbundling may not be available to all residential developments, depending on funding sources.
Note: please carefully specify the "Percent of project-generated VMT from residents" input, especially for projects with a high proportion of non-resident trips (e.g. schools, hotels, shopping centers). One way to estimate this value is to look at the trip generation calculations for the project and determine what proportion of the total trips comes from the residential portion of the project.</t>
  </si>
  <si>
    <t>(1) AAA. 2019. Your Driving Costs. September. Available: https://exchange.aaa.com/wpcontent/uploads/2019/09/AAA-Your-Driving-Costs-2019.pdf. Accessed: January 2021.
(2) California Department of Transportation (Caltrans). 2002. 2000–2001 California Statewide Household Travel Survey Final Report. Available: https://trid.trb.org/view.aspx?id=681358. Accessed: January 2021.
(3) Litman, T. 2020. Parking Requirement Impacts on Housing Affordability. June. Available: https://www.vtpi.org/park-hou.pdf. Accessed: January 2021.</t>
  </si>
  <si>
    <t>B. Annual parking cost per space</t>
  </si>
  <si>
    <t>C. Average annual vehicle cost</t>
  </si>
  <si>
    <t>D. Elasticity of vehicle ownership with respect to total vehicle cost</t>
  </si>
  <si>
    <t>E. Adjustment factor from vehicle ownership to vehicle trips</t>
  </si>
  <si>
    <t>F. Adjustment factor from vehicle trips to VMT</t>
  </si>
  <si>
    <t>TRT-15</t>
  </si>
  <si>
    <t>T-12</t>
  </si>
  <si>
    <t>Would not be implemented alongside parking pricing</t>
  </si>
  <si>
    <t>% of employees participating</t>
  </si>
  <si>
    <t>0.6-7.7%</t>
  </si>
  <si>
    <t>This strategy will require project employers to offer employee parking cash-out. Cash-out is when employers provide employees with a choice of forgoing their current subsidized/free parking for a cash payment equivalent that is equal to or greater than the cost of the parking space. This encourages employees to use other modes of travel instead of single occupancy vehicles. This mode shift results in people driving less and thereby reduces VMT and GHG emissions.</t>
  </si>
  <si>
    <t>(1) Shoup, D. 2005. Parking Cash Out. Planners Advisory Service, American Planning Association. Available: http://shoup.bol.ucla.edu/ParkingCashOut.pdf. Accessed: January 2021.</t>
  </si>
  <si>
    <t>B. Percentage of employees eligible</t>
  </si>
  <si>
    <t>C. Percent reduction in commute VMT from implementation of measure</t>
  </si>
  <si>
    <t>PDT-1</t>
  </si>
  <si>
    <t>T-14</t>
  </si>
  <si>
    <t>this is in CAPCOA 2021. "recommended primarily for residential use but can be used with caution for other contexts"</t>
  </si>
  <si>
    <t>residential parking demand, residential parking supply, percent of project VMT generated by residents</t>
  </si>
  <si>
    <t>5-12.5%</t>
  </si>
  <si>
    <t>This strategy will reduce the total parking supply available at a residential project or site. Limiting the amount of parking available creates scarcity and adds additional time and inconvenience to trips made by private auto, thus disincentivizing driving as a mode of travel. Reducing the convenience of driving results in a shift to other modes and decreased VMT and thus a reduction in GHG emissions. When limiting parking supply, a best practice is to do so at sites that are located near high-quality alternative modes of travel (such as a rail station, frequent bus line, or in a higher density area with multiple walkable locations nearby). Limiting parking supply may also allow for more active uses on any given lot, which may support Strategies 2B1 and 2B2 by allowing for higher density construction. 
This strategy is ineffective in locations where unrestricted street parking or other off-site parking is available nearby and has adequate capacity to accommodate project-related vehicle parking demand. Evidence of the effects of reduced parking supply is strongest for residential developments.</t>
  </si>
  <si>
    <t>(1) California Department of Transportation (Caltrans). 2012. California Household Travel Survey (CHTS). Available: https://www.nrel.gov/transportation/secure-transportation-data/tsdccalifornia- travel-survey.html. Accessed: January 2021. 
(2) Chatman, D. 2013. "Does TOD need the T? On the importance of factors other than rail access." Journal of the American Planning Association 79, no. 1. Available: https://trid.trb.org/view/1243004 . Accessed: January 2021.</t>
  </si>
  <si>
    <t>B. Residential parking demand</t>
  </si>
  <si>
    <t>C. Project residential parking supply</t>
  </si>
  <si>
    <t>D. Percentage of project VMT generated by residents</t>
  </si>
  <si>
    <t>E. Percent of household VMT that is commute based</t>
  </si>
  <si>
    <t>F. Percent reduction in commute mode share by
driving among households in areas with scarce
parking</t>
  </si>
  <si>
    <t>T-16</t>
  </si>
  <si>
    <t>existing intersection density, future intersection density</t>
  </si>
  <si>
    <t>This strategy accounts for the VMT reduction achieved by a project that is designed with a higher density of intersections compared to the average intersection density in the United States. Increased intersection density is a proxy for street connectivity improvements, which help to facilitate a greater number of shorter trips and thus a reduction in GHG emissions. Example projects that increase intersection density would be building a new street network in a subdivision or retrofitting an existing street network to improve connectivity (e.g., converting cul-de-sacs to grid streets).</t>
  </si>
  <si>
    <t>(1) Fehr &amp; Peers. 2009. Proposed Trip Generation, Distribution, and Transit Mode Split Forecasts for the Bayview Waterfront Project Transportation Study.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
(3) U.S. Environmental Protection Agency, 2021. EnviroAtlas: Estimated Intersection Density of Walkable Roads. Available: https://enviroatlas.epa.gov/enviroatlas/DataFactSheets/pdf/Supplemental/Estimatedintersectiondensityofwalkableroads.pdf. Accessed: April 2021.</t>
  </si>
  <si>
    <t>B. Intersection density in project site with measure</t>
  </si>
  <si>
    <t>C. Average intersection density</t>
  </si>
  <si>
    <t>D. Elasticity of VMT with respect to intersection density</t>
  </si>
  <si>
    <t>SDT-1</t>
  </si>
  <si>
    <t>T-17</t>
  </si>
  <si>
    <t>existing &amp; future sidewalk length &amp; street length</t>
  </si>
  <si>
    <t>Different formula, some overlap in inputs</t>
  </si>
  <si>
    <t>This strategy will increase the sidewalk coverage to improve pedestrian access. Providing sidewalks and an enhanced pedestrian network encourages people to walk instead of drive. This mode shift results in a reduction in VMT and GHG emissions. When improving sidewalks, a best practice is to ensure they are contiguous and link externally with existing and planned pedestrian facilities. Barriers to pedestrian access and interconnectivity, such as walls, landscaping buffers, and slopes, should be minimized. The strategy is based on the share of vehicle trips which could easily shift to walking - on average, approximately 21.4 percent of vehicle trips are 1 mile or less (3).</t>
  </si>
  <si>
    <t>(1) Frank, L., Greenwald, M., Kavage, S. and Devlin, A. 2011. An Assessment of Urban Form and Pedestrian and Transit Improvements as an Integrated GHG Reduction Strategy. WSDOT Research Report WA-RD 765.1, Washington State Department of Transportation. April. Available: www.wsdot.wa.gov/research/reports/fullreports/765.1.pdf. Accessed: January 2021. 
(2) Handy, Susan, Glan-Claudia, Sciara, and Boarnet, Marlon. 2014. Impacts of Pedestrian Strategies on Passenger Vehicle Use and Greenhouse Gas Emissions: Policy Brief. September. Available: https://ww2.arb.ca.gov/sites/default/files/2020- 06/Impacts_of_Pedestrian_Strategies_on_Passenger_Vehicle_Use_and_Greenhouse_Gas_Emission s_Policy_Brief.pdf. Accessed: January 2021. 
(3) Federal Highway Administration (FHWA). 2019. 2017 National Household Travel Survey Popular Vehicle Trip Statistics. Available: https://nhts.ornl.gov/vehicle-trips. Accessed: January 2021.</t>
  </si>
  <si>
    <t>B. Existing street length in study area</t>
  </si>
  <si>
    <t>C. Existing sidewalk length in study area</t>
  </si>
  <si>
    <t>D. Sidewalk length in study area with measure</t>
  </si>
  <si>
    <t>E. Elasticity of VMT with respect to the ratio of
sidewalks-to-streets</t>
  </si>
  <si>
    <t>T-19</t>
  </si>
  <si>
    <t>existing bicycle mode share, existing auto mode share, existing &amp; future bikeway miles, average bicycle trip length, average auto trip length</t>
  </si>
  <si>
    <t>This strategy will increase the length of a city or neighborhood bikeway network. A bicycle network is an interconnected system of bike lanes, bike paths, and cycle tracks. Providing bicycle infrastructure with markings and signage helps to improve biking conditions (e.g., safety and convenience). In addition, expanded bikeway networks can increase access to and from transit hubs, thereby expanding the “catchment area” of the transit stop or station and increasing ridership. This encourages a mode shift from vehicles to bicycles, displacing VMT and thus reducing GHG emissions. When expanding a bicycle network, a best practice is to consider local or state bike lane width standards.</t>
  </si>
  <si>
    <t>(1) Federal Highway Administration (FHWA). 2017. National Household Travel Survey – 2017 Table Designer. Travel Day PMT by TRPTRANS by HH_CBSA. Available: https://nhts.ornl.gov/. Accessed: January 2021. 
(2) Pucher, J., Buehler, R. 2011. Analysis of Bicycling Trends and Policies in Large North American Cities: Lessons for New York. March. Available: http://www.utrc2.org/sites/default/files/pubs/analysis-bike-final_0.pdf. Accessed: January 2021.</t>
  </si>
  <si>
    <t>B. Existing bikeway miles (only Class I, II, and
IV) in neighborhood/city</t>
  </si>
  <si>
    <t>C. Bikeway miles (only Class I, II, and IV) in
neighborhood/city with measure</t>
  </si>
  <si>
    <t>D. Bicycle mode share in neighborhood/city</t>
  </si>
  <si>
    <t>E. Vehicle mode share in neighborhood/city</t>
  </si>
  <si>
    <t>F. Average one-way bicycle trip length in
neighborhood/city</t>
  </si>
  <si>
    <t>G. Average one-way vehicle trip length in
neighborhood/city</t>
  </si>
  <si>
    <t>H. Elasticity of bike commuters with respect to
bikeway miles per 10,000 population</t>
  </si>
  <si>
    <t>SDT-5</t>
  </si>
  <si>
    <t>T-18</t>
  </si>
  <si>
    <t>Grouped - LUT-9</t>
  </si>
  <si>
    <t>average bicycle trip length, average auto trip length, AADT on roadway, length of bicycle project, # activity centers near bicycle project</t>
  </si>
  <si>
    <t>part of LUT-9</t>
  </si>
  <si>
    <t>Trips on roadway with bikeway addition</t>
  </si>
  <si>
    <t>This strategy will construct or improve a single bicycle lane facility that connects to a larger existing bikeway network. Providing bicycle infrastructure helps to improve biking conditions within an area. This encourages a mode shift on the roadway parallel to the bicycle facility from vehicles to bicycles, displacing VMT and thus reducing GHG emissions. When constructing or improving a bicycle facility, a best practice is to consider local or state bike lane width standards.</t>
  </si>
  <si>
    <t>(1) California Air Resources Board (CARB). 2020d. Quantification Methodology for the Strategic Growth Council’s Affordable Housing and Sustainable Communities Program. September. Available: https://ww2.arb.ca.gov/sites/default/files/classic/cc/capandtrade/auctionproceeds/draft_sgc_ ahsc_qm_091620.pdf. Accessed: January 2021. 
(2) Federal Highway Administration (FHWA). 2017. National Household Travel Survey – 2017 Table Designer. Travel Day PT by TRPTRANS by HH_CBSA. Available: https://nhts.ornl.gov/. Accessed: January 2021.</t>
  </si>
  <si>
    <t>B. Percent of neighborhood/city VMT on parallel
roadway</t>
  </si>
  <si>
    <t>Average daily traffic (vehicle trips per day)</t>
  </si>
  <si>
    <t>One-way facility length</t>
  </si>
  <si>
    <t>Does the jurisdiction have a university?</t>
  </si>
  <si>
    <t>Jurisdiction population &lt; 250k?</t>
  </si>
  <si>
    <t>Number of key destinations within 1/4 mile of facility</t>
  </si>
  <si>
    <t>Number of key destinations between 1/4 and 1/2 mile from facility</t>
  </si>
  <si>
    <t>Facility type</t>
  </si>
  <si>
    <t>G. Existing regional average one-way bicycle trip length</t>
  </si>
  <si>
    <t>H. Existing regional average one-way vehicle trip length</t>
  </si>
  <si>
    <t>C. Active transportation adjustment factor</t>
  </si>
  <si>
    <t>D. Credits for activity centers near project</t>
  </si>
  <si>
    <t>E. Growth factor adjustment for facility type</t>
  </si>
  <si>
    <t>F. Annual days of use of new facility</t>
  </si>
  <si>
    <t>I. Days per year</t>
  </si>
  <si>
    <t>TRT-12</t>
  </si>
  <si>
    <t>T-21A</t>
  </si>
  <si>
    <t>2010 - combine with SD-5, LUT-9</t>
  </si>
  <si>
    <t>sub-county region, % of population that can access system, auto trip length</t>
  </si>
  <si>
    <t>This strategy will establish a bikeshare program. Bikeshare programs provide users with on-demand access to bikes for short-term rentals. This encourages a mode shift from vehicles to bicycles, displacing VMT and thus reducing GHG emissions. There are two primary types of pedal bikeshare programs: docked (station-based) and dockless (free-floating). When implementing a bikeshare program, a best practice is to discount bikeshare membership and dedicate bikeshare parking to encourage use of the service.</t>
  </si>
  <si>
    <t>(1) California Air Resources Board (CARB). 2020a. Revisiting Average Trip Length Defaults and Adjustment Factors for Quantifying VMT Reductions from Car Share, Bike Share, and Scooter Share Services. May. Available: https://ww2.arb.ca.gov/sites/default/files/classic//cc/capandtrade/auctionproceeds/sharedm obility_technical_052920.pdf. Accessed: January 2021. 
(2) Federal Highway Administration (FHWA). 2017. National Household Travel Survey – 2017 Table Designer. Travel Day PT by TRPTRANS by HH_CBSA. Available: https://nhts.ornl.gov/. Accessed: January 2021. 
(3) Federal Highway Administration (FHWA). 2018. Summary of Travel Trends 2017 – National Household Travel Survey. July. Available: https://www.fhwa.dot.gov/policyinformation/documents/2017_nhts_summary_travel_trends.p df. Accessed: January 2021. 
(4) Lazarus, J., Pourquier, J., Feng, F., Hammel, H., Shaheen, S. 2019. Bikesharing Evolution and Expansion: Understanding How Docked and Dockless Models Complement and Compete – A Case Study of San Francisco. Paper No. 19-02761. Annual Meeting of the Transportation Research Board: Washington, D.C. Available: https://trid.trb.org/view/1572878. Accessed: January 2021. 
(5) Metropolitan Transportation Commission (MTC). 2017. Plan Bay Area 2040 Final Supplemental Report – Travel Modeling Report. July. Available: http://2040.planbayarea.org/files/2020- 02/Travel_Modeling_PBA2040_Supplemental%20Report_7-2017.pdf. Accessed: January 2021.</t>
  </si>
  <si>
    <t>B. Percent of residences in neighborhood/city
with access to bikeshare system without
measure</t>
  </si>
  <si>
    <t>C. Percent of residences in neighborhood/city
with access to bikeshare system with measure</t>
  </si>
  <si>
    <t>H. Regional average one-way vehicle trip length</t>
  </si>
  <si>
    <t>D. Daily bikeshare trips per person</t>
  </si>
  <si>
    <t>E. Vehicle to bikeshare substitution rate</t>
  </si>
  <si>
    <t>F. Bikeshare average one-way trip length</t>
  </si>
  <si>
    <t>G. Daily vehicle trips per person</t>
  </si>
  <si>
    <t>TRT-9</t>
  </si>
  <si>
    <t>T-20A</t>
  </si>
  <si>
    <t>% of cars providing roundtrip vs one-way carshare, existing &amp; future % of population with carshare access, auto trip length</t>
  </si>
  <si>
    <t>0.4-0.7%</t>
  </si>
  <si>
    <t>This strategy will increase carshare access in the user’s neighborhood/city by deploying carshare vehicles. Carsharing offers people convenient access to a vehicle for personal or commuting purposes. This helps encourage transportation alternatives by reducing vehicle ownership, thereby avoiding VMT and associated GHG emissions. When implementing a carshare program, best practice is to discount carshare membership and provide priority parking for carshare vehicles to encourage use of the service.</t>
  </si>
  <si>
    <t>(1) Cervero, R., Golub, A., Nee, B. 2007. San Francisco City CarShare: Longer-Term Travel-Demand and Car Ownership Impacts. January. Available: https://iurd.berkeley.edu/wp/2006-07.pdf. Accessed: January 2021. 
(2) Lovejoy, K., Handy, S., Boarnet, M. 2013. Impacts of Carsharing on Passenger Vehicle Use and Greenhouse Gas Emissions Policy Brief. October. Available: https://ww2.arb.ca.gov/sites/default/files/2020- 06/Impacts_of_Carsharing_on_Passenger_Vehicle_Use_and_Greenhouse_Gas_Emissions_Policy_B rief.pdf. Accessed: January 2021. 
(3) San Diego Association of Governments (SANDAG). 2017. San Diego Regional Transportation Study. Volume 1: Technical Report. Available: https://www.sandag.org/uploads/publicationid/publicationid_2145_23025.pdf. Accessed: January 2021.</t>
  </si>
  <si>
    <t>B. Percent of residences in neighborhood/city with
access to carsharing without measure</t>
  </si>
  <si>
    <t>C. Percent of residences in neighborhood/city with
access to carsharing with measure</t>
  </si>
  <si>
    <t>D. Percent of adults with carshare access who
become members</t>
  </si>
  <si>
    <t>E. Percent VMT reduction by carshare members</t>
  </si>
  <si>
    <t>T-22</t>
  </si>
  <si>
    <t>N/A</t>
  </si>
  <si>
    <t># of targeted households, % participating households, vehicle trip reduction by participating households</t>
  </si>
  <si>
    <t>Minor change - same formula, some values may need updating</t>
  </si>
  <si>
    <t>This strategy will target residences in the neighborhood/city with community-based travel planning (CBTP). CBTP is a residential-based approach to outreach that provides households with customized information, incentives, and support to encourage the use of transportation alternatives in place of single occupancy vehicles, thereby reducing VMT and associated GHG emissions. CBTP involves teams of trained travel advisors visiting all households within a targeted geographic area, having tailored conversations about residents’ travel needs, and educating residents about the various transportation options available to them. Due to the personalized outreach method, communities are typically targeted in phases.</t>
  </si>
  <si>
    <t>(1) Metropolitan Transportation Commission (MTC). 2021. Plan Bay Area 2050, Supplemental Report. (forthcoming)</t>
  </si>
  <si>
    <t>B. Residences in neighborhood/city</t>
  </si>
  <si>
    <t>C. Residences in neighborhood/city targeted
with CBTP</t>
  </si>
  <si>
    <t>D. Percent of targeted residences that
participate</t>
  </si>
  <si>
    <t>E. Percent vehicle trip reduction by
participating residences</t>
  </si>
  <si>
    <t>SDT-2</t>
  </si>
  <si>
    <t>T-34</t>
  </si>
  <si>
    <t>percentage of streets within project with traffic calming improvements, percentage of intersections with traffic calming improvements</t>
  </si>
  <si>
    <t>0.25-1%</t>
  </si>
  <si>
    <t>N/A - New Measure, see lookup table</t>
  </si>
  <si>
    <t>Providing traffic calming measures encourages people to walk or bike instead of using a vehicle. This mode shift will result in a decrease in VMT. Project design will include pedestrian/bicycle safety and traffic calming measures in excess of jurisdiction requirements. Roadways will be designed to reduce motor vehicle speeds and encourage pedestrian and bicycle trips with traffic calming features. Traffic calming features may include: marked crosswalks, count-down signal timers, curb extensions, speed tables, raised crosswalks, raised intersections, median islands, tight corner radii, roundabouts or mini-circles, on-street parking, planter strips with street trees, chicanes/chokers, and others.</t>
  </si>
  <si>
    <t>(1) Cambridge Systematics. Moving Cooler: An Analysis of Transportation Strategies for Reducing Greenhouse Gas Emissions.(p. B-25) http://www.movingcooler.info/Library/Documents/Moving%20Cooler_Appendices _Complete_102209.pdf 
(2) Sacramento Metropolitan Air Quality Management District (SMAQMD) Recommended Guidance for Land Use Emission Reductions. (p.13) http://www.airquality.org/ceqa/GuidanceLUEmissionReductions.pdf</t>
  </si>
  <si>
    <t>B. Percentage of streets within project with traffic calming improvements</t>
  </si>
  <si>
    <t>C. Percentage of intersections within project with traffic calming improvements</t>
  </si>
  <si>
    <t>SDT-6 Bike Parking in Non-Residential Projects &amp; SDT-7 Bike Parking in Multi-Unit Resi</t>
  </si>
  <si>
    <t>T-9 End of Trip Bicycle Facilities / T-33 Bike Parking</t>
  </si>
  <si>
    <t>Grouped - LUT-9; end of trip bike facilities includes parking, lockers, showers</t>
  </si>
  <si>
    <t>LUT-9; alternately up to 0.625%</t>
  </si>
  <si>
    <t>0.1-4.4%; Not Quantified</t>
  </si>
  <si>
    <t>This strategy will install and maintain end-of-trip facilities for employee use. End-of-trip facilities include bike parking, bike lockers, showers, and personal lockers. The provision of secure bike parking and related facilities encourages commuting by bicycle, thereby reducing VMT and GHG emissions.</t>
  </si>
  <si>
    <t>(1) Buehler, R. 2012. Determinants of bicycle commuting in the Washington, DC region: The role bicycle parking, cyclist showers, and free car parking at work. Transportation Research Part D, 17, 525– 531. Available: http://www.pedbikeinfo.org/cms/downloads/DeterminantsofBicycleCommuting.pdf. Accessed: January 2021. 
(2) Federal Highway Administration (FHWA). 2017a. National Household Travel Survey – 2017 Table Designer. Travel Day PT by TRPTRANS by HH_CBSA. Available: https://nhts.ornl.gov/. Accessed: January 2021. 
(3) Federal Highway Administration (FHWA). 2017b. National Household Travel Survey – 2017 Table Designer. Workers by WRKTRANS by HH_CBSA. Available: https://nhts.ornl.gov/. Accessed: January 2021.</t>
  </si>
  <si>
    <t>C. Existing bicycle trip length for all trips in region</t>
  </si>
  <si>
    <t>D. Existing vehicle trip length for all trips in region</t>
  </si>
  <si>
    <t>E. Existing bicycle mode share for work trips in region</t>
  </si>
  <si>
    <t>F. Existing vehicle mode share for work trips in region</t>
  </si>
  <si>
    <t>B. Bike mode adjustment factor</t>
  </si>
  <si>
    <t>TST-3</t>
  </si>
  <si>
    <t>T-24</t>
  </si>
  <si>
    <t>existing &amp; future bus transit route length, existing transit mode share, existing auto mode share</t>
  </si>
  <si>
    <t>0.1-8.2%</t>
  </si>
  <si>
    <t>Minor change - similar formula, replacement of auto mode share with G. Ratio of vehicle trip reduction to VMT</t>
  </si>
  <si>
    <t>This strategy will expand the local transit network by adding or modifying existing transit service to enhance the service near the project site. This will encourage the use of transit and therefore reduce VMT and associated GHG emissions. 
There are two primary means of expanding the transit network: by increasing the frequency of service, thereby reducing average wait times and increasing convenience, or by expanding new service to cover areas previously outside the network’s service area. This strategy is focused on providing additional transit network coverage, with no changes to transit frequency. Coverage can also be applied to extending hours of service. Strategy 5B is focused on increasing transit service frequency.</t>
  </si>
  <si>
    <t>(1)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(2) Federal Highway Administration (FHWA). 2017. National Household Travel Survey – 2017 Table Designer. Average Vehicle Occupancy by HHSTFIPS. Available: https://nhts.ornl.gov/. Accessed: January 2021.</t>
  </si>
  <si>
    <t>B. Total transit service miles in
neighborhood/city before expansion</t>
  </si>
  <si>
    <t>C. Total transit service miles in
neighborhood/city after expansion</t>
  </si>
  <si>
    <t>D. Transit mode share in neighborhood/city</t>
  </si>
  <si>
    <t>E. Elasticity of transit demand with respect to
service miles</t>
  </si>
  <si>
    <t>F. Statewide mode shift factor</t>
  </si>
  <si>
    <t>G. Ratio of vehicle trip reduction to VMT</t>
  </si>
  <si>
    <t>TST-4</t>
  </si>
  <si>
    <t>T-25</t>
  </si>
  <si>
    <t>existing &amp; future peak period headway, existing total transit routes, # of routes improved, existing transit mode share, existing auto mode share</t>
  </si>
  <si>
    <t>0.02-2.5%</t>
  </si>
  <si>
    <t>This strategy will increase transit frequency on one or more transit lines serving the neighborhood/city. Increased transit frequency reduces waiting and overall travel times, which improves the user experience and increases the attractiveness of transit service. This results in a mode shift from single occupancy vehicles to transit, which reduces VMT and associated GHG emissions.</t>
  </si>
  <si>
    <t>(1)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(4) San Diego Association of Governments (SANDAG). 2019. Mobility Management VMT Reduction Calculator Tool – Design Document. June. Available: https://www.icommutesd.com/docs/default-source/planning/tool-design-document_final_7- 17-19.pdf?sfvrsn=ec39eb3b_2. Accessed: January 2021.</t>
  </si>
  <si>
    <t>B. Percent increase in transit frequency</t>
  </si>
  <si>
    <t>C. Level of implementation</t>
  </si>
  <si>
    <t>E. Transit mode share in neighborhood/city</t>
  </si>
  <si>
    <t>F. Vehicle mode share in neighborhood/city</t>
  </si>
  <si>
    <t>D. Elasticity of transit ridership with respect to
frequency of service</t>
  </si>
  <si>
    <t>G. Statewide mode shift factor</t>
  </si>
  <si>
    <t>TST-2 Transit Access Improvements</t>
  </si>
  <si>
    <t>T-26</t>
  </si>
  <si>
    <t>Grouped with TST-3 and TST-4</t>
  </si>
  <si>
    <t>% of transit routes affected, % change in transit travel time, existing transit mode share, existing auto mode share</t>
  </si>
  <si>
    <t>This strategy will implement transit-supportive treatments on the transit routes serving the neighborhood/city. Transit-supportive treatments incorporate a mix of roadway infrastructure improvements and/or traffic signal modifications to improve transit travel times and reliability. This results in a mode shift from single occupancy vehicles to transit, which reduces VMT and the associated GHG emissions. Treatments can include transit signal priority, bus-only signal phases, queue jumps, curb extensions to speed passenger loading, and dedicated bus lanes.</t>
  </si>
  <si>
    <t>(1)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San Diego Association of Governments (SANDAG). 2019. Mobility Management VMT Reduction Calculator Tool – Design Document. June. Available: https://www.icommutesd.com/docs/default-source/planning/tool-design-document_final_7-17-19.pdf?sfvrsn=ec39eb3b_2. Accessed: January 2021.
(4) Transportation Research Board (TRB). 2007. Transit Cooperative Research Program Report 118: Bus Rapid Transit Practitioner’s Guide. Available: https://nacto.org/docs/usdg/tcrp118brt_practitioners_kittleson.pdf. Accessed: January 2021.</t>
  </si>
  <si>
    <t>B. Percent of neighborhood/city transit
routes that receive treatments</t>
  </si>
  <si>
    <t>C. Percent change in transit travel time due
to treatments</t>
  </si>
  <si>
    <t>E. Transit mode share in
neighborhood/city</t>
  </si>
  <si>
    <t>F. Vehicle mode share in
neighborhood/city</t>
  </si>
  <si>
    <t>D. Elasticity of transit ridership with
respect to transit travel time</t>
  </si>
  <si>
    <t>T-27</t>
  </si>
  <si>
    <t>existing &amp; future transit fare, existing transit mode share, existing auto mode share</t>
  </si>
  <si>
    <t>Minor change - same formula, one new variable</t>
  </si>
  <si>
    <t>This strategy will reduce transit fares on the transit lines serving the neighborhood/city. A reduction in transit fares creates incentives to shift travel to transit from single occupancy vehicles and other traveling modes, which reduces VMT and associated GHG emissions. Transit fare reductions can be implemented systemwide or in specific fare-free or reduced-fare zones. 
This strategy differs from Strategy 1D1, which can be offered through employer-based benefits programs in which the employer fully or partially pays the employee’s cost of transit.</t>
  </si>
  <si>
    <t>B. Percent reduction in transit fare with
measure</t>
  </si>
  <si>
    <t>C. Percent of neighborhood/city transit
routes that receive reduced fares</t>
  </si>
  <si>
    <t>D. Elasticity of transit ridership with respect
to transit fare</t>
  </si>
  <si>
    <t>SDT-3</t>
  </si>
  <si>
    <t>% of area covered by new service, average microtransit trip length, average auto trip length, auto mode share</t>
  </si>
  <si>
    <t>0.5-12.7%</t>
  </si>
  <si>
    <t>1D|2A|4C|5A|5B|5C|5D</t>
  </si>
  <si>
    <t>1D</t>
  </si>
  <si>
    <t>4C|4D</t>
  </si>
  <si>
    <t>4I</t>
  </si>
  <si>
    <t>Main</t>
  </si>
  <si>
    <t>4C | 4D</t>
  </si>
  <si>
    <t>Multi-strategy</t>
  </si>
  <si>
    <t>1D1 | 1D2 | 5D | 3A (partial)</t>
  </si>
  <si>
    <t>T-7.1</t>
  </si>
  <si>
    <t>T-3.1</t>
  </si>
  <si>
    <t>T-8.1</t>
  </si>
  <si>
    <t>T-10.1</t>
  </si>
  <si>
    <t>T-9.2</t>
  </si>
  <si>
    <t>T-19.1</t>
  </si>
  <si>
    <t>T-18.1</t>
  </si>
  <si>
    <t>T-18.2</t>
  </si>
  <si>
    <t>T-18.3</t>
  </si>
  <si>
    <t>Facility Type</t>
  </si>
  <si>
    <t>T-21-A.1</t>
  </si>
  <si>
    <t>T-9.1</t>
  </si>
  <si>
    <t>T-9.3</t>
  </si>
  <si>
    <t>Project Type List</t>
  </si>
  <si>
    <t>Bikeway Classification List</t>
  </si>
  <si>
    <t>Yes/No List</t>
  </si>
  <si>
    <t>List of Fare/Parking Pricing Units</t>
  </si>
  <si>
    <t>Days telecommuting</t>
  </si>
  <si>
    <t>Calculated Value</t>
  </si>
  <si>
    <t>Source/Reference</t>
  </si>
  <si>
    <t>Linearly extrapolated from: Cambridge Systematics. Moving Cooler: An Analysis of Transportation Strategies for Reducing Greenhouse Gas Emissions. 2009. Technical Appendices. Prepared for the Urban Land Institute. www.reconnectingamerica.org/assets/Uploads/2009movingcoolerexecsumandappend.pdf</t>
  </si>
  <si>
    <t>From Project</t>
  </si>
  <si>
    <t>San Francisco-Oakland-Hayward</t>
  </si>
  <si>
    <t>Match</t>
  </si>
  <si>
    <t>Place Type</t>
  </si>
  <si>
    <t>Reduction in Employee Commute VMT</t>
  </si>
  <si>
    <t>Core-Based Statistical Area</t>
  </si>
  <si>
    <t>Mode Share</t>
  </si>
  <si>
    <t>Transit Mode Share of Work Trips</t>
  </si>
  <si>
    <t>Vehicle Trip Length (miles)</t>
  </si>
  <si>
    <t>Trip Length (miles)</t>
  </si>
  <si>
    <t>Bicycle Mode Share</t>
  </si>
  <si>
    <t>Average Daily
Traffic (vehicle
trips per day)</t>
  </si>
  <si>
    <t>One-way
Facility
Length1</t>
  </si>
  <si>
    <t>Population &gt;= 250,000</t>
  </si>
  <si>
    <t>University Town</t>
  </si>
  <si>
    <t xml:space="preserve"> within ½ Mile of Facility</t>
  </si>
  <si>
    <t xml:space="preserve"> Within ¼ Mile of Facility</t>
  </si>
  <si>
    <t>Number of Key
Destinations3</t>
  </si>
  <si>
    <t>Credit within ½ Mile of Facility</t>
  </si>
  <si>
    <t>Credit Within ¼ Mile of Facility</t>
  </si>
  <si>
    <t>Transit</t>
  </si>
  <si>
    <t>Vehicle</t>
  </si>
  <si>
    <t>Bicycle</t>
  </si>
  <si>
    <t>From (&gt;=)</t>
  </si>
  <si>
    <t>To (&lt;=)</t>
  </si>
  <si>
    <t>Yes</t>
  </si>
  <si>
    <t>No</t>
  </si>
  <si>
    <t>Project Type</t>
  </si>
  <si>
    <t>Bikeway Classification</t>
  </si>
  <si>
    <t>Yes/No</t>
  </si>
  <si>
    <t>Pricing Units</t>
  </si>
  <si>
    <t># of days telecommuting</t>
  </si>
  <si>
    <t>% change in commute VMT for 1% of employees telecommuting</t>
  </si>
  <si>
    <t>Urban</t>
  </si>
  <si>
    <t>Los Angeles-Long Beach-Anaheim</t>
  </si>
  <si>
    <t>New Class I bike path or Class IV bikeway</t>
  </si>
  <si>
    <t>Parking only</t>
  </si>
  <si>
    <t>Residential</t>
  </si>
  <si>
    <t>Network of bikeways</t>
  </si>
  <si>
    <t>$/trip</t>
  </si>
  <si>
    <t>Suburban center</t>
  </si>
  <si>
    <t>Riverside-San Bernardino-Ontario</t>
  </si>
  <si>
    <t>New Class II bike lane</t>
  </si>
  <si>
    <t>Parking with showers, bike lockers, and personal lockers</t>
  </si>
  <si>
    <t>Commercial</t>
  </si>
  <si>
    <t>Single bikeway</t>
  </si>
  <si>
    <t>$/hour</t>
  </si>
  <si>
    <t>Low-density suburb</t>
  </si>
  <si>
    <t>Sacramento-Roseville-Arden-Arcade</t>
  </si>
  <si>
    <t>Conversion from Class II to IV</t>
  </si>
  <si>
    <t>Industrial</t>
  </si>
  <si>
    <t>$/day</t>
  </si>
  <si>
    <t>Land use intensity too low for application of VMT tool</t>
  </si>
  <si>
    <t>San Diego-Carlsbad</t>
  </si>
  <si>
    <t>Mixed Use</t>
  </si>
  <si>
    <t>$/month</t>
  </si>
  <si>
    <t>Special Use</t>
  </si>
  <si>
    <t>$/year</t>
  </si>
  <si>
    <t>San Jose-Sunnyvale-Santa Clara</t>
  </si>
  <si>
    <t>Other</t>
  </si>
  <si>
    <t>Placetype</t>
  </si>
  <si>
    <t>One-way length of average auto commute (miles)</t>
  </si>
  <si>
    <t>[Neighborhood/City] transit mode share (all trips)</t>
  </si>
  <si>
    <t>[Neighborhood/City] bicycle mode share (all trips)</t>
  </si>
  <si>
    <t>[Neighborhood/City] auto mode share (all trips)</t>
  </si>
  <si>
    <t>Regional average one-way bicycle trip length (miles)</t>
  </si>
  <si>
    <t>Regional average one-way auto trip length (miles)</t>
  </si>
  <si>
    <t>Existing bicycle mode share for work trips in region</t>
  </si>
  <si>
    <t>Default transit mode share of work trips</t>
  </si>
  <si>
    <t>Existing vehicle mode share for work trips in region</t>
  </si>
  <si>
    <t>[Neighborhood/City] intersection density (int/sq mi)</t>
  </si>
  <si>
    <t>Is the jurisdiction a university town?</t>
  </si>
  <si>
    <t>Jurisdiction population</t>
  </si>
  <si>
    <t>Households in [Neighborhood/City]</t>
  </si>
  <si>
    <t>Transit mode share in TAZs in jurisdiction NOT close to high quality transit</t>
  </si>
  <si>
    <t>Auto mode share in TAZs in jurisdiction NOT close to high quality transit</t>
  </si>
  <si>
    <t>Tool use variables</t>
  </si>
  <si>
    <t>Project TAZ</t>
  </si>
  <si>
    <t>Source:</t>
  </si>
  <si>
    <t>Alameda CTC Model</t>
  </si>
  <si>
    <t>EPA EnviroAtlas</t>
  </si>
  <si>
    <t>Wikipedia</t>
  </si>
  <si>
    <t>RAW</t>
  </si>
  <si>
    <t>TAZ</t>
  </si>
  <si>
    <t>JURIS</t>
  </si>
  <si>
    <t>SUBREGION</t>
  </si>
  <si>
    <t>NAME</t>
  </si>
  <si>
    <t>TOTHH</t>
  </si>
  <si>
    <t>TOTPOP</t>
  </si>
  <si>
    <t>TACRES</t>
  </si>
  <si>
    <t>TEMP</t>
  </si>
  <si>
    <t>Sq_Mi</t>
  </si>
  <si>
    <t>TOTPOPEMP</t>
  </si>
  <si>
    <t>service_po</t>
  </si>
  <si>
    <t>drive_mode</t>
  </si>
  <si>
    <t>jobs_pct</t>
  </si>
  <si>
    <t>NEAR_BART</t>
  </si>
  <si>
    <t>Place type of project/site</t>
  </si>
  <si>
    <t>Default average length of one-way vehicle commute trip in region (miles)</t>
  </si>
  <si>
    <t>Default transit mode share in neighborhood/city</t>
  </si>
  <si>
    <t>Default bicycle mode share in neighborhood/city</t>
  </si>
  <si>
    <t>Default vehicle mode share in neighborhood/city</t>
  </si>
  <si>
    <t>Default average one-way bicycle trip length in neighborhood/city (miles)</t>
  </si>
  <si>
    <t>Default average one-way vehicle trip length in neighborhood/city (miles)</t>
  </si>
  <si>
    <t>Default bicycle mode share for work trips in region</t>
  </si>
  <si>
    <t>Default vehicle mode share for work trips in region</t>
  </si>
  <si>
    <t>Default average intersection density (int/sq mi)</t>
  </si>
  <si>
    <t>Households in neighborhood/city</t>
  </si>
  <si>
    <t>Default transit mode share in surrounding city</t>
  </si>
  <si>
    <t>Default auto mode share in surrounding city</t>
  </si>
  <si>
    <t>Union City</t>
  </si>
  <si>
    <t>South</t>
  </si>
  <si>
    <t>South County</t>
  </si>
  <si>
    <t>Berkeley</t>
  </si>
  <si>
    <t>North</t>
  </si>
  <si>
    <t>North County</t>
  </si>
  <si>
    <t>Oakland</t>
  </si>
  <si>
    <t>Alameda</t>
  </si>
  <si>
    <t>Fremont</t>
  </si>
  <si>
    <t>Pleasanton</t>
  </si>
  <si>
    <t>East</t>
  </si>
  <si>
    <t>East County</t>
  </si>
  <si>
    <t>Castro Valley</t>
  </si>
  <si>
    <t>Central</t>
  </si>
  <si>
    <t>Central County</t>
  </si>
  <si>
    <t>Livermore</t>
  </si>
  <si>
    <t>Albany</t>
  </si>
  <si>
    <t>Emeryville</t>
  </si>
  <si>
    <t>Ashland</t>
  </si>
  <si>
    <t>San Leandro</t>
  </si>
  <si>
    <t>San Lorenzo</t>
  </si>
  <si>
    <t>Piedmont</t>
  </si>
  <si>
    <t>Hayward</t>
  </si>
  <si>
    <t>Newark</t>
  </si>
  <si>
    <t>Alameda County</t>
  </si>
  <si>
    <t>Cherryland</t>
  </si>
  <si>
    <t>Dublin</t>
  </si>
  <si>
    <t>Reduction Cap by Type</t>
  </si>
  <si>
    <t>Final Reduction by Type</t>
  </si>
  <si>
    <t>Status</t>
  </si>
  <si>
    <t>Conflict</t>
  </si>
  <si>
    <t>Remaining VMT</t>
  </si>
  <si>
    <t>Implement Subsidized or Discounted Transit Program - All</t>
  </si>
  <si>
    <t>Implement Subsidized or Discounted Transit Program - No Emp</t>
  </si>
  <si>
    <t xml:space="preserve"> </t>
  </si>
  <si>
    <t>Full conflict text</t>
  </si>
  <si>
    <t>Strategies with conflicts</t>
  </si>
  <si>
    <t>Conflict Calculation with status taken into account</t>
  </si>
  <si>
    <t>Total</t>
  </si>
  <si>
    <t>Conflict Text for each TDM</t>
  </si>
  <si>
    <t>Level of application:</t>
  </si>
  <si>
    <t xml:space="preserve">Type of VMT affected: </t>
  </si>
  <si>
    <t>Max VMT reduction:</t>
  </si>
  <si>
    <t>Is the program contractually required of the developer</t>
  </si>
  <si>
    <t>user input, source (1)</t>
  </si>
  <si>
    <t xml:space="preserve">or property owner and accompanied by a regular </t>
  </si>
  <si>
    <t>performance monitoring and reporting program?</t>
  </si>
  <si>
    <t>% reduction in commute VMT</t>
  </si>
  <si>
    <t>coefficient, source (1)</t>
  </si>
  <si>
    <t>Sources:</t>
  </si>
  <si>
    <t>% reduction in vehicle mode share of employee commute trips</t>
  </si>
  <si>
    <t>Adjustment from vehicle mode share to commute VMT</t>
  </si>
  <si>
    <t>1C. Employer Carpool Program</t>
  </si>
  <si>
    <t>Alameda CTC model</t>
  </si>
  <si>
    <t>% reduction in employee commute VMT</t>
  </si>
  <si>
    <t>Transit fare unit</t>
  </si>
  <si>
    <t>Average transit fare without subsidy</t>
  </si>
  <si>
    <t>Subsidy amount</t>
  </si>
  <si>
    <t>Percent of employees eligible for subsidy</t>
  </si>
  <si>
    <t>User override of transit mode share of work trips</t>
  </si>
  <si>
    <t>Transit mode share of work trips used for calculation</t>
  </si>
  <si>
    <t>calculated</t>
  </si>
  <si>
    <t>Elasticity of transit boardings with respect to transit fare price</t>
  </si>
  <si>
    <t>constant, source (2, 3, 4)</t>
  </si>
  <si>
    <t>Percent of transit trips that would otherwise be made in a vehicle</t>
  </si>
  <si>
    <t>constant, source (2)</t>
  </si>
  <si>
    <t>Conversion factor of vehicle trips to VMT</t>
  </si>
  <si>
    <t>standard assumption</t>
  </si>
  <si>
    <t>Subsidy amount is capped at 100% of average transit fare without subsidy</t>
  </si>
  <si>
    <t>Percent of residents eligible for subsidy</t>
  </si>
  <si>
    <t>Percent of project-generated VMT from residents</t>
  </si>
  <si>
    <t>User override of transit mode share in neighborhood/city</t>
  </si>
  <si>
    <t>Transit mode share in neighborhood/city used for calculation</t>
  </si>
  <si>
    <t>Does employer sponsor a vanpool program?</t>
  </si>
  <si>
    <t>Default % of employees that participate in vanpool program</t>
  </si>
  <si>
    <t>User override of % of employees that participate</t>
  </si>
  <si>
    <t>Vanpool participation rate used for calculation</t>
  </si>
  <si>
    <t>Use Model</t>
  </si>
  <si>
    <t>User override of length of one-way vehicle commute trip in region</t>
  </si>
  <si>
    <t>Length of one-way vehicle commute trip in region used for calculation</t>
  </si>
  <si>
    <t>Default average length of one-way vanpool commute trip (miles)</t>
  </si>
  <si>
    <t>User override of length of one-way vanpool commute trip</t>
  </si>
  <si>
    <t>Length of one-way vanpool commute trip used for calculation</t>
  </si>
  <si>
    <t>Average vanpool occupancy (including driver)</t>
  </si>
  <si>
    <t>If the user override of vanpool participation rate exceeds maximum of 15%, the default value will be used, source (1, 2)</t>
  </si>
  <si>
    <t>1F. Employer Telework Program</t>
  </si>
  <si>
    <t xml:space="preserve">A telework program enables employees to work from home or a remote location on a periodic basis. Depending on the nature of the work, schedules can range from full-time, specific days of the week, or as needed. The VMT impacts of telework are similar to a flexible work schedule program, which enables employees to work long hours in exchange for one day off every week or two. </t>
  </si>
  <si>
    <t>% of employees who participate</t>
  </si>
  <si>
    <t>Days/week average employee telecommutes</t>
  </si>
  <si>
    <t>coefficient, source (1, 2)</t>
  </si>
  <si>
    <t xml:space="preserve">(1). Cambridge Systematics. 2009. "Moving Cooler: An Analysis of Transportation Strategies for Reducing Greenhouse Gas Emissions." Technical Appendices. Prepared for the Urban Land Institute. www.reconnectingamerica.org/assets/Uploads/2009movingcoolerexecsumandappend.pdf
(2). California Air Pollution Control Officers Association. 2010. "Quantifying Greenhouse Gas Mitigation Measures." www.capcoa.org/wp-content/uploads/2010/11/CAPCOA-Quantification-Report-9-14-Final.pdf </t>
  </si>
  <si>
    <t xml:space="preserve">Is the project within 0.5 mile of a rail transit station </t>
  </si>
  <si>
    <t>(e.g., BART, ACE, Capitol Corridor)?</t>
  </si>
  <si>
    <t>User override of transit mode share in surrounding city</t>
  </si>
  <si>
    <t>Transit mode share used for calculation</t>
  </si>
  <si>
    <t>Ratio of transit mode share for TOD area with strategy compared to</t>
  </si>
  <si>
    <t>constant, source (4)</t>
  </si>
  <si>
    <t>existing transit mode share in surrounding city</t>
  </si>
  <si>
    <t>User override of auto mode share in surrounding city</t>
  </si>
  <si>
    <t>Auto mode share used for calculation</t>
  </si>
  <si>
    <t>Transit mode share is capped at 27%, source (3).</t>
  </si>
  <si>
    <t>Residential density of project development (dwelling units per acre)</t>
  </si>
  <si>
    <t>Residential density of typical development (dwelling units per acre)</t>
  </si>
  <si>
    <t>User override of residential density of typical development</t>
  </si>
  <si>
    <t>Residential density of typical development used for calculation</t>
  </si>
  <si>
    <t>Elasticity of VMT with respect to residential density</t>
  </si>
  <si>
    <t>Change in VMT (as compared to single-use project)</t>
  </si>
  <si>
    <t>Job density of project development (jobs per acre)</t>
  </si>
  <si>
    <t>Job density of typical development (jobs per acre)</t>
  </si>
  <si>
    <t>User override of job density of typical development</t>
  </si>
  <si>
    <t>Job density of typical development used for calculation</t>
  </si>
  <si>
    <t>Elasticity of VMT with respect to Job density</t>
  </si>
  <si>
    <t>% of units in project that are deed-restricted BMR housing</t>
  </si>
  <si>
    <t>Elasticity</t>
  </si>
  <si>
    <t>% BMR capped at 30%</t>
  </si>
  <si>
    <t>Parking price unit</t>
  </si>
  <si>
    <t>Baseline parking price</t>
  </si>
  <si>
    <t>Proposed parking price</t>
  </si>
  <si>
    <t>% change in parking price</t>
  </si>
  <si>
    <t>Share of project users paying for parking</t>
  </si>
  <si>
    <t>Elasticity of parking demand with respect to parking price</t>
  </si>
  <si>
    <t>constant, source (1)</t>
  </si>
  <si>
    <t>Ratio of vehicle trip reduction to VMT</t>
  </si>
  <si>
    <t>% increase in parking price is capped at 50%</t>
  </si>
  <si>
    <t>Annual parking cost per space</t>
  </si>
  <si>
    <t>Default average annual vehicle cost</t>
  </si>
  <si>
    <t>User override of average annual vehicle cost</t>
  </si>
  <si>
    <t>Average annual vehicle cost used for calculation</t>
  </si>
  <si>
    <t>Elasticity of vehicle ownership with respect to total vehicle cost</t>
  </si>
  <si>
    <t>constant, source (3)</t>
  </si>
  <si>
    <t>Adjustment factor from vehicle ownership to vehicle trips</t>
  </si>
  <si>
    <t>Adjustment factor from vehicle trips to VMT</t>
  </si>
  <si>
    <t>Annual parking cost per space is capped at $3,600</t>
  </si>
  <si>
    <t>3B. Parking Cash Out</t>
  </si>
  <si>
    <t>% reduction in commute VMT from implementation of strategy</t>
  </si>
  <si>
    <t xml:space="preserve">Sources:  </t>
  </si>
  <si>
    <t>Residential parking demand (# of spaces)</t>
  </si>
  <si>
    <t>Project residential parking supply</t>
  </si>
  <si>
    <t>% of project VMT generated by residents</t>
  </si>
  <si>
    <t>% of household VMT that is commute based</t>
  </si>
  <si>
    <t xml:space="preserve">% reduction in commute mode share by driving among </t>
  </si>
  <si>
    <t>households in areas with scarce parking</t>
  </si>
  <si>
    <t>Would the project provide bike parking?</t>
  </si>
  <si>
    <t>User override of one-way bicycle trip length in neighborhood/city (miles)</t>
  </si>
  <si>
    <t>One-way bicycle trip length used for calculation (miles)</t>
  </si>
  <si>
    <t>User override of one-way vehicle trip length in neighborhood/city (miles)</t>
  </si>
  <si>
    <t>One-way vehicle trip length in neighborhood/city used for calculation (miles)</t>
  </si>
  <si>
    <t>User override of bicycle mode share for work trips in region</t>
  </si>
  <si>
    <t>Bicycle mode share for work trips used for calculation</t>
  </si>
  <si>
    <t>User override of vehicle mode share for work trips in region</t>
  </si>
  <si>
    <t>Vehicle mode share for work trips used for calculation</t>
  </si>
  <si>
    <t>Type of Facility</t>
  </si>
  <si>
    <t>Bike mode adjustment factor</t>
  </si>
  <si>
    <t>User override of average intersection density (int/sq mi)</t>
  </si>
  <si>
    <t>Intersection density used for calculation (int/sq mi)</t>
  </si>
  <si>
    <t>Intersection density in project site with strategy (int/sq mi)</t>
  </si>
  <si>
    <t>Elasticity of VMT with respect to intersection density</t>
  </si>
  <si>
    <t>Existing sidewalk length in study area (miles)</t>
  </si>
  <si>
    <t>Existing street length in study area (miles)</t>
  </si>
  <si>
    <t>Ratio of sidewalk length to street length</t>
  </si>
  <si>
    <t>Sidewalk length in study area with strategy (miles)</t>
  </si>
  <si>
    <t>Ratio of sidewalk length to street length with strategy</t>
  </si>
  <si>
    <t>% change in ratio of sidewalk length to street length</t>
  </si>
  <si>
    <t>Elasticity of VMT with respect to the ratio of sidewalks-to-streets</t>
  </si>
  <si>
    <t>constant, source (1, 2)</t>
  </si>
  <si>
    <t>Would the project expand a network of bikeways</t>
  </si>
  <si>
    <t>or add a single bikeway?</t>
  </si>
  <si>
    <t>User override of bicycle mode share in neighborhood/city</t>
  </si>
  <si>
    <t>Bicycle mode share used for calculation</t>
  </si>
  <si>
    <t>User override of vehicle mode share in neighborhood/city</t>
  </si>
  <si>
    <t>Vehicle mode share used for calculation</t>
  </si>
  <si>
    <t>Are any of the current or proposed bikeways in neighborhood/city classified as Class III?</t>
  </si>
  <si>
    <t>Info on facility types</t>
  </si>
  <si>
    <t>Existing bikeway miles (only Class I, II, and IV) in neighborhood/city</t>
  </si>
  <si>
    <t>Bikeway miles (only Class, I, II, and IV) in neighborhood/city with strategy</t>
  </si>
  <si>
    <t>% change in bikeway miles (only Class I, II, and IV)</t>
  </si>
  <si>
    <t>Elasticity of bike commuters with respect to bikeway miles per 10,000 population</t>
  </si>
  <si>
    <t>% change in bikeway miles is capped at 1000%.</t>
  </si>
  <si>
    <t>% of neighborhood/city VMT on parallel roadway</t>
  </si>
  <si>
    <t>One-way bicycle facility length (miles)</t>
  </si>
  <si>
    <t>Jurisdiction population &gt;= 250k?</t>
  </si>
  <si>
    <t>Number of key destinations within 1/4 mile of bicycle facility</t>
  </si>
  <si>
    <t>Number of key destinations between 1/4 and 1/2 mile from bicycle facility</t>
  </si>
  <si>
    <t>Bicycle facility type</t>
  </si>
  <si>
    <t>Active transportation adjustment factor</t>
  </si>
  <si>
    <t>Credit for activity centers near project</t>
  </si>
  <si>
    <t>Growth factor adjustment for facility type</t>
  </si>
  <si>
    <t>Annual days of use of new facility</t>
  </si>
  <si>
    <t>Days per year</t>
  </si>
  <si>
    <t>% of residences in neighborhood/city with access to bikeshare system without strategy</t>
  </si>
  <si>
    <t>% of residences in neighborhood/city with access to bikeshare system with strategy</t>
  </si>
  <si>
    <t>Daily bikeshare trips per person</t>
  </si>
  <si>
    <t>coefficient, source (5)</t>
  </si>
  <si>
    <t>Daily vehicle trips per person</t>
  </si>
  <si>
    <t>coefficient, source (3)</t>
  </si>
  <si>
    <t>Vehicle to bikeshare substitution rate</t>
  </si>
  <si>
    <t>Change in % of adults with carshare access due to strategy</t>
  </si>
  <si>
    <t>% of adults with carshare access who become members</t>
  </si>
  <si>
    <t>Percent VMT reduction by carshare members</t>
  </si>
  <si>
    <t>Households in neighborhood/city targeted with CBTP</t>
  </si>
  <si>
    <t>% of targeted households that participate</t>
  </si>
  <si>
    <t>% vehicle trip reduction by participating residences</t>
  </si>
  <si>
    <t>Percentage of streets within project with traffic calming improvements</t>
  </si>
  <si>
    <t>Percentage of intersections within project with traffic calming improvements</t>
  </si>
  <si>
    <t>Total transit service miles in neighborhood/city before expansion</t>
  </si>
  <si>
    <t>Total transit service miles in neighborhood/city after expansion</t>
  </si>
  <si>
    <t>% change in bus network coverage</t>
  </si>
  <si>
    <t>Elasticity of transit demand with respect to service miles</t>
  </si>
  <si>
    <t>Statewide mode shift factor</t>
  </si>
  <si>
    <t>% change in bus network coverage is capped at 100%.</t>
  </si>
  <si>
    <t>If the user override of existing transit mode share exceeds maximum of 25%, the default value will be used.</t>
  </si>
  <si>
    <t>Existing peak period headway (minutes)</t>
  </si>
  <si>
    <t>Peak period headway with strategy (minutes)</t>
  </si>
  <si>
    <t>% change in transit frequency (arrivals per hour)</t>
  </si>
  <si>
    <t>calculated, source (4)</t>
  </si>
  <si>
    <t>Level of implementation</t>
  </si>
  <si>
    <t>Elasticity of transit ridership with respect to frequency of service</t>
  </si>
  <si>
    <t>The % change in transit frequency (arrivals per hour) is capped between -75% and 300% (4).</t>
  </si>
  <si>
    <t>If the user override of existing auto mode share falls below minimum of 50%, the default value will be used.</t>
  </si>
  <si>
    <t>% of neighborhood/city transit routes that receive treatments</t>
  </si>
  <si>
    <t>Default % change in transit travel time due to treatments</t>
  </si>
  <si>
    <t xml:space="preserve">User override of default % change in transit travel time </t>
  </si>
  <si>
    <t>due to treatments</t>
  </si>
  <si>
    <t>% change in transit travel time due to treatments used for calculation</t>
  </si>
  <si>
    <t>Elasticity of transit ridership with respect to transit travel time</t>
  </si>
  <si>
    <t>If the user override of default % change in transit travel time due to treatments value falls below minimum of -20% or exceeds maximum of 0%, the default value will be used.</t>
  </si>
  <si>
    <t>% change in transit fare</t>
  </si>
  <si>
    <t>calculated, source (3)</t>
  </si>
  <si>
    <t>Percent of neighborhood/city transit routes that receive reduced fares</t>
  </si>
  <si>
    <t>Elasticity of transit ridership with respect to transit fare</t>
  </si>
  <si>
    <t>% change in transit fare is capped at 50% (3).</t>
  </si>
  <si>
    <t>5E. Microtransit NEV Shuttle</t>
  </si>
  <si>
    <t>Microtransit services utilize real-time ride-hailing, mobile tracking and app-based payment to provide demand-based service to users. Microtransit services are flexible and can be designed to fulfill the mobility needs of a community. Neighborhood electric vehicles (NEVs) are a type of microtransit service that operate within a defined service area and fulfill trips that are short-distance in nature, typically less than two miles long. NEVs help to facilitate connections to and from transit stations and provide users with an alternative to driving for short trips.</t>
  </si>
  <si>
    <t>% of neighborhood/city covered by new microtransit service</t>
  </si>
  <si>
    <t>Microtransit share of all person trips</t>
  </si>
  <si>
    <t>Auto trip substitution rate</t>
  </si>
  <si>
    <t>Default average length of one-way microtransit trip (miles)</t>
  </si>
  <si>
    <t>User override of one-way microtransit trip length (miles)</t>
  </si>
  <si>
    <t>Microtransit trip length used for calculation (miles)</t>
  </si>
  <si>
    <t>If the user override of existing auto mode share value falls below minimum of 50%, the default value will be used.</t>
  </si>
  <si>
    <t>(1) WSP. 2019. “Draft TDM Off-Model Methodology—March 2019 Revision.” Memo to SANDAG.
(2) Alameda-Contra Costa (AlaCC) Travel Model, Scenario Year 2020, version 2.1, last updated in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</si>
</sst>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0.00_);[Red]\(&quot;$&quot;#,##0.00\)"/>
    <numFmt numFmtId="43" formatCode="_(* #,##0.00_);_(* \(#,##0.00\);_(* &quot;-&quot;??_);_(@_)"/>
    <numFmt numFmtId="164" formatCode="0.0%"/>
    <numFmt numFmtId="165" formatCode="* "/>
    <numFmt numFmtId="166" formatCode="0.0"/>
    <numFmt numFmtId="167" formatCode="_(* #,##0_);_(* \(#,##0\);_(* &quot;-&quot;??_);_(@_)"/>
    <numFmt numFmtId="168" formatCode="###0;###0"/>
    <numFmt numFmtId="169" formatCode="#,##0;#,##0"/>
    <numFmt numFmtId="170" formatCode="#,##0.0"/>
    <numFmt numFmtId="171" formatCode="&quot;$&quot;#,##0.00"/>
    <numFmt numFmtId="172" formatCode="0&quot;%&quot;"/>
    <numFmt numFmtId="173" formatCode="#,##0.0_);[Red]\(#,##0.0\)"/>
    <numFmt numFmtId="174" formatCode="_(* #,##0.0_);_(* \(#,##0.0\);_(* &quot;-&quot;??_);_(@_)"/>
    <numFmt numFmtId="175" formatCode="0.00000000000"/>
    <numFmt numFmtId="176" formatCode="\+0.0%;\-0.0%;0.0%"/>
    <numFmt numFmtId="177" formatCode="0.000"/>
    <numFmt numFmtId="178" formatCode="@&quot;.&quot;"/>
    <numFmt numFmtId="179" formatCode="&quot;$&quot;#,##0"/>
  </numFmts>
  <fonts count="59">
    <font>
      <sz val="11"/>
      <color theme="1"/>
      <name val="Calibri"/>
      <family val="2"/>
      <scheme val="minor"/>
    </font>
    <font>
      <sz val="10"/>
      <color theme="1"/>
      <name val="Albert Sans"/>
      <family val="2"/>
    </font>
    <font>
      <sz val="11"/>
      <color theme="1"/>
      <name val="Calibri"/>
      <family val="2"/>
      <scheme val="minor"/>
    </font>
    <font>
      <b/>
      <sz val="11"/>
      <color theme="1"/>
      <name val="Calibri"/>
      <family val="2"/>
      <scheme val="minor"/>
    </font>
    <font>
      <sz val="10"/>
      <color theme="1"/>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F0000"/>
      <name val="Calibri"/>
      <family val="2"/>
      <scheme val="minor"/>
    </font>
    <font>
      <sz val="11"/>
      <name val="Calibri"/>
      <family val="2"/>
      <scheme val="minor"/>
    </font>
    <font>
      <b/>
      <sz val="11"/>
      <name val="Calibri"/>
      <family val="2"/>
      <scheme val="minor"/>
    </font>
    <font>
      <sz val="9"/>
      <color indexed="81"/>
      <name val="Tahoma"/>
      <family val="2"/>
    </font>
    <font>
      <i/>
      <sz val="11"/>
      <color theme="1"/>
      <name val="Calibri"/>
      <family val="2"/>
      <scheme val="minor"/>
    </font>
    <font>
      <u/>
      <sz val="11"/>
      <color theme="10"/>
      <name val="Calibri"/>
      <family val="2"/>
      <scheme val="minor"/>
    </font>
    <font>
      <b/>
      <sz val="11"/>
      <color theme="0"/>
      <name val="Calibri"/>
      <family val="2"/>
      <scheme val="minor"/>
    </font>
    <font>
      <sz val="10"/>
      <name val="Times New Roman"/>
      <family val="1"/>
      <charset val="204"/>
    </font>
    <font>
      <sz val="10"/>
      <color indexed="63"/>
      <name val="Arial"/>
      <family val="2"/>
    </font>
    <font>
      <sz val="10"/>
      <color indexed="63"/>
      <name val="Book Antiqua"/>
      <family val="1"/>
      <charset val="204"/>
    </font>
    <font>
      <sz val="11"/>
      <color theme="0"/>
      <name val="Calibri"/>
      <family val="2"/>
      <scheme val="minor"/>
    </font>
    <font>
      <sz val="10"/>
      <color theme="1"/>
      <name val="Arial"/>
      <family val="2"/>
    </font>
    <font>
      <sz val="11"/>
      <color theme="4" tint="0.79998168889431442"/>
      <name val="Calibri"/>
      <family val="2"/>
      <scheme val="minor"/>
    </font>
    <font>
      <b/>
      <sz val="16"/>
      <color theme="1"/>
      <name val="Calibri"/>
      <family val="2"/>
      <scheme val="minor"/>
    </font>
    <font>
      <b/>
      <sz val="14"/>
      <color theme="0"/>
      <name val="Calibri"/>
      <family val="2"/>
      <scheme val="minor"/>
    </font>
    <font>
      <b/>
      <sz val="16"/>
      <color theme="0"/>
      <name val="Calibri"/>
      <family val="2"/>
      <scheme val="minor"/>
    </font>
    <font>
      <u/>
      <sz val="11"/>
      <color theme="11"/>
      <name val="Calibri"/>
      <family val="2"/>
      <scheme val="minor"/>
    </font>
    <font>
      <u/>
      <sz val="11"/>
      <color rgb="FF0564C2"/>
      <name val="Calibri"/>
      <family val="2"/>
      <scheme val="minor"/>
    </font>
    <font>
      <b/>
      <sz val="12"/>
      <color theme="0"/>
      <name val="Calibri"/>
      <family val="2"/>
      <scheme val="minor"/>
    </font>
    <font>
      <sz val="11"/>
      <color rgb="FFFA7D00"/>
      <name val="Calibri"/>
      <family val="2"/>
      <scheme val="minor"/>
    </font>
    <font>
      <sz val="12"/>
      <color theme="0"/>
      <name val="Calibri"/>
      <family val="2"/>
      <scheme val="minor"/>
    </font>
    <font>
      <u/>
      <sz val="11"/>
      <color theme="0"/>
      <name val="Calibri"/>
      <family val="2"/>
      <scheme val="minor"/>
    </font>
    <font>
      <b/>
      <sz val="16"/>
      <name val="Calibri"/>
      <family val="2"/>
      <scheme val="minor"/>
    </font>
    <font>
      <b/>
      <sz val="13"/>
      <color theme="1"/>
      <name val="Calibri"/>
      <family val="2"/>
      <scheme val="minor"/>
    </font>
    <font>
      <b/>
      <sz val="11"/>
      <color rgb="FFFF0000"/>
      <name val="Calibri"/>
      <family val="2"/>
      <scheme val="minor"/>
    </font>
    <font>
      <sz val="14"/>
      <color rgb="FF3F3F76"/>
      <name val="Calibri"/>
      <family val="2"/>
      <scheme val="minor"/>
    </font>
    <font>
      <sz val="11"/>
      <color theme="0" tint="-0.24994659260841701"/>
      <name val="Calibri"/>
      <family val="2"/>
      <scheme val="minor"/>
    </font>
    <font>
      <u/>
      <sz val="11"/>
      <color theme="10"/>
      <name val="Wingdings 3"/>
      <family val="1"/>
      <charset val="2"/>
    </font>
    <font>
      <sz val="14"/>
      <color rgb="FFFF0000"/>
      <name val="Calibri"/>
      <family val="2"/>
      <scheme val="minor"/>
    </font>
    <font>
      <sz val="14"/>
      <color theme="1"/>
      <name val="Calibri"/>
      <family val="2"/>
      <scheme val="minor"/>
    </font>
    <font>
      <u/>
      <sz val="11"/>
      <color theme="10"/>
      <name val="Wingdings"/>
      <charset val="2"/>
    </font>
    <font>
      <b/>
      <sz val="11"/>
      <color rgb="FF00B050"/>
      <name val="Calibri"/>
      <family val="2"/>
      <scheme val="minor"/>
    </font>
    <font>
      <sz val="22"/>
      <color theme="1"/>
      <name val="Arial Black"/>
      <family val="2"/>
    </font>
    <font>
      <b/>
      <sz val="22"/>
      <color theme="1"/>
      <name val="Arial Black"/>
      <family val="2"/>
    </font>
    <font>
      <sz val="26"/>
      <color theme="1"/>
      <name val="Arial Black"/>
      <family val="2"/>
    </font>
    <font>
      <sz val="2"/>
      <color theme="4" tint="0.79998168889431442"/>
      <name val="Calibri"/>
      <family val="2"/>
      <scheme val="minor"/>
    </font>
    <font>
      <b/>
      <i/>
      <sz val="17"/>
      <color rgb="FFFF0000"/>
      <name val="Calibri"/>
      <family val="2"/>
      <scheme val="minor"/>
    </font>
    <font>
      <b/>
      <i/>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i/>
      <sz val="11"/>
      <color rgb="FF7F7F7F"/>
      <name val="Calibri"/>
      <family val="2"/>
      <scheme val="minor"/>
    </font>
    <font>
      <b/>
      <sz val="14"/>
      <color rgb="FFFF0000"/>
      <name val="Calibri"/>
      <family val="2"/>
      <scheme val="minor"/>
    </font>
    <font>
      <u/>
      <sz val="11"/>
      <color theme="1"/>
      <name val="Calibri"/>
      <family val="2"/>
      <scheme val="minor"/>
    </font>
    <font>
      <b/>
      <i/>
      <sz val="11"/>
      <color theme="1"/>
      <name val="Calibri"/>
      <family val="2"/>
      <scheme val="minor"/>
    </font>
    <font>
      <u/>
      <sz val="16"/>
      <color theme="10"/>
      <name val="Calibri"/>
      <family val="2"/>
      <scheme val="minor"/>
    </font>
    <font>
      <u/>
      <sz val="11"/>
      <color rgb="FF0070C0"/>
      <name val="Calibri"/>
      <family val="2"/>
      <scheme val="minor"/>
    </font>
  </fonts>
  <fills count="59">
    <fill>
      <patternFill patternType="none"/>
    </fill>
    <fill>
      <patternFill patternType="gray125"/>
    </fill>
    <fill>
      <patternFill patternType="solid">
        <fgColor rgb="FFFFCC99"/>
      </patternFill>
    </fill>
    <fill>
      <patternFill patternType="solid">
        <fgColor rgb="FFF2F2F2"/>
      </patternFill>
    </fill>
    <fill>
      <patternFill patternType="solid">
        <fgColor rgb="FFA5A5A5"/>
      </patternFill>
    </fill>
    <fill>
      <patternFill patternType="solid">
        <fgColor rgb="FFFFCC99"/>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9C238F"/>
        <bgColor indexed="64"/>
      </patternFill>
    </fill>
    <fill>
      <patternFill patternType="solid">
        <fgColor rgb="FF289893"/>
        <bgColor indexed="64"/>
      </patternFill>
    </fill>
    <fill>
      <patternFill patternType="solid">
        <fgColor rgb="FF2E75B6"/>
        <bgColor indexed="64"/>
      </patternFill>
    </fill>
    <fill>
      <patternFill patternType="solid">
        <fgColor rgb="FF0E256A"/>
        <bgColor indexed="64"/>
      </patternFill>
    </fill>
    <fill>
      <patternFill patternType="solid">
        <fgColor rgb="FF806000"/>
        <bgColor indexed="64"/>
      </patternFill>
    </fill>
    <fill>
      <gradientFill degree="90">
        <stop position="0">
          <color rgb="FFFFD5D5"/>
        </stop>
        <stop position="1">
          <color rgb="FFFFFFD1"/>
        </stop>
      </gradientFill>
    </fill>
    <fill>
      <patternFill patternType="solid">
        <fgColor theme="4" tint="0.39997558519241921"/>
        <bgColor indexed="64"/>
      </patternFill>
    </fill>
    <fill>
      <patternFill patternType="solid">
        <fgColor rgb="FF33CCCC"/>
        <bgColor indexed="64"/>
      </patternFill>
    </fill>
    <fill>
      <patternFill patternType="solid">
        <fgColor rgb="FF996600"/>
        <bgColor indexed="64"/>
      </patternFill>
    </fill>
    <fill>
      <patternFill patternType="solid">
        <fgColor theme="4" tint="-0.499984740745262"/>
        <bgColor indexed="64"/>
      </patternFill>
    </fill>
    <fill>
      <patternFill patternType="solid">
        <fgColor rgb="FF6599FF"/>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FF66FF"/>
        <bgColor indexed="64"/>
      </patternFill>
    </fill>
    <fill>
      <patternFill patternType="solid">
        <fgColor rgb="FF3399FF"/>
        <bgColor indexed="64"/>
      </patternFill>
    </fill>
    <fill>
      <patternFill patternType="solid">
        <fgColor rgb="FFFF993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6">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7F7F7F"/>
      </right>
      <top/>
      <bottom/>
      <diagonal/>
    </border>
    <border>
      <left/>
      <right/>
      <top style="thin">
        <color auto="1"/>
      </top>
      <bottom style="thin">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rgb="FFFFCCFF"/>
      </left>
      <right/>
      <top style="thin">
        <color rgb="FFFFCCFF"/>
      </top>
      <bottom style="thin">
        <color rgb="FFFFCCFF"/>
      </bottom>
      <diagonal/>
    </border>
    <border>
      <left/>
      <right/>
      <top style="thin">
        <color rgb="FFFFCCFF"/>
      </top>
      <bottom style="thin">
        <color rgb="FFFFCCFF"/>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double">
        <color rgb="FFFF8001"/>
      </bottom>
      <diagonal/>
    </border>
    <border>
      <left/>
      <right style="medium">
        <color indexed="64"/>
      </right>
      <top style="medium">
        <color indexed="64"/>
      </top>
      <bottom style="medium">
        <color indexed="64"/>
      </bottom>
      <diagonal/>
    </border>
    <border>
      <left/>
      <right/>
      <top/>
      <bottom style="medium">
        <color indexed="64"/>
      </bottom>
      <diagonal/>
    </border>
    <border>
      <left style="dashDot">
        <color indexed="64"/>
      </left>
      <right style="dashDot">
        <color indexed="64"/>
      </right>
      <top style="dashDot">
        <color indexed="64"/>
      </top>
      <bottom style="dashDot">
        <color indexed="64"/>
      </bottom>
      <diagonal/>
    </border>
    <border>
      <left style="thin">
        <color rgb="FFFF0000"/>
      </left>
      <right style="thin">
        <color rgb="FFFF0000"/>
      </right>
      <top style="thin">
        <color rgb="FFFF0000"/>
      </top>
      <bottom style="thin">
        <color rgb="FFFF0000"/>
      </bottom>
      <diagonal/>
    </border>
    <border>
      <left/>
      <right/>
      <top style="medium">
        <color indexed="64"/>
      </top>
      <bottom/>
      <diagonal/>
    </border>
    <border>
      <left/>
      <right/>
      <top style="dashDot">
        <color indexed="64"/>
      </top>
      <bottom/>
      <diagonal/>
    </border>
    <border>
      <left/>
      <right/>
      <top style="medium">
        <color indexed="64"/>
      </top>
      <bottom style="medium">
        <color indexed="64"/>
      </bottom>
      <diagonal/>
    </border>
    <border>
      <left style="thin">
        <color indexed="64"/>
      </left>
      <right style="thin">
        <color indexed="64"/>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theme="9"/>
      </left>
      <right style="thin">
        <color theme="9"/>
      </right>
      <top style="thin">
        <color theme="9"/>
      </top>
      <bottom style="thin">
        <color theme="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24994659260841701"/>
      </top>
      <bottom/>
      <diagonal/>
    </border>
    <border>
      <left style="thin">
        <color theme="0" tint="-0.34998626667073579"/>
      </left>
      <right style="thin">
        <color theme="0" tint="-0.34998626667073579"/>
      </right>
      <top/>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s>
  <cellStyleXfs count="64">
    <xf numFmtId="0" fontId="0" fillId="0" borderId="0"/>
    <xf numFmtId="9" fontId="2" fillId="0" borderId="0" applyFont="0" applyFill="0" applyBorder="0" applyAlignment="0" applyProtection="0"/>
    <xf numFmtId="0" fontId="5" fillId="2" borderId="1" applyNumberFormat="0" applyAlignment="0">
      <protection locked="0"/>
    </xf>
    <xf numFmtId="0" fontId="6" fillId="3" borderId="2" applyNumberFormat="0" applyAlignment="0"/>
    <xf numFmtId="0" fontId="7" fillId="3" borderId="1" applyNumberFormat="0" applyAlignment="0"/>
    <xf numFmtId="0" fontId="14" fillId="4" borderId="11" applyNumberFormat="0" applyAlignment="0"/>
    <xf numFmtId="43" fontId="2" fillId="0" borderId="0" applyFont="0" applyFill="0" applyBorder="0" applyAlignment="0" applyProtection="0"/>
    <xf numFmtId="0" fontId="2" fillId="0" borderId="0"/>
    <xf numFmtId="0" fontId="13" fillId="0" borderId="0" applyNumberFormat="0" applyFill="0" applyBorder="0" applyAlignment="0" applyProtection="0"/>
    <xf numFmtId="0" fontId="21" fillId="15" borderId="0"/>
    <xf numFmtId="0" fontId="2" fillId="6" borderId="50" applyAlignment="0">
      <alignment horizontal="left"/>
    </xf>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ont="0" applyFill="0" applyBorder="0" applyAlignment="0" applyProtection="0"/>
    <xf numFmtId="0" fontId="25" fillId="0" borderId="0" applyNumberFormat="0" applyFill="0" applyBorder="0" applyAlignment="0" applyProtection="0"/>
    <xf numFmtId="0" fontId="27" fillId="6" borderId="41" applyNumberFormat="0" applyAlignment="0" applyProtection="0"/>
    <xf numFmtId="0" fontId="5" fillId="21" borderId="1" applyNumberFormat="0" applyAlignment="0">
      <protection locked="0"/>
    </xf>
    <xf numFmtId="0" fontId="34" fillId="6" borderId="0" applyAlignment="0">
      <alignment horizontal="left"/>
    </xf>
    <xf numFmtId="0" fontId="10" fillId="3" borderId="53" applyAlignment="0" applyProtection="0"/>
    <xf numFmtId="0" fontId="2" fillId="6" borderId="44">
      <alignment horizontal="left"/>
    </xf>
    <xf numFmtId="0" fontId="36" fillId="7" borderId="0"/>
    <xf numFmtId="0" fontId="10" fillId="3" borderId="45"/>
    <xf numFmtId="0" fontId="46" fillId="0" borderId="0" applyNumberFormat="0" applyFill="0" applyBorder="0" applyAlignment="0" applyProtection="0"/>
    <xf numFmtId="0" fontId="47" fillId="0" borderId="71" applyNumberFormat="0" applyFill="0" applyAlignment="0" applyProtection="0"/>
    <xf numFmtId="0" fontId="48" fillId="0" borderId="72" applyNumberFormat="0" applyFill="0" applyAlignment="0" applyProtection="0"/>
    <xf numFmtId="0" fontId="49" fillId="0" borderId="73" applyNumberFormat="0" applyFill="0" applyAlignment="0" applyProtection="0"/>
    <xf numFmtId="0" fontId="49" fillId="0" borderId="0" applyNumberFormat="0" applyFill="0" applyBorder="0" applyAlignment="0" applyProtection="0"/>
    <xf numFmtId="0" fontId="50" fillId="31" borderId="0" applyNumberFormat="0" applyBorder="0" applyAlignment="0" applyProtection="0"/>
    <xf numFmtId="0" fontId="51" fillId="32" borderId="0" applyNumberFormat="0" applyBorder="0" applyAlignment="0" applyProtection="0"/>
    <xf numFmtId="0" fontId="52" fillId="33" borderId="0" applyNumberFormat="0" applyBorder="0" applyAlignment="0" applyProtection="0"/>
    <xf numFmtId="0" fontId="8" fillId="0" borderId="0" applyNumberFormat="0" applyFill="0" applyBorder="0" applyAlignment="0" applyProtection="0"/>
    <xf numFmtId="0" fontId="2" fillId="34" borderId="74" applyNumberFormat="0" applyFont="0" applyAlignment="0" applyProtection="0"/>
    <xf numFmtId="0" fontId="53" fillId="0" borderId="0" applyNumberFormat="0" applyFill="0" applyBorder="0" applyAlignment="0" applyProtection="0"/>
    <xf numFmtId="0" fontId="3" fillId="0" borderId="75" applyNumberFormat="0" applyFill="0" applyAlignment="0" applyProtection="0"/>
    <xf numFmtId="0" fontId="18"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8"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18"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18"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18"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18"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5" fillId="2" borderId="1" applyNumberFormat="0" applyAlignment="0" applyProtection="0"/>
    <xf numFmtId="0" fontId="6" fillId="3" borderId="2" applyNumberFormat="0" applyAlignment="0" applyProtection="0"/>
    <xf numFmtId="0" fontId="7" fillId="3" borderId="1" applyNumberFormat="0" applyAlignment="0" applyProtection="0"/>
    <xf numFmtId="0" fontId="27" fillId="0" borderId="41" applyNumberFormat="0" applyFill="0" applyAlignment="0" applyProtection="0"/>
    <xf numFmtId="0" fontId="14" fillId="4" borderId="11" applyNumberFormat="0" applyAlignment="0" applyProtection="0"/>
    <xf numFmtId="0" fontId="1" fillId="0" borderId="0"/>
  </cellStyleXfs>
  <cellXfs count="685">
    <xf numFmtId="0" fontId="0" fillId="0" borderId="0" xfId="0"/>
    <xf numFmtId="0" fontId="0" fillId="0" borderId="0" xfId="0" applyAlignment="1">
      <alignment horizontal="center"/>
    </xf>
    <xf numFmtId="0" fontId="0" fillId="0" borderId="0" xfId="0" applyProtection="1">
      <protection locked="0"/>
    </xf>
    <xf numFmtId="0" fontId="0" fillId="6" borderId="0" xfId="0" applyFill="1"/>
    <xf numFmtId="0" fontId="0" fillId="6" borderId="0" xfId="0" applyFill="1" applyAlignment="1">
      <alignment horizontal="center"/>
    </xf>
    <xf numFmtId="0" fontId="0" fillId="6" borderId="7" xfId="0" applyFill="1" applyBorder="1"/>
    <xf numFmtId="0" fontId="9" fillId="6" borderId="0" xfId="0" applyFont="1" applyFill="1" applyAlignment="1">
      <alignment horizontal="left" indent="6"/>
    </xf>
    <xf numFmtId="0" fontId="0" fillId="6" borderId="0" xfId="0" applyFill="1" applyAlignment="1">
      <alignment horizontal="left" indent="6"/>
    </xf>
    <xf numFmtId="0" fontId="0" fillId="6" borderId="0" xfId="0" applyFill="1" applyAlignment="1">
      <alignment horizontal="left"/>
    </xf>
    <xf numFmtId="0" fontId="8" fillId="6" borderId="0" xfId="0" applyFont="1" applyFill="1"/>
    <xf numFmtId="0" fontId="3" fillId="6" borderId="0" xfId="0" applyFont="1" applyFill="1"/>
    <xf numFmtId="0" fontId="0" fillId="6" borderId="6" xfId="0" applyFill="1" applyBorder="1"/>
    <xf numFmtId="0" fontId="0" fillId="6" borderId="9" xfId="0" applyFill="1" applyBorder="1"/>
    <xf numFmtId="0" fontId="0" fillId="6" borderId="10" xfId="0" applyFill="1" applyBorder="1"/>
    <xf numFmtId="0" fontId="20" fillId="6" borderId="0" xfId="0" applyFont="1" applyFill="1" applyProtection="1">
      <protection locked="0" hidden="1"/>
    </xf>
    <xf numFmtId="0" fontId="0" fillId="6" borderId="8" xfId="0" applyFill="1" applyBorder="1"/>
    <xf numFmtId="0" fontId="0" fillId="7" borderId="0" xfId="0" applyFill="1"/>
    <xf numFmtId="0" fontId="0" fillId="7" borderId="0" xfId="0" applyFill="1" applyAlignment="1">
      <alignment horizontal="center"/>
    </xf>
    <xf numFmtId="0" fontId="10" fillId="6" borderId="0" xfId="0" applyFont="1" applyFill="1" applyAlignment="1">
      <alignment horizontal="left"/>
    </xf>
    <xf numFmtId="0" fontId="3" fillId="6" borderId="0" xfId="0" applyFont="1" applyFill="1" applyAlignment="1">
      <alignment horizontal="left"/>
    </xf>
    <xf numFmtId="0" fontId="20" fillId="6" borderId="0" xfId="0" applyFont="1" applyFill="1"/>
    <xf numFmtId="0" fontId="9" fillId="7" borderId="0" xfId="0" applyFont="1" applyFill="1"/>
    <xf numFmtId="0" fontId="18" fillId="7" borderId="0" xfId="0" applyFont="1" applyFill="1"/>
    <xf numFmtId="1" fontId="5" fillId="5" borderId="1" xfId="1" applyNumberFormat="1" applyFont="1" applyFill="1" applyBorder="1" applyProtection="1">
      <protection locked="0"/>
    </xf>
    <xf numFmtId="0" fontId="5" fillId="2" borderId="1" xfId="2" applyAlignment="1">
      <protection locked="0"/>
    </xf>
    <xf numFmtId="0" fontId="0" fillId="0" borderId="0" xfId="0" applyAlignment="1">
      <alignment wrapText="1"/>
    </xf>
    <xf numFmtId="10" fontId="0" fillId="0" borderId="0" xfId="1" applyNumberFormat="1" applyFont="1" applyFill="1" applyBorder="1"/>
    <xf numFmtId="0" fontId="9" fillId="6" borderId="0" xfId="0" quotePrefix="1" applyFont="1" applyFill="1" applyAlignment="1">
      <alignment horizontal="left"/>
    </xf>
    <xf numFmtId="0" fontId="2" fillId="6" borderId="44" xfId="19">
      <alignment horizontal="left"/>
    </xf>
    <xf numFmtId="0" fontId="36" fillId="7" borderId="0" xfId="0" applyFont="1" applyFill="1" applyProtection="1">
      <protection hidden="1"/>
    </xf>
    <xf numFmtId="0" fontId="37" fillId="7" borderId="0" xfId="0" applyFont="1" applyFill="1"/>
    <xf numFmtId="0" fontId="37" fillId="7" borderId="0" xfId="0" applyFont="1" applyFill="1" applyAlignment="1">
      <alignment horizontal="center"/>
    </xf>
    <xf numFmtId="0" fontId="36" fillId="7" borderId="0" xfId="20"/>
    <xf numFmtId="0" fontId="9" fillId="0" borderId="0" xfId="0" applyFont="1" applyAlignment="1">
      <alignment wrapText="1"/>
    </xf>
    <xf numFmtId="9" fontId="0" fillId="0" borderId="0" xfId="0" applyNumberFormat="1"/>
    <xf numFmtId="164" fontId="6" fillId="8" borderId="2" xfId="3" applyNumberFormat="1" applyFill="1"/>
    <xf numFmtId="0" fontId="0" fillId="6" borderId="38" xfId="0" applyFill="1" applyBorder="1" applyAlignment="1">
      <alignment vertical="top" wrapText="1"/>
    </xf>
    <xf numFmtId="164" fontId="10" fillId="6" borderId="0" xfId="0" quotePrefix="1" applyNumberFormat="1" applyFont="1" applyFill="1" applyAlignment="1">
      <alignment horizontal="left"/>
    </xf>
    <xf numFmtId="0" fontId="5" fillId="2" borderId="1" xfId="2" applyAlignment="1">
      <alignment vertical="top"/>
      <protection locked="0"/>
    </xf>
    <xf numFmtId="0" fontId="36" fillId="7" borderId="0" xfId="0" applyFont="1" applyFill="1" applyAlignment="1" applyProtection="1">
      <alignment vertical="top"/>
      <protection hidden="1"/>
    </xf>
    <xf numFmtId="166" fontId="5" fillId="21" borderId="1" xfId="1" applyNumberFormat="1" applyFont="1" applyFill="1" applyBorder="1" applyAlignment="1" applyProtection="1">
      <alignment vertical="top"/>
      <protection locked="0"/>
    </xf>
    <xf numFmtId="0" fontId="20" fillId="6" borderId="0" xfId="0" applyFont="1" applyFill="1" applyAlignment="1" applyProtection="1">
      <alignment vertical="top"/>
      <protection locked="0" hidden="1"/>
    </xf>
    <xf numFmtId="2" fontId="5" fillId="21" borderId="1" xfId="16" applyNumberFormat="1" applyAlignment="1">
      <alignment vertical="top"/>
      <protection locked="0"/>
    </xf>
    <xf numFmtId="0" fontId="20" fillId="6" borderId="0" xfId="0" applyFont="1" applyFill="1" applyAlignment="1" applyProtection="1">
      <alignment horizontal="left" vertical="top"/>
      <protection locked="0" hidden="1"/>
    </xf>
    <xf numFmtId="8" fontId="5" fillId="2" borderId="1" xfId="2" applyNumberFormat="1" applyAlignment="1">
      <alignment vertical="top"/>
      <protection locked="0"/>
    </xf>
    <xf numFmtId="0" fontId="0" fillId="6" borderId="0" xfId="0" applyFill="1" applyAlignment="1" applyProtection="1">
      <alignment vertical="top"/>
      <protection locked="0" hidden="1"/>
    </xf>
    <xf numFmtId="38" fontId="5" fillId="21" borderId="1" xfId="16" applyNumberFormat="1" applyAlignment="1">
      <alignment vertical="top"/>
      <protection locked="0"/>
    </xf>
    <xf numFmtId="38" fontId="5" fillId="2" borderId="1" xfId="2" applyNumberFormat="1" applyAlignment="1">
      <alignment vertical="top"/>
      <protection locked="0"/>
    </xf>
    <xf numFmtId="164" fontId="7" fillId="3" borderId="1" xfId="1" applyNumberFormat="1" applyFont="1" applyFill="1" applyBorder="1" applyAlignment="1" applyProtection="1">
      <alignment vertical="top"/>
    </xf>
    <xf numFmtId="173" fontId="5" fillId="2" borderId="1" xfId="2" applyNumberFormat="1" applyAlignment="1">
      <alignment vertical="top"/>
      <protection locked="0"/>
    </xf>
    <xf numFmtId="173" fontId="5" fillId="21" borderId="1" xfId="16" applyNumberFormat="1" applyAlignment="1">
      <alignment vertical="top"/>
      <protection locked="0"/>
    </xf>
    <xf numFmtId="166" fontId="5" fillId="21" borderId="1" xfId="16" applyNumberFormat="1" applyAlignment="1">
      <alignment vertical="top"/>
      <protection locked="0"/>
    </xf>
    <xf numFmtId="3" fontId="5" fillId="2" borderId="1" xfId="2" applyNumberFormat="1" applyAlignment="1">
      <alignment horizontal="right" vertical="top"/>
      <protection locked="0"/>
    </xf>
    <xf numFmtId="9" fontId="5" fillId="5" borderId="1" xfId="1" applyFont="1" applyFill="1" applyBorder="1" applyAlignment="1" applyProtection="1">
      <alignment vertical="top"/>
      <protection locked="0"/>
    </xf>
    <xf numFmtId="171" fontId="5" fillId="2" borderId="1" xfId="2" applyNumberFormat="1" applyAlignment="1">
      <alignment vertical="top"/>
      <protection locked="0"/>
    </xf>
    <xf numFmtId="9" fontId="5" fillId="5" borderId="1" xfId="1" applyFont="1" applyFill="1" applyBorder="1" applyProtection="1">
      <protection locked="0"/>
    </xf>
    <xf numFmtId="9" fontId="5" fillId="2" borderId="1" xfId="2" applyNumberFormat="1" applyAlignment="1">
      <alignment vertical="top"/>
      <protection locked="0"/>
    </xf>
    <xf numFmtId="164" fontId="0" fillId="6" borderId="54" xfId="1" applyNumberFormat="1" applyFont="1" applyFill="1" applyBorder="1"/>
    <xf numFmtId="164" fontId="5" fillId="21" borderId="1" xfId="16" applyNumberFormat="1" applyAlignment="1">
      <alignment vertical="top"/>
      <protection locked="0"/>
    </xf>
    <xf numFmtId="173" fontId="5" fillId="2" borderId="1" xfId="2" applyNumberFormat="1">
      <protection locked="0"/>
    </xf>
    <xf numFmtId="0" fontId="0" fillId="7" borderId="0" xfId="0" applyFill="1" applyAlignment="1">
      <alignment vertical="top"/>
    </xf>
    <xf numFmtId="0" fontId="0" fillId="7" borderId="7" xfId="0" applyFill="1" applyBorder="1"/>
    <xf numFmtId="0" fontId="37" fillId="7" borderId="0" xfId="0" applyFont="1" applyFill="1" applyAlignment="1">
      <alignment vertical="top"/>
    </xf>
    <xf numFmtId="0" fontId="37" fillId="7" borderId="0" xfId="0" applyFont="1" applyFill="1" applyAlignment="1">
      <alignment horizontal="center" vertical="top"/>
    </xf>
    <xf numFmtId="0" fontId="0" fillId="6" borderId="7" xfId="0" applyFill="1" applyBorder="1" applyAlignment="1">
      <alignment vertical="top"/>
    </xf>
    <xf numFmtId="0" fontId="0" fillId="6" borderId="6" xfId="0" applyFill="1" applyBorder="1" applyAlignment="1">
      <alignment vertical="top"/>
    </xf>
    <xf numFmtId="0" fontId="0" fillId="7" borderId="0" xfId="0" applyFill="1" applyAlignment="1">
      <alignment vertical="center"/>
    </xf>
    <xf numFmtId="0" fontId="0" fillId="6" borderId="6" xfId="0" applyFill="1" applyBorder="1" applyAlignment="1">
      <alignment vertical="center"/>
    </xf>
    <xf numFmtId="0" fontId="0" fillId="6" borderId="49" xfId="0" applyFill="1" applyBorder="1" applyAlignment="1">
      <alignment vertical="top"/>
    </xf>
    <xf numFmtId="0" fontId="0" fillId="6" borderId="8" xfId="0" applyFill="1" applyBorder="1" applyAlignment="1">
      <alignment horizontal="left" vertical="top" indent="10"/>
    </xf>
    <xf numFmtId="0" fontId="0" fillId="6" borderId="0" xfId="0" applyFill="1" applyAlignment="1">
      <alignment vertical="top" wrapText="1"/>
    </xf>
    <xf numFmtId="0" fontId="0" fillId="6" borderId="0" xfId="0" applyFill="1" applyAlignment="1">
      <alignment vertical="top"/>
    </xf>
    <xf numFmtId="9" fontId="0" fillId="6" borderId="0" xfId="1" applyFont="1" applyFill="1" applyAlignment="1" applyProtection="1">
      <alignment vertical="top"/>
    </xf>
    <xf numFmtId="0" fontId="0" fillId="6" borderId="0" xfId="0" applyFill="1" applyAlignment="1">
      <alignment horizontal="center" vertical="top"/>
    </xf>
    <xf numFmtId="0" fontId="0" fillId="6" borderId="8" xfId="0" applyFill="1" applyBorder="1" applyAlignment="1">
      <alignment vertical="top"/>
    </xf>
    <xf numFmtId="0" fontId="0" fillId="7" borderId="0" xfId="0" applyFill="1" applyAlignment="1">
      <alignment horizontal="center" vertical="top"/>
    </xf>
    <xf numFmtId="0" fontId="9" fillId="6" borderId="0" xfId="0" applyFont="1" applyFill="1" applyAlignment="1">
      <alignment horizontal="left" vertical="top" indent="6"/>
    </xf>
    <xf numFmtId="0" fontId="0" fillId="6" borderId="0" xfId="0" applyFill="1" applyAlignment="1">
      <alignment horizontal="left" vertical="top" indent="6"/>
    </xf>
    <xf numFmtId="0" fontId="3" fillId="7" borderId="0" xfId="0" applyFont="1" applyFill="1" applyAlignment="1">
      <alignment vertical="top"/>
    </xf>
    <xf numFmtId="0" fontId="2" fillId="6" borderId="0" xfId="19" applyBorder="1" applyAlignment="1">
      <alignment vertical="top"/>
    </xf>
    <xf numFmtId="0" fontId="9" fillId="6" borderId="0" xfId="0" quotePrefix="1" applyFont="1" applyFill="1" applyAlignment="1">
      <alignment horizontal="left" vertical="top"/>
    </xf>
    <xf numFmtId="0" fontId="0" fillId="6" borderId="0" xfId="0" applyFill="1" applyAlignment="1">
      <alignment horizontal="left" vertical="top"/>
    </xf>
    <xf numFmtId="0" fontId="3" fillId="6" borderId="0" xfId="0" applyFont="1" applyFill="1" applyAlignment="1">
      <alignment vertical="top"/>
    </xf>
    <xf numFmtId="0" fontId="0" fillId="6" borderId="0" xfId="0" applyFill="1" applyAlignment="1">
      <alignment horizontal="right" vertical="top"/>
    </xf>
    <xf numFmtId="0" fontId="13" fillId="6" borderId="0" xfId="8" applyFill="1" applyAlignment="1" applyProtection="1">
      <alignment horizontal="right" vertical="top"/>
    </xf>
    <xf numFmtId="0" fontId="10" fillId="6" borderId="0" xfId="0" applyFont="1" applyFill="1" applyAlignment="1">
      <alignment vertical="top"/>
    </xf>
    <xf numFmtId="164" fontId="10" fillId="6" borderId="0" xfId="0" quotePrefix="1" applyNumberFormat="1" applyFont="1" applyFill="1" applyAlignment="1">
      <alignment horizontal="left" vertical="top"/>
    </xf>
    <xf numFmtId="0" fontId="0" fillId="0" borderId="0" xfId="0" applyAlignment="1">
      <alignment vertical="top"/>
    </xf>
    <xf numFmtId="0" fontId="0" fillId="0" borderId="0" xfId="0" applyAlignment="1">
      <alignment horizontal="center" vertical="top"/>
    </xf>
    <xf numFmtId="0" fontId="0" fillId="0" borderId="0" xfId="0" quotePrefix="1" applyAlignment="1">
      <alignment wrapText="1"/>
    </xf>
    <xf numFmtId="9" fontId="0" fillId="7" borderId="0" xfId="0" applyNumberFormat="1" applyFill="1" applyAlignment="1">
      <alignment vertical="top"/>
    </xf>
    <xf numFmtId="0" fontId="36" fillId="7" borderId="0" xfId="20" applyAlignment="1">
      <alignment vertical="top"/>
    </xf>
    <xf numFmtId="0" fontId="0" fillId="7" borderId="7" xfId="0" applyFill="1" applyBorder="1" applyAlignment="1">
      <alignment vertical="top"/>
    </xf>
    <xf numFmtId="170" fontId="0" fillId="7" borderId="0" xfId="0" applyNumberFormat="1" applyFill="1" applyAlignment="1">
      <alignment vertical="top"/>
    </xf>
    <xf numFmtId="164" fontId="0" fillId="7" borderId="0" xfId="1" applyNumberFormat="1" applyFont="1" applyFill="1" applyAlignment="1" applyProtection="1">
      <alignment vertical="top"/>
    </xf>
    <xf numFmtId="0" fontId="9" fillId="7" borderId="0" xfId="0" applyFont="1" applyFill="1" applyAlignment="1">
      <alignment vertical="top" wrapText="1"/>
    </xf>
    <xf numFmtId="0" fontId="0" fillId="7" borderId="0" xfId="0" applyFill="1" applyAlignment="1">
      <alignment wrapText="1"/>
    </xf>
    <xf numFmtId="0" fontId="5" fillId="6" borderId="0" xfId="2" applyFill="1" applyBorder="1" applyAlignment="1" applyProtection="1">
      <alignment vertical="top"/>
    </xf>
    <xf numFmtId="164" fontId="6" fillId="8" borderId="2" xfId="3" applyNumberFormat="1" applyFill="1" applyAlignment="1">
      <alignment vertical="top"/>
    </xf>
    <xf numFmtId="172" fontId="5" fillId="6" borderId="0" xfId="16" applyNumberFormat="1" applyFill="1" applyBorder="1" applyAlignment="1" applyProtection="1">
      <alignment vertical="top"/>
    </xf>
    <xf numFmtId="0" fontId="0" fillId="7" borderId="0" xfId="0" quotePrefix="1" applyFill="1" applyAlignment="1">
      <alignment vertical="top" wrapText="1"/>
    </xf>
    <xf numFmtId="0" fontId="5" fillId="2" borderId="1" xfId="2" applyAlignment="1" applyProtection="1">
      <alignment horizontal="left"/>
    </xf>
    <xf numFmtId="0" fontId="5" fillId="21" borderId="1" xfId="16" applyAlignment="1" applyProtection="1">
      <alignment horizontal="left"/>
    </xf>
    <xf numFmtId="1" fontId="0" fillId="0" borderId="0" xfId="0" applyNumberFormat="1"/>
    <xf numFmtId="175" fontId="0" fillId="0" borderId="0" xfId="0" applyNumberFormat="1"/>
    <xf numFmtId="0" fontId="0" fillId="25" borderId="0" xfId="0" applyFill="1" applyAlignment="1">
      <alignment vertical="top"/>
    </xf>
    <xf numFmtId="0" fontId="0" fillId="26" borderId="0" xfId="0" applyFill="1" applyAlignment="1">
      <alignment vertical="top"/>
    </xf>
    <xf numFmtId="0" fontId="0" fillId="27" borderId="0" xfId="0" applyFill="1" applyAlignment="1">
      <alignment vertical="top"/>
    </xf>
    <xf numFmtId="0" fontId="0" fillId="28" borderId="0" xfId="0" applyFill="1" applyAlignment="1">
      <alignment vertical="top"/>
    </xf>
    <xf numFmtId="0" fontId="3" fillId="0" borderId="0" xfId="0" applyFont="1" applyAlignment="1">
      <alignment vertical="top"/>
    </xf>
    <xf numFmtId="0" fontId="3" fillId="0" borderId="0" xfId="0" applyFont="1" applyAlignment="1">
      <alignment vertical="center" wrapText="1"/>
    </xf>
    <xf numFmtId="0" fontId="3" fillId="25" borderId="0" xfId="0" applyFont="1" applyFill="1" applyAlignment="1">
      <alignment vertical="top" wrapText="1"/>
    </xf>
    <xf numFmtId="0" fontId="3" fillId="0" borderId="0" xfId="0" applyFont="1" applyAlignment="1">
      <alignment vertical="top" wrapText="1"/>
    </xf>
    <xf numFmtId="0" fontId="3" fillId="26" borderId="0" xfId="0" applyFont="1" applyFill="1" applyAlignment="1">
      <alignment vertical="top" wrapText="1"/>
    </xf>
    <xf numFmtId="0" fontId="3" fillId="27" borderId="0" xfId="0" applyFont="1" applyFill="1" applyAlignment="1">
      <alignment vertical="top" wrapText="1"/>
    </xf>
    <xf numFmtId="0" fontId="3" fillId="28" borderId="0" xfId="0" applyFont="1" applyFill="1" applyAlignment="1">
      <alignment vertical="top" wrapText="1"/>
    </xf>
    <xf numFmtId="10" fontId="0" fillId="0" borderId="0" xfId="0" applyNumberFormat="1" applyAlignment="1">
      <alignment vertical="top"/>
    </xf>
    <xf numFmtId="9" fontId="0" fillId="0" borderId="0" xfId="0" applyNumberFormat="1" applyAlignment="1">
      <alignment vertical="top" wrapText="1"/>
    </xf>
    <xf numFmtId="164" fontId="0" fillId="0" borderId="0" xfId="0" applyNumberFormat="1" applyAlignment="1">
      <alignment vertical="top"/>
    </xf>
    <xf numFmtId="176" fontId="0" fillId="0" borderId="0" xfId="0" applyNumberFormat="1" applyAlignment="1">
      <alignment vertical="top"/>
    </xf>
    <xf numFmtId="0" fontId="0" fillId="26" borderId="0" xfId="0" applyFill="1" applyAlignment="1">
      <alignment vertical="top" wrapText="1"/>
    </xf>
    <xf numFmtId="0" fontId="0" fillId="28" borderId="0" xfId="0" applyFill="1" applyAlignment="1">
      <alignment vertical="top" wrapText="1"/>
    </xf>
    <xf numFmtId="10" fontId="0" fillId="0" borderId="0" xfId="0" applyNumberFormat="1" applyAlignment="1">
      <alignment vertical="top" wrapText="1"/>
    </xf>
    <xf numFmtId="9" fontId="0" fillId="0" borderId="0" xfId="0" applyNumberFormat="1" applyAlignment="1">
      <alignment vertical="top"/>
    </xf>
    <xf numFmtId="0" fontId="0" fillId="27" borderId="0" xfId="0" applyFill="1" applyAlignment="1">
      <alignment vertical="top" wrapText="1"/>
    </xf>
    <xf numFmtId="9" fontId="0" fillId="29" borderId="0" xfId="0" applyNumberFormat="1" applyFill="1" applyAlignment="1">
      <alignment vertical="top" wrapText="1"/>
    </xf>
    <xf numFmtId="164" fontId="9" fillId="0" borderId="0" xfId="0" applyNumberFormat="1" applyFont="1" applyAlignment="1">
      <alignment vertical="top"/>
    </xf>
    <xf numFmtId="0" fontId="0" fillId="20" borderId="0" xfId="0" applyFill="1" applyAlignment="1">
      <alignment vertical="top"/>
    </xf>
    <xf numFmtId="0" fontId="0" fillId="20" borderId="0" xfId="0" applyFill="1" applyAlignment="1">
      <alignment vertical="top" wrapText="1"/>
    </xf>
    <xf numFmtId="10" fontId="0" fillId="20" borderId="0" xfId="0" applyNumberFormat="1" applyFill="1" applyAlignment="1">
      <alignment vertical="top"/>
    </xf>
    <xf numFmtId="164" fontId="0" fillId="20" borderId="0" xfId="0" applyNumberFormat="1" applyFill="1" applyAlignment="1">
      <alignment vertical="top"/>
    </xf>
    <xf numFmtId="176" fontId="0" fillId="20" borderId="0" xfId="0" applyNumberFormat="1" applyFill="1" applyAlignment="1">
      <alignment vertical="top"/>
    </xf>
    <xf numFmtId="9" fontId="0" fillId="20" borderId="0" xfId="0" applyNumberFormat="1" applyFill="1" applyAlignment="1">
      <alignment vertical="top"/>
    </xf>
    <xf numFmtId="0" fontId="3" fillId="20" borderId="0" xfId="0" applyFont="1" applyFill="1" applyAlignment="1">
      <alignment vertical="top"/>
    </xf>
    <xf numFmtId="9" fontId="0" fillId="20" borderId="0" xfId="0" applyNumberFormat="1" applyFill="1" applyAlignment="1">
      <alignment vertical="top" wrapText="1"/>
    </xf>
    <xf numFmtId="9" fontId="5" fillId="21" borderId="1" xfId="16" applyNumberFormat="1" applyAlignment="1">
      <alignment vertical="top"/>
      <protection locked="0"/>
    </xf>
    <xf numFmtId="0" fontId="0" fillId="29" borderId="0" xfId="0" applyFill="1" applyAlignment="1">
      <alignment vertical="top" wrapText="1"/>
    </xf>
    <xf numFmtId="0" fontId="0" fillId="0" borderId="0" xfId="0" applyAlignment="1">
      <alignment vertical="top" wrapText="1"/>
    </xf>
    <xf numFmtId="0" fontId="3" fillId="0" borderId="0" xfId="0" applyFont="1"/>
    <xf numFmtId="0" fontId="3" fillId="0" borderId="0" xfId="0" applyFont="1" applyAlignment="1">
      <alignment wrapText="1"/>
    </xf>
    <xf numFmtId="0" fontId="0" fillId="26" borderId="58" xfId="0" applyFill="1" applyBorder="1" applyAlignment="1">
      <alignment horizontal="center"/>
    </xf>
    <xf numFmtId="0" fontId="0" fillId="0" borderId="0" xfId="0" applyAlignment="1">
      <alignment horizontal="centerContinuous" wrapText="1"/>
    </xf>
    <xf numFmtId="0" fontId="0" fillId="0" borderId="0" xfId="0" applyAlignment="1">
      <alignment horizontal="centerContinuous"/>
    </xf>
    <xf numFmtId="0" fontId="0" fillId="0" borderId="60" xfId="0" applyBorder="1" applyAlignment="1">
      <alignment horizontal="centerContinuous"/>
    </xf>
    <xf numFmtId="0" fontId="0" fillId="0" borderId="46" xfId="0" applyBorder="1" applyAlignment="1">
      <alignment horizontal="centerContinuous"/>
    </xf>
    <xf numFmtId="0" fontId="0" fillId="0" borderId="61" xfId="0" applyBorder="1" applyAlignment="1">
      <alignment horizontal="centerContinuous"/>
    </xf>
    <xf numFmtId="0" fontId="0" fillId="0" borderId="63" xfId="0" applyBorder="1"/>
    <xf numFmtId="0" fontId="0" fillId="0" borderId="64" xfId="0"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0" fillId="0" borderId="62" xfId="0" applyBorder="1" applyAlignment="1">
      <alignment horizontal="center"/>
    </xf>
    <xf numFmtId="0" fontId="0" fillId="0" borderId="43" xfId="0" applyBorder="1" applyAlignment="1">
      <alignment horizontal="center"/>
    </xf>
    <xf numFmtId="0" fontId="0" fillId="0" borderId="63" xfId="0" applyBorder="1" applyAlignment="1">
      <alignment horizontal="center"/>
    </xf>
    <xf numFmtId="10" fontId="0" fillId="0" borderId="0" xfId="0" applyNumberFormat="1"/>
    <xf numFmtId="0" fontId="0" fillId="0" borderId="67" xfId="0" applyBorder="1" applyAlignment="1">
      <alignment horizontal="centerContinuous"/>
    </xf>
    <xf numFmtId="9" fontId="0" fillId="26" borderId="58" xfId="0" applyNumberFormat="1" applyFill="1" applyBorder="1"/>
    <xf numFmtId="0" fontId="0" fillId="29" borderId="58" xfId="0" applyFill="1" applyBorder="1" applyAlignment="1">
      <alignment horizontal="left"/>
    </xf>
    <xf numFmtId="9" fontId="5" fillId="2" borderId="1" xfId="2" applyNumberFormat="1" applyAlignment="1">
      <alignment horizontal="right" vertical="top"/>
      <protection locked="0"/>
    </xf>
    <xf numFmtId="3" fontId="0" fillId="26" borderId="59" xfId="0" applyNumberFormat="1" applyFill="1" applyBorder="1" applyAlignment="1">
      <alignment horizontal="center"/>
    </xf>
    <xf numFmtId="3" fontId="0" fillId="26" borderId="58" xfId="0" applyNumberFormat="1" applyFill="1" applyBorder="1" applyAlignment="1">
      <alignment horizontal="center"/>
    </xf>
    <xf numFmtId="3" fontId="0" fillId="26" borderId="58" xfId="0" applyNumberFormat="1" applyFill="1" applyBorder="1" applyAlignment="1">
      <alignment horizontal="left"/>
    </xf>
    <xf numFmtId="170" fontId="5" fillId="2" borderId="1" xfId="2" applyNumberFormat="1" applyAlignment="1">
      <alignment horizontal="right" vertical="top"/>
      <protection locked="0"/>
    </xf>
    <xf numFmtId="0" fontId="13" fillId="0" borderId="0" xfId="8" applyAlignment="1">
      <alignment vertical="top"/>
    </xf>
    <xf numFmtId="0" fontId="13" fillId="20" borderId="0" xfId="8" applyFill="1" applyAlignment="1">
      <alignment vertical="top"/>
    </xf>
    <xf numFmtId="177" fontId="0" fillId="0" borderId="0" xfId="0" applyNumberFormat="1"/>
    <xf numFmtId="1" fontId="3" fillId="0" borderId="0" xfId="0" applyNumberFormat="1" applyFont="1"/>
    <xf numFmtId="1" fontId="0" fillId="26" borderId="58" xfId="0" applyNumberFormat="1" applyFill="1" applyBorder="1"/>
    <xf numFmtId="0" fontId="0" fillId="26" borderId="58" xfId="0" applyFill="1" applyBorder="1"/>
    <xf numFmtId="0" fontId="3" fillId="29" borderId="0" xfId="0" applyFont="1" applyFill="1"/>
    <xf numFmtId="0" fontId="10" fillId="29" borderId="0" xfId="0" applyFont="1" applyFill="1"/>
    <xf numFmtId="0" fontId="9" fillId="6" borderId="0" xfId="0" applyFont="1" applyFill="1" applyAlignment="1" applyProtection="1">
      <alignment vertical="top"/>
      <protection hidden="1"/>
    </xf>
    <xf numFmtId="0" fontId="13" fillId="0" borderId="0" xfId="8" applyFill="1" applyAlignment="1">
      <alignment vertical="top"/>
    </xf>
    <xf numFmtId="164" fontId="0" fillId="0" borderId="0" xfId="0" applyNumberFormat="1"/>
    <xf numFmtId="164" fontId="3" fillId="0" borderId="0" xfId="0" applyNumberFormat="1" applyFont="1"/>
    <xf numFmtId="0" fontId="0" fillId="0" borderId="0" xfId="0" applyAlignment="1">
      <alignment vertical="center" wrapText="1"/>
    </xf>
    <xf numFmtId="0" fontId="0" fillId="30" borderId="0" xfId="0" applyFill="1" applyAlignment="1">
      <alignment vertical="center" wrapText="1"/>
    </xf>
    <xf numFmtId="0" fontId="0" fillId="6" borderId="10" xfId="0" applyFill="1" applyBorder="1" applyAlignment="1">
      <alignment vertical="top" wrapText="1"/>
    </xf>
    <xf numFmtId="0" fontId="0" fillId="6" borderId="9" xfId="0" applyFill="1" applyBorder="1" applyAlignment="1">
      <alignment vertical="top"/>
    </xf>
    <xf numFmtId="0" fontId="0" fillId="6" borderId="9" xfId="0" applyFill="1" applyBorder="1" applyAlignment="1">
      <alignment vertical="top" wrapText="1"/>
    </xf>
    <xf numFmtId="1" fontId="0" fillId="26" borderId="58" xfId="0" applyNumberFormat="1" applyFill="1" applyBorder="1" applyAlignment="1">
      <alignment horizontal="center"/>
    </xf>
    <xf numFmtId="10" fontId="0" fillId="29" borderId="58" xfId="0" applyNumberFormat="1" applyFill="1" applyBorder="1" applyAlignment="1">
      <alignment horizontal="left"/>
    </xf>
    <xf numFmtId="0" fontId="0" fillId="0" borderId="64" xfId="0" applyBorder="1"/>
    <xf numFmtId="0" fontId="0" fillId="0" borderId="65" xfId="0" applyBorder="1"/>
    <xf numFmtId="0" fontId="0" fillId="0" borderId="66" xfId="0" applyBorder="1"/>
    <xf numFmtId="170" fontId="5" fillId="5" borderId="1" xfId="1" applyNumberFormat="1" applyFont="1" applyFill="1" applyBorder="1" applyProtection="1">
      <protection locked="0"/>
    </xf>
    <xf numFmtId="166" fontId="5" fillId="5" borderId="1" xfId="1" applyNumberFormat="1" applyFont="1" applyFill="1" applyBorder="1" applyProtection="1">
      <protection locked="0"/>
    </xf>
    <xf numFmtId="0" fontId="33" fillId="2" borderId="1" xfId="2" applyFont="1" applyAlignment="1">
      <alignment horizontal="left"/>
      <protection locked="0"/>
    </xf>
    <xf numFmtId="0" fontId="18" fillId="7" borderId="0" xfId="0" applyFont="1" applyFill="1" applyAlignment="1">
      <alignment vertical="top"/>
    </xf>
    <xf numFmtId="0" fontId="18" fillId="7" borderId="0" xfId="0" quotePrefix="1" applyFont="1" applyFill="1" applyAlignment="1">
      <alignment vertical="top" wrapText="1"/>
    </xf>
    <xf numFmtId="3" fontId="5" fillId="6" borderId="1" xfId="2" applyNumberFormat="1" applyFill="1" applyAlignment="1" applyProtection="1">
      <alignment horizontal="right" vertical="top"/>
    </xf>
    <xf numFmtId="0" fontId="9" fillId="0" borderId="0" xfId="0" applyFont="1" applyAlignment="1">
      <alignment vertical="top" wrapText="1"/>
    </xf>
    <xf numFmtId="0" fontId="23" fillId="18" borderId="76" xfId="9" applyFont="1" applyFill="1" applyBorder="1" applyAlignment="1">
      <alignment vertical="center"/>
    </xf>
    <xf numFmtId="0" fontId="0" fillId="7" borderId="0" xfId="0" applyFill="1" applyAlignment="1">
      <alignment vertical="top" wrapText="1"/>
    </xf>
    <xf numFmtId="0" fontId="0" fillId="7" borderId="0" xfId="0" applyFill="1" applyAlignment="1">
      <alignment horizontal="left" vertical="top" wrapText="1"/>
    </xf>
    <xf numFmtId="0" fontId="0" fillId="6" borderId="79" xfId="0" applyFill="1" applyBorder="1" applyAlignment="1">
      <alignment vertical="top" wrapText="1"/>
    </xf>
    <xf numFmtId="0" fontId="10" fillId="7" borderId="0" xfId="0" applyFont="1" applyFill="1" applyAlignment="1">
      <alignment vertical="top" wrapText="1"/>
    </xf>
    <xf numFmtId="0" fontId="0" fillId="6" borderId="83" xfId="0" applyFill="1" applyBorder="1" applyAlignment="1">
      <alignment vertical="top" wrapText="1"/>
    </xf>
    <xf numFmtId="179" fontId="5" fillId="2" borderId="1" xfId="2" applyNumberFormat="1" applyAlignment="1">
      <alignment vertical="top"/>
      <protection locked="0"/>
    </xf>
    <xf numFmtId="0" fontId="13" fillId="7" borderId="0" xfId="8" applyFill="1" applyAlignment="1">
      <alignment horizontal="right"/>
    </xf>
    <xf numFmtId="0" fontId="0" fillId="6" borderId="0" xfId="0" applyFill="1" applyAlignment="1">
      <alignment horizontal="left" vertical="top" wrapText="1"/>
    </xf>
    <xf numFmtId="0" fontId="8" fillId="7" borderId="0" xfId="0" applyFont="1" applyFill="1" applyAlignment="1">
      <alignment vertical="top" wrapText="1"/>
    </xf>
    <xf numFmtId="0" fontId="36" fillId="7" borderId="0" xfId="0" applyFont="1" applyFill="1" applyAlignment="1">
      <alignment vertical="top"/>
    </xf>
    <xf numFmtId="0" fontId="0" fillId="0" borderId="0" xfId="0" applyAlignment="1">
      <alignment horizontal="right"/>
    </xf>
    <xf numFmtId="0" fontId="9" fillId="6" borderId="0" xfId="0" applyFont="1" applyFill="1" applyAlignment="1">
      <alignment horizontal="left" vertical="top"/>
    </xf>
    <xf numFmtId="0" fontId="9" fillId="6" borderId="0" xfId="0" applyFont="1" applyFill="1" applyAlignment="1">
      <alignment vertical="top"/>
    </xf>
    <xf numFmtId="0" fontId="8" fillId="6" borderId="0" xfId="0" applyFont="1" applyFill="1" applyAlignment="1">
      <alignment vertical="top"/>
    </xf>
    <xf numFmtId="0" fontId="8" fillId="6" borderId="0" xfId="0" applyFont="1" applyFill="1" applyAlignment="1">
      <alignment horizontal="left" vertical="top" indent="6"/>
    </xf>
    <xf numFmtId="0" fontId="2" fillId="6" borderId="44" xfId="19" applyAlignment="1">
      <alignment horizontal="left" vertical="top"/>
    </xf>
    <xf numFmtId="164" fontId="0" fillId="6" borderId="54" xfId="1" applyNumberFormat="1" applyFont="1" applyFill="1" applyBorder="1" applyAlignment="1" applyProtection="1">
      <alignment vertical="top"/>
    </xf>
    <xf numFmtId="0" fontId="20" fillId="6" borderId="0" xfId="0" applyFont="1" applyFill="1" applyAlignment="1">
      <alignment horizontal="center" vertical="top"/>
    </xf>
    <xf numFmtId="0" fontId="18" fillId="6" borderId="0" xfId="0" applyFont="1" applyFill="1" applyAlignment="1">
      <alignment vertical="top"/>
    </xf>
    <xf numFmtId="0" fontId="8" fillId="6" borderId="9" xfId="0" quotePrefix="1" applyFont="1" applyFill="1" applyBorder="1" applyAlignment="1">
      <alignment horizontal="left" vertical="top"/>
    </xf>
    <xf numFmtId="0" fontId="8" fillId="6" borderId="9" xfId="0" applyFont="1" applyFill="1" applyBorder="1" applyAlignment="1">
      <alignment horizontal="centerContinuous"/>
    </xf>
    <xf numFmtId="0" fontId="18" fillId="6" borderId="0" xfId="0" applyFont="1" applyFill="1" applyAlignment="1" applyProtection="1">
      <alignment vertical="top"/>
      <protection locked="0"/>
    </xf>
    <xf numFmtId="0" fontId="0" fillId="5" borderId="0" xfId="0" applyFill="1"/>
    <xf numFmtId="0" fontId="44" fillId="7" borderId="0" xfId="0" applyFont="1" applyFill="1"/>
    <xf numFmtId="0" fontId="21" fillId="18" borderId="38" xfId="9" applyFill="1" applyBorder="1"/>
    <xf numFmtId="0" fontId="23" fillId="18" borderId="39" xfId="9" applyFont="1" applyFill="1" applyBorder="1"/>
    <xf numFmtId="0" fontId="0" fillId="18" borderId="39" xfId="0" applyFill="1" applyBorder="1"/>
    <xf numFmtId="0" fontId="0" fillId="18" borderId="39" xfId="0" applyFill="1" applyBorder="1" applyAlignment="1">
      <alignment horizontal="center"/>
    </xf>
    <xf numFmtId="0" fontId="21" fillId="18" borderId="39" xfId="9" applyFill="1" applyBorder="1"/>
    <xf numFmtId="0" fontId="21" fillId="18" borderId="40" xfId="9" applyFill="1" applyBorder="1"/>
    <xf numFmtId="0" fontId="0" fillId="6" borderId="25" xfId="0" applyFill="1" applyBorder="1" applyAlignment="1">
      <alignment vertical="top" wrapText="1"/>
    </xf>
    <xf numFmtId="0" fontId="0" fillId="6" borderId="27" xfId="0" applyFill="1" applyBorder="1" applyAlignment="1">
      <alignment vertical="top" wrapText="1"/>
    </xf>
    <xf numFmtId="0" fontId="0" fillId="6" borderId="55" xfId="0" applyFill="1" applyBorder="1" applyAlignment="1">
      <alignment vertical="top" wrapText="1"/>
    </xf>
    <xf numFmtId="0" fontId="0" fillId="6" borderId="57" xfId="0" applyFill="1" applyBorder="1" applyAlignment="1">
      <alignment vertical="top" wrapText="1"/>
    </xf>
    <xf numFmtId="0" fontId="0" fillId="18" borderId="40" xfId="0" applyFill="1" applyBorder="1" applyAlignment="1">
      <alignment horizontal="center"/>
    </xf>
    <xf numFmtId="0" fontId="0" fillId="6" borderId="25" xfId="0" applyFill="1" applyBorder="1"/>
    <xf numFmtId="0" fontId="3" fillId="6" borderId="26" xfId="0" applyFont="1" applyFill="1" applyBorder="1"/>
    <xf numFmtId="0" fontId="0" fillId="6" borderId="26" xfId="0" applyFill="1" applyBorder="1" applyAlignment="1">
      <alignment horizontal="left"/>
    </xf>
    <xf numFmtId="0" fontId="0" fillId="6" borderId="27" xfId="0" applyFill="1" applyBorder="1" applyAlignment="1">
      <alignment horizontal="left"/>
    </xf>
    <xf numFmtId="0" fontId="0" fillId="7" borderId="0" xfId="0" applyFill="1" applyAlignment="1">
      <alignment horizontal="left"/>
    </xf>
    <xf numFmtId="0" fontId="0" fillId="6" borderId="27" xfId="0" applyFill="1" applyBorder="1"/>
    <xf numFmtId="0" fontId="0" fillId="6" borderId="28" xfId="0" applyFill="1" applyBorder="1"/>
    <xf numFmtId="0" fontId="0" fillId="6" borderId="29" xfId="0" applyFill="1" applyBorder="1" applyAlignment="1">
      <alignment horizontal="left"/>
    </xf>
    <xf numFmtId="0" fontId="0" fillId="6" borderId="29" xfId="0" applyFill="1" applyBorder="1"/>
    <xf numFmtId="0" fontId="0" fillId="6" borderId="0" xfId="0" applyFill="1" applyAlignment="1">
      <alignment horizontal="left" indent="1"/>
    </xf>
    <xf numFmtId="0" fontId="0" fillId="6" borderId="54" xfId="10" applyFont="1" applyBorder="1" applyAlignment="1">
      <alignment horizontal="left"/>
    </xf>
    <xf numFmtId="0" fontId="0" fillId="6" borderId="28" xfId="0" applyFill="1" applyBorder="1" applyAlignment="1">
      <alignment wrapText="1"/>
    </xf>
    <xf numFmtId="0" fontId="0" fillId="6" borderId="0" xfId="0" applyFill="1" applyAlignment="1">
      <alignment wrapText="1"/>
    </xf>
    <xf numFmtId="0" fontId="0" fillId="6" borderId="29" xfId="0" applyFill="1" applyBorder="1" applyAlignment="1">
      <alignment wrapText="1"/>
    </xf>
    <xf numFmtId="0" fontId="2" fillId="6" borderId="44" xfId="10" applyBorder="1" applyAlignment="1">
      <alignment horizontal="left"/>
    </xf>
    <xf numFmtId="0" fontId="7" fillId="3" borderId="1" xfId="4" applyAlignment="1">
      <alignment horizontal="left"/>
    </xf>
    <xf numFmtId="0" fontId="6" fillId="3" borderId="2" xfId="3" applyAlignment="1">
      <alignment horizontal="left"/>
    </xf>
    <xf numFmtId="0" fontId="10" fillId="26" borderId="53" xfId="18" applyFill="1" applyProtection="1"/>
    <xf numFmtId="0" fontId="10" fillId="21" borderId="45" xfId="21" applyFill="1"/>
    <xf numFmtId="0" fontId="0" fillId="6" borderId="30" xfId="0" applyFill="1" applyBorder="1"/>
    <xf numFmtId="0" fontId="0" fillId="6" borderId="31" xfId="0" applyFill="1" applyBorder="1"/>
    <xf numFmtId="0" fontId="0" fillId="6" borderId="31" xfId="0" applyFill="1" applyBorder="1" applyAlignment="1">
      <alignment horizontal="left"/>
    </xf>
    <xf numFmtId="0" fontId="0" fillId="6" borderId="32" xfId="0" applyFill="1" applyBorder="1" applyAlignment="1">
      <alignment horizontal="left"/>
    </xf>
    <xf numFmtId="0" fontId="0" fillId="6" borderId="32" xfId="0" applyFill="1" applyBorder="1"/>
    <xf numFmtId="0" fontId="21" fillId="18" borderId="25" xfId="9" applyFill="1" applyBorder="1"/>
    <xf numFmtId="0" fontId="23" fillId="18" borderId="26" xfId="9" applyFont="1" applyFill="1" applyBorder="1"/>
    <xf numFmtId="0" fontId="0" fillId="18" borderId="26" xfId="0" applyFill="1" applyBorder="1"/>
    <xf numFmtId="0" fontId="0" fillId="18" borderId="26" xfId="0" applyFill="1" applyBorder="1" applyAlignment="1">
      <alignment horizontal="center"/>
    </xf>
    <xf numFmtId="0" fontId="21" fillId="18" borderId="26" xfId="9" applyFill="1" applyBorder="1"/>
    <xf numFmtId="0" fontId="21" fillId="18" borderId="27" xfId="9" applyFill="1" applyBorder="1"/>
    <xf numFmtId="0" fontId="0" fillId="6" borderId="26" xfId="0" applyFill="1" applyBorder="1"/>
    <xf numFmtId="0" fontId="12" fillId="6" borderId="26" xfId="0" applyFont="1" applyFill="1" applyBorder="1" applyAlignment="1">
      <alignment horizontal="left"/>
    </xf>
    <xf numFmtId="0" fontId="12" fillId="6" borderId="0" xfId="0" applyFont="1" applyFill="1"/>
    <xf numFmtId="0" fontId="12" fillId="6" borderId="0" xfId="0" applyFont="1" applyFill="1" applyAlignment="1">
      <alignment horizontal="left"/>
    </xf>
    <xf numFmtId="0" fontId="14" fillId="6" borderId="0" xfId="0" applyFont="1" applyFill="1"/>
    <xf numFmtId="0" fontId="12" fillId="6" borderId="30" xfId="0" applyFont="1" applyFill="1" applyBorder="1" applyAlignment="1">
      <alignment horizontal="left"/>
    </xf>
    <xf numFmtId="0" fontId="12" fillId="6" borderId="31" xfId="0" applyFont="1" applyFill="1" applyBorder="1" applyAlignment="1">
      <alignment horizontal="left"/>
    </xf>
    <xf numFmtId="0" fontId="0" fillId="6" borderId="31" xfId="0" applyFill="1" applyBorder="1" applyAlignment="1">
      <alignment vertical="top" wrapText="1"/>
    </xf>
    <xf numFmtId="0" fontId="12" fillId="6" borderId="32" xfId="0" applyFont="1" applyFill="1" applyBorder="1" applyAlignment="1">
      <alignment horizontal="left"/>
    </xf>
    <xf numFmtId="0" fontId="12" fillId="7" borderId="0" xfId="0" applyFont="1" applyFill="1" applyAlignment="1">
      <alignment horizontal="left"/>
    </xf>
    <xf numFmtId="0" fontId="0" fillId="6" borderId="28" xfId="0" applyFill="1" applyBorder="1" applyAlignment="1">
      <alignment horizontal="center"/>
    </xf>
    <xf numFmtId="0" fontId="0" fillId="6" borderId="29" xfId="0" applyFill="1" applyBorder="1" applyAlignment="1">
      <alignment horizontal="center"/>
    </xf>
    <xf numFmtId="0" fontId="14" fillId="22" borderId="35" xfId="0" applyFont="1" applyFill="1" applyBorder="1" applyAlignment="1">
      <alignment horizontal="center" vertical="center"/>
    </xf>
    <xf numFmtId="0" fontId="14" fillId="19" borderId="35" xfId="0" applyFont="1" applyFill="1" applyBorder="1" applyAlignment="1">
      <alignment horizontal="center" vertical="center"/>
    </xf>
    <xf numFmtId="0" fontId="14" fillId="22" borderId="36" xfId="0" applyFont="1" applyFill="1" applyBorder="1" applyAlignment="1">
      <alignment horizontal="center" vertical="center"/>
    </xf>
    <xf numFmtId="0" fontId="14" fillId="19" borderId="36" xfId="0" applyFont="1" applyFill="1" applyBorder="1" applyAlignment="1">
      <alignment horizontal="center" vertical="center"/>
    </xf>
    <xf numFmtId="0" fontId="14" fillId="22" borderId="37" xfId="0" applyFont="1" applyFill="1" applyBorder="1" applyAlignment="1">
      <alignment horizontal="center" vertical="center"/>
    </xf>
    <xf numFmtId="0" fontId="14" fillId="19" borderId="37" xfId="0" applyFont="1" applyFill="1" applyBorder="1" applyAlignment="1">
      <alignment horizontal="center" vertical="center"/>
    </xf>
    <xf numFmtId="0" fontId="14" fillId="16" borderId="35" xfId="0" applyFont="1" applyFill="1" applyBorder="1" applyAlignment="1">
      <alignment horizontal="center" vertical="center"/>
    </xf>
    <xf numFmtId="0" fontId="14" fillId="16" borderId="36" xfId="0" applyFont="1" applyFill="1" applyBorder="1" applyAlignment="1">
      <alignment horizontal="center" vertical="center"/>
    </xf>
    <xf numFmtId="0" fontId="14" fillId="24" borderId="35" xfId="0" applyFont="1" applyFill="1" applyBorder="1" applyAlignment="1">
      <alignment horizontal="center" vertical="center"/>
    </xf>
    <xf numFmtId="0" fontId="14" fillId="16" borderId="37" xfId="0" applyFont="1" applyFill="1" applyBorder="1" applyAlignment="1">
      <alignment horizontal="center" vertical="center"/>
    </xf>
    <xf numFmtId="0" fontId="14" fillId="24" borderId="36" xfId="0" applyFont="1" applyFill="1" applyBorder="1" applyAlignment="1">
      <alignment horizontal="center" vertical="center"/>
    </xf>
    <xf numFmtId="0" fontId="14" fillId="24" borderId="37" xfId="0" applyFont="1" applyFill="1" applyBorder="1" applyAlignment="1">
      <alignment horizontal="center" vertical="center"/>
    </xf>
    <xf numFmtId="0" fontId="14" fillId="23" borderId="35" xfId="0" applyFont="1" applyFill="1" applyBorder="1" applyAlignment="1">
      <alignment horizontal="center" vertical="center"/>
    </xf>
    <xf numFmtId="0" fontId="13" fillId="6" borderId="0" xfId="8" applyFill="1" applyBorder="1" applyAlignment="1" applyProtection="1">
      <alignment horizontal="left" vertical="top" indent="2"/>
    </xf>
    <xf numFmtId="0" fontId="13" fillId="6" borderId="0" xfId="8" applyFill="1" applyBorder="1" applyAlignment="1" applyProtection="1">
      <alignment vertical="top"/>
    </xf>
    <xf numFmtId="0" fontId="14" fillId="23" borderId="36" xfId="0" applyFont="1" applyFill="1" applyBorder="1" applyAlignment="1">
      <alignment horizontal="center" vertical="center"/>
    </xf>
    <xf numFmtId="0" fontId="14" fillId="23" borderId="37" xfId="0" applyFont="1" applyFill="1" applyBorder="1" applyAlignment="1">
      <alignment horizontal="center" vertical="center"/>
    </xf>
    <xf numFmtId="0" fontId="0" fillId="6" borderId="30" xfId="0" applyFill="1" applyBorder="1" applyAlignment="1">
      <alignment horizontal="center"/>
    </xf>
    <xf numFmtId="0" fontId="0" fillId="6" borderId="31" xfId="0" applyFill="1" applyBorder="1" applyAlignment="1">
      <alignment horizontal="center"/>
    </xf>
    <xf numFmtId="0" fontId="0" fillId="6" borderId="32" xfId="0" applyFill="1" applyBorder="1" applyAlignment="1">
      <alignment horizontal="center"/>
    </xf>
    <xf numFmtId="0" fontId="33" fillId="21" borderId="1" xfId="16" applyFont="1" applyAlignment="1">
      <protection locked="0"/>
    </xf>
    <xf numFmtId="0" fontId="0" fillId="7" borderId="0" xfId="0" applyFill="1" applyAlignment="1">
      <alignment horizontal="center" wrapText="1"/>
    </xf>
    <xf numFmtId="0" fontId="13" fillId="7" borderId="0" xfId="8" applyFill="1" applyAlignment="1" applyProtection="1">
      <alignment horizontal="right"/>
    </xf>
    <xf numFmtId="0" fontId="54" fillId="7" borderId="0" xfId="20" applyFont="1"/>
    <xf numFmtId="0" fontId="29" fillId="7" borderId="0" xfId="8" applyFont="1" applyFill="1" applyBorder="1" applyAlignment="1" applyProtection="1">
      <alignment horizontal="right"/>
    </xf>
    <xf numFmtId="0" fontId="3" fillId="7" borderId="0" xfId="0" applyFont="1" applyFill="1"/>
    <xf numFmtId="0" fontId="9" fillId="0" borderId="0" xfId="0" applyFont="1"/>
    <xf numFmtId="0" fontId="0" fillId="8" borderId="3" xfId="0" applyFill="1" applyBorder="1"/>
    <xf numFmtId="0" fontId="0" fillId="8" borderId="4" xfId="0" applyFill="1" applyBorder="1"/>
    <xf numFmtId="0" fontId="3" fillId="8" borderId="4" xfId="0" applyFont="1" applyFill="1" applyBorder="1"/>
    <xf numFmtId="0" fontId="0" fillId="8" borderId="4" xfId="0" applyFill="1" applyBorder="1" applyAlignment="1">
      <alignment wrapText="1"/>
    </xf>
    <xf numFmtId="0" fontId="0" fillId="8" borderId="5" xfId="0" applyFill="1" applyBorder="1"/>
    <xf numFmtId="0" fontId="0" fillId="8" borderId="6" xfId="0" applyFill="1" applyBorder="1"/>
    <xf numFmtId="0" fontId="0" fillId="8" borderId="0" xfId="0" applyFill="1"/>
    <xf numFmtId="0" fontId="9" fillId="8" borderId="0" xfId="0" applyFont="1" applyFill="1"/>
    <xf numFmtId="0" fontId="9" fillId="8" borderId="0" xfId="0" applyFont="1" applyFill="1" applyAlignment="1">
      <alignment wrapText="1"/>
    </xf>
    <xf numFmtId="0" fontId="0" fillId="8" borderId="7" xfId="0" applyFill="1" applyBorder="1"/>
    <xf numFmtId="0" fontId="0" fillId="8" borderId="0" xfId="0" applyFill="1" applyAlignment="1">
      <alignment wrapText="1"/>
    </xf>
    <xf numFmtId="0" fontId="3" fillId="8" borderId="0" xfId="0" applyFont="1" applyFill="1" applyAlignment="1">
      <alignment horizontal="left"/>
    </xf>
    <xf numFmtId="0" fontId="3" fillId="8" borderId="0" xfId="0" applyFont="1" applyFill="1"/>
    <xf numFmtId="0" fontId="0" fillId="8" borderId="8" xfId="0" applyFill="1" applyBorder="1"/>
    <xf numFmtId="0" fontId="0" fillId="8" borderId="9" xfId="0" applyFill="1" applyBorder="1"/>
    <xf numFmtId="0" fontId="0" fillId="8" borderId="9" xfId="0" applyFill="1" applyBorder="1" applyAlignment="1">
      <alignment wrapText="1"/>
    </xf>
    <xf numFmtId="0" fontId="0" fillId="8" borderId="10" xfId="0" applyFill="1" applyBorder="1"/>
    <xf numFmtId="0" fontId="3" fillId="8" borderId="6" xfId="0" applyFont="1" applyFill="1" applyBorder="1" applyAlignment="1">
      <alignment horizontal="left" indent="1"/>
    </xf>
    <xf numFmtId="0" fontId="3" fillId="8" borderId="0" xfId="0" applyFont="1" applyFill="1" applyAlignment="1">
      <alignment horizontal="left" indent="1"/>
    </xf>
    <xf numFmtId="0" fontId="3" fillId="8" borderId="0" xfId="0" applyFont="1" applyFill="1" applyAlignment="1">
      <alignment horizontal="center"/>
    </xf>
    <xf numFmtId="0" fontId="3" fillId="8" borderId="0" xfId="0" applyFont="1" applyFill="1" applyAlignment="1">
      <alignment wrapText="1"/>
    </xf>
    <xf numFmtId="0" fontId="0" fillId="8" borderId="7" xfId="0" applyFill="1" applyBorder="1" applyAlignment="1">
      <alignment wrapText="1"/>
    </xf>
    <xf numFmtId="0" fontId="9" fillId="7" borderId="0" xfId="0" applyFont="1" applyFill="1" applyAlignment="1">
      <alignment vertical="top"/>
    </xf>
    <xf numFmtId="0" fontId="0" fillId="8" borderId="6" xfId="0" applyFill="1" applyBorder="1" applyAlignment="1">
      <alignment horizontal="left"/>
    </xf>
    <xf numFmtId="0" fontId="0" fillId="8" borderId="0" xfId="0" applyFill="1" applyAlignment="1">
      <alignment horizontal="left"/>
    </xf>
    <xf numFmtId="0" fontId="0" fillId="8" borderId="0" xfId="0" applyFill="1" applyAlignment="1">
      <alignment horizontal="left" vertical="center"/>
    </xf>
    <xf numFmtId="0" fontId="0" fillId="8" borderId="0" xfId="0" applyFill="1" applyAlignment="1">
      <alignment vertical="center"/>
    </xf>
    <xf numFmtId="164" fontId="0" fillId="8" borderId="0" xfId="1" applyNumberFormat="1" applyFont="1" applyFill="1" applyBorder="1" applyAlignment="1" applyProtection="1">
      <alignment horizontal="center" vertical="center" wrapText="1"/>
    </xf>
    <xf numFmtId="0" fontId="0" fillId="8" borderId="0" xfId="0" applyFill="1" applyAlignment="1">
      <alignment vertical="center" wrapText="1"/>
    </xf>
    <xf numFmtId="0" fontId="0" fillId="8" borderId="7" xfId="0" applyFill="1" applyBorder="1" applyAlignment="1">
      <alignment horizontal="left"/>
    </xf>
    <xf numFmtId="164" fontId="0" fillId="8" borderId="0" xfId="1" applyNumberFormat="1" applyFont="1" applyFill="1" applyBorder="1" applyAlignment="1" applyProtection="1"/>
    <xf numFmtId="0" fontId="0" fillId="8" borderId="6" xfId="0" applyFill="1" applyBorder="1" applyAlignment="1">
      <alignment horizontal="left" indent="1"/>
    </xf>
    <xf numFmtId="0" fontId="0" fillId="8" borderId="0" xfId="0" applyFill="1" applyAlignment="1">
      <alignment horizontal="left" indent="1"/>
    </xf>
    <xf numFmtId="0" fontId="31" fillId="8" borderId="70" xfId="0" applyFont="1" applyFill="1" applyBorder="1"/>
    <xf numFmtId="0" fontId="31" fillId="8" borderId="48" xfId="0" applyFont="1" applyFill="1" applyBorder="1"/>
    <xf numFmtId="164" fontId="31" fillId="8" borderId="42" xfId="1" applyNumberFormat="1" applyFont="1" applyFill="1" applyBorder="1" applyAlignment="1" applyProtection="1">
      <alignment horizontal="center"/>
    </xf>
    <xf numFmtId="0" fontId="0" fillId="8" borderId="7" xfId="0" applyFill="1" applyBorder="1" applyAlignment="1">
      <alignment horizontal="left" indent="1"/>
    </xf>
    <xf numFmtId="0" fontId="31" fillId="8" borderId="0" xfId="0" applyFont="1" applyFill="1"/>
    <xf numFmtId="0" fontId="0" fillId="8" borderId="0" xfId="0" applyFill="1" applyAlignment="1">
      <alignment horizontal="center" wrapText="1"/>
    </xf>
    <xf numFmtId="164" fontId="31" fillId="8" borderId="70" xfId="1" applyNumberFormat="1" applyFont="1" applyFill="1" applyBorder="1" applyProtection="1"/>
    <xf numFmtId="164" fontId="31" fillId="8" borderId="48" xfId="1" applyNumberFormat="1" applyFont="1" applyFill="1" applyBorder="1" applyProtection="1"/>
    <xf numFmtId="164" fontId="31" fillId="8" borderId="0" xfId="1" applyNumberFormat="1" applyFont="1" applyFill="1" applyBorder="1" applyProtection="1"/>
    <xf numFmtId="164" fontId="31" fillId="8" borderId="0" xfId="1" applyNumberFormat="1" applyFont="1" applyFill="1" applyBorder="1" applyAlignment="1" applyProtection="1">
      <alignment horizontal="center"/>
    </xf>
    <xf numFmtId="0" fontId="3" fillId="8" borderId="9" xfId="0" applyFont="1" applyFill="1" applyBorder="1"/>
    <xf numFmtId="0" fontId="21" fillId="7" borderId="0" xfId="0" quotePrefix="1" applyFont="1" applyFill="1" applyAlignment="1">
      <alignment vertical="top"/>
    </xf>
    <xf numFmtId="0" fontId="21" fillId="7" borderId="0" xfId="0" applyFont="1" applyFill="1" applyAlignment="1">
      <alignment vertical="top"/>
    </xf>
    <xf numFmtId="0" fontId="10" fillId="8" borderId="3" xfId="9" applyFont="1" applyFill="1" applyBorder="1" applyAlignment="1">
      <alignment horizontal="center" vertical="top" wrapText="1"/>
    </xf>
    <xf numFmtId="0" fontId="10" fillId="8" borderId="4" xfId="9" applyFont="1" applyFill="1" applyBorder="1" applyAlignment="1">
      <alignment horizontal="center" vertical="top" wrapText="1"/>
    </xf>
    <xf numFmtId="0" fontId="10" fillId="8" borderId="5" xfId="9" applyFont="1" applyFill="1" applyBorder="1" applyAlignment="1">
      <alignment horizontal="center" vertical="top" wrapText="1"/>
    </xf>
    <xf numFmtId="0" fontId="10" fillId="8" borderId="6" xfId="9" applyFont="1" applyFill="1" applyBorder="1" applyAlignment="1">
      <alignment horizontal="left" vertical="top" wrapText="1"/>
    </xf>
    <xf numFmtId="178" fontId="10" fillId="8" borderId="0" xfId="9" applyNumberFormat="1" applyFont="1" applyFill="1" applyAlignment="1">
      <alignment horizontal="left" vertical="top" wrapText="1"/>
    </xf>
    <xf numFmtId="0" fontId="10" fillId="8" borderId="0" xfId="9" applyFont="1" applyFill="1" applyAlignment="1">
      <alignment horizontal="left" vertical="top"/>
    </xf>
    <xf numFmtId="0" fontId="10" fillId="8" borderId="0" xfId="9" applyFont="1" applyFill="1" applyAlignment="1">
      <alignment horizontal="left" vertical="top" wrapText="1"/>
    </xf>
    <xf numFmtId="0" fontId="10" fillId="8" borderId="7" xfId="9" applyFont="1" applyFill="1" applyBorder="1" applyAlignment="1">
      <alignment horizontal="center" wrapText="1"/>
    </xf>
    <xf numFmtId="0" fontId="9" fillId="8" borderId="6" xfId="9" applyFont="1" applyFill="1" applyBorder="1" applyAlignment="1">
      <alignment horizontal="left" vertical="top" wrapText="1"/>
    </xf>
    <xf numFmtId="0" fontId="9" fillId="8" borderId="0" xfId="9" applyFont="1" applyFill="1" applyAlignment="1">
      <alignment horizontal="left" vertical="top" wrapText="1"/>
    </xf>
    <xf numFmtId="0" fontId="0" fillId="8" borderId="6" xfId="0" applyFill="1" applyBorder="1" applyAlignment="1">
      <alignment wrapText="1"/>
    </xf>
    <xf numFmtId="0" fontId="10" fillId="8" borderId="7" xfId="9" applyFont="1" applyFill="1" applyBorder="1" applyAlignment="1">
      <alignment vertical="top" wrapText="1"/>
    </xf>
    <xf numFmtId="0" fontId="10" fillId="8" borderId="0" xfId="9" applyFont="1" applyFill="1" applyAlignment="1">
      <alignment horizontal="center" vertical="top" wrapText="1"/>
    </xf>
    <xf numFmtId="0" fontId="9" fillId="8" borderId="8" xfId="9" applyFont="1" applyFill="1" applyBorder="1" applyAlignment="1">
      <alignment horizontal="left" vertical="top" wrapText="1"/>
    </xf>
    <xf numFmtId="0" fontId="9" fillId="8" borderId="9" xfId="9" applyFont="1" applyFill="1" applyBorder="1" applyAlignment="1">
      <alignment horizontal="left" vertical="top" wrapText="1"/>
    </xf>
    <xf numFmtId="0" fontId="10" fillId="8" borderId="10" xfId="9" applyFont="1" applyFill="1" applyBorder="1" applyAlignment="1">
      <alignment vertical="top" wrapText="1"/>
    </xf>
    <xf numFmtId="0" fontId="41" fillId="14" borderId="33" xfId="0" applyFont="1" applyFill="1" applyBorder="1" applyAlignment="1">
      <alignment horizontal="left" vertical="center"/>
    </xf>
    <xf numFmtId="0" fontId="23" fillId="18" borderId="25" xfId="9" applyFont="1" applyFill="1" applyBorder="1" applyAlignment="1">
      <alignment horizontal="center" vertical="center"/>
    </xf>
    <xf numFmtId="0" fontId="36" fillId="7" borderId="0" xfId="0" applyFont="1" applyFill="1"/>
    <xf numFmtId="0" fontId="0" fillId="6" borderId="0" xfId="0" applyFill="1" applyAlignment="1">
      <alignment horizontal="right" indent="1"/>
    </xf>
    <xf numFmtId="0" fontId="10" fillId="6" borderId="0" xfId="0" applyFont="1" applyFill="1"/>
    <xf numFmtId="0" fontId="9" fillId="6" borderId="0" xfId="0" applyFont="1" applyFill="1"/>
    <xf numFmtId="0" fontId="0" fillId="6" borderId="54" xfId="1" applyNumberFormat="1" applyFont="1" applyFill="1" applyBorder="1" applyAlignment="1" applyProtection="1">
      <alignment vertical="top"/>
    </xf>
    <xf numFmtId="0" fontId="20" fillId="6" borderId="0" xfId="0" applyFont="1" applyFill="1" applyAlignment="1">
      <alignment horizontal="center"/>
    </xf>
    <xf numFmtId="0" fontId="0" fillId="6" borderId="9" xfId="0" quotePrefix="1" applyFill="1" applyBorder="1" applyAlignment="1">
      <alignment horizontal="left" vertical="top"/>
    </xf>
    <xf numFmtId="0" fontId="0" fillId="6" borderId="9" xfId="0" applyFill="1" applyBorder="1" applyAlignment="1">
      <alignment horizontal="center"/>
    </xf>
    <xf numFmtId="0" fontId="18" fillId="6" borderId="0" xfId="0" applyFont="1" applyFill="1" applyProtection="1">
      <protection locked="0"/>
    </xf>
    <xf numFmtId="0" fontId="36" fillId="7" borderId="0" xfId="0" applyFont="1" applyFill="1" applyAlignment="1">
      <alignment horizontal="left" wrapText="1"/>
    </xf>
    <xf numFmtId="0" fontId="3" fillId="6" borderId="0" xfId="0" applyFont="1" applyFill="1" applyAlignment="1">
      <alignment horizontal="left" vertical="top"/>
    </xf>
    <xf numFmtId="0" fontId="9" fillId="6" borderId="0" xfId="0" applyFont="1" applyFill="1" applyAlignment="1">
      <alignment horizontal="left" vertical="top" wrapText="1"/>
    </xf>
    <xf numFmtId="1" fontId="0" fillId="6" borderId="0" xfId="0" applyNumberFormat="1" applyFill="1" applyAlignment="1">
      <alignment vertical="top"/>
    </xf>
    <xf numFmtId="0" fontId="9" fillId="6" borderId="0" xfId="0" applyFont="1" applyFill="1" applyAlignment="1">
      <alignment vertical="top" wrapText="1"/>
    </xf>
    <xf numFmtId="9" fontId="5" fillId="6" borderId="0" xfId="1" applyFont="1" applyFill="1" applyAlignment="1" applyProtection="1">
      <alignment vertical="top"/>
    </xf>
    <xf numFmtId="164" fontId="7" fillId="3" borderId="1" xfId="4" applyNumberFormat="1" applyAlignment="1">
      <alignment vertical="top"/>
    </xf>
    <xf numFmtId="0" fontId="0" fillId="6" borderId="54" xfId="0" applyFill="1" applyBorder="1" applyAlignment="1">
      <alignment vertical="top"/>
    </xf>
    <xf numFmtId="9" fontId="0" fillId="6" borderId="54" xfId="0" applyNumberFormat="1" applyFill="1" applyBorder="1" applyAlignment="1">
      <alignment vertical="top"/>
    </xf>
    <xf numFmtId="0" fontId="20" fillId="6" borderId="0" xfId="0" applyFont="1" applyFill="1" applyAlignment="1">
      <alignment vertical="top"/>
    </xf>
    <xf numFmtId="0" fontId="0" fillId="6" borderId="9" xfId="0" applyFill="1" applyBorder="1" applyAlignment="1">
      <alignment horizontal="center" vertical="top"/>
    </xf>
    <xf numFmtId="0" fontId="0" fillId="6" borderId="10" xfId="0" applyFill="1" applyBorder="1" applyAlignment="1">
      <alignment vertical="top"/>
    </xf>
    <xf numFmtId="0" fontId="20" fillId="6" borderId="0" xfId="0" applyFont="1" applyFill="1" applyAlignment="1">
      <alignment vertical="top" wrapText="1"/>
    </xf>
    <xf numFmtId="164" fontId="0" fillId="6" borderId="0" xfId="1" applyNumberFormat="1" applyFont="1" applyFill="1" applyAlignment="1" applyProtection="1">
      <alignment vertical="top"/>
    </xf>
    <xf numFmtId="166" fontId="0" fillId="6" borderId="54" xfId="0" applyNumberFormat="1" applyFill="1" applyBorder="1" applyAlignment="1">
      <alignment vertical="top"/>
    </xf>
    <xf numFmtId="166" fontId="7" fillId="3" borderId="1" xfId="1" applyNumberFormat="1" applyFont="1" applyFill="1" applyBorder="1" applyAlignment="1" applyProtection="1">
      <alignment vertical="top"/>
    </xf>
    <xf numFmtId="2" fontId="0" fillId="6" borderId="54" xfId="0" applyNumberFormat="1" applyFill="1" applyBorder="1" applyAlignment="1">
      <alignment vertical="top"/>
    </xf>
    <xf numFmtId="164" fontId="6" fillId="6" borderId="0" xfId="1" applyNumberFormat="1" applyFont="1" applyFill="1" applyAlignment="1" applyProtection="1">
      <alignment vertical="top"/>
    </xf>
    <xf numFmtId="0" fontId="0" fillId="6" borderId="7" xfId="0" applyFill="1" applyBorder="1" applyAlignment="1">
      <alignment vertical="center"/>
    </xf>
    <xf numFmtId="0" fontId="0" fillId="0" borderId="0" xfId="0" applyAlignment="1">
      <alignment vertical="center"/>
    </xf>
    <xf numFmtId="169" fontId="16" fillId="0" borderId="0" xfId="0" applyNumberFormat="1" applyFont="1" applyAlignment="1">
      <alignment horizontal="left" vertical="top" wrapText="1"/>
    </xf>
    <xf numFmtId="168" fontId="16" fillId="0" borderId="0" xfId="0" applyNumberFormat="1" applyFont="1" applyAlignment="1">
      <alignment horizontal="left" vertical="top" wrapText="1"/>
    </xf>
    <xf numFmtId="0" fontId="17" fillId="0" borderId="0" xfId="0" applyFont="1" applyAlignment="1">
      <alignment horizontal="left" vertical="top" wrapText="1"/>
    </xf>
    <xf numFmtId="164" fontId="0" fillId="0" borderId="0" xfId="1" applyNumberFormat="1" applyFont="1" applyProtection="1"/>
    <xf numFmtId="0" fontId="15" fillId="0" borderId="0" xfId="0" applyFont="1" applyAlignment="1">
      <alignment horizontal="left" vertical="top" wrapText="1"/>
    </xf>
    <xf numFmtId="168" fontId="15" fillId="0" borderId="0" xfId="0" applyNumberFormat="1" applyFont="1" applyAlignment="1">
      <alignment horizontal="left" vertical="top" wrapText="1"/>
    </xf>
    <xf numFmtId="168" fontId="16" fillId="0" borderId="0" xfId="0" applyNumberFormat="1" applyFont="1" applyAlignment="1">
      <alignment horizontal="center" vertical="top" wrapText="1"/>
    </xf>
    <xf numFmtId="2" fontId="17" fillId="0" borderId="0" xfId="1" applyNumberFormat="1" applyFont="1" applyAlignment="1" applyProtection="1">
      <alignment horizontal="left" vertical="top" wrapText="1"/>
    </xf>
    <xf numFmtId="168" fontId="16" fillId="0" borderId="0" xfId="0" applyNumberFormat="1" applyFont="1" applyAlignment="1">
      <alignment horizontal="right" vertical="top" wrapText="1"/>
    </xf>
    <xf numFmtId="168" fontId="0" fillId="0" borderId="0" xfId="0" applyNumberFormat="1"/>
    <xf numFmtId="2" fontId="0" fillId="0" borderId="0" xfId="0" applyNumberFormat="1"/>
    <xf numFmtId="10" fontId="0" fillId="6" borderId="54" xfId="1" applyNumberFormat="1" applyFont="1" applyFill="1" applyBorder="1" applyAlignment="1" applyProtection="1">
      <alignment vertical="center"/>
    </xf>
    <xf numFmtId="0" fontId="0" fillId="6" borderId="0" xfId="0" applyFill="1" applyAlignment="1">
      <alignment horizontal="center" vertical="center"/>
    </xf>
    <xf numFmtId="0" fontId="9" fillId="6" borderId="0" xfId="0" quotePrefix="1" applyFont="1" applyFill="1" applyAlignment="1">
      <alignment horizontal="left" vertical="center"/>
    </xf>
    <xf numFmtId="10" fontId="0" fillId="6" borderId="0" xfId="1" applyNumberFormat="1" applyFont="1" applyFill="1" applyAlignment="1" applyProtection="1">
      <alignment vertical="center"/>
    </xf>
    <xf numFmtId="0" fontId="9" fillId="6" borderId="10" xfId="0" quotePrefix="1" applyFont="1" applyFill="1" applyBorder="1" applyAlignment="1">
      <alignment horizontal="centerContinuous" vertical="top" wrapText="1"/>
    </xf>
    <xf numFmtId="0" fontId="9" fillId="6" borderId="44" xfId="19" quotePrefix="1" applyFont="1" applyAlignment="1">
      <alignment horizontal="left" vertical="top"/>
    </xf>
    <xf numFmtId="0" fontId="8" fillId="6" borderId="0" xfId="19" quotePrefix="1" applyFont="1" applyBorder="1" applyAlignment="1">
      <alignment vertical="top"/>
    </xf>
    <xf numFmtId="166" fontId="0" fillId="6" borderId="54" xfId="1" applyNumberFormat="1" applyFont="1" applyFill="1" applyBorder="1" applyAlignment="1" applyProtection="1">
      <alignment vertical="top"/>
    </xf>
    <xf numFmtId="166" fontId="0" fillId="6" borderId="0" xfId="1" applyNumberFormat="1" applyFont="1" applyFill="1" applyAlignment="1" applyProtection="1">
      <alignment vertical="top"/>
    </xf>
    <xf numFmtId="0" fontId="9" fillId="6" borderId="22" xfId="0" applyFont="1" applyFill="1" applyBorder="1" applyAlignment="1">
      <alignment horizontal="center" vertical="top" wrapText="1"/>
    </xf>
    <xf numFmtId="0" fontId="9" fillId="6" borderId="24" xfId="0" applyFont="1" applyFill="1" applyBorder="1" applyAlignment="1">
      <alignment vertical="top" wrapText="1"/>
    </xf>
    <xf numFmtId="0" fontId="9" fillId="6" borderId="0" xfId="0" applyFont="1" applyFill="1" applyAlignment="1">
      <alignment horizontal="center" vertical="top" wrapText="1"/>
    </xf>
    <xf numFmtId="0" fontId="10" fillId="6" borderId="0" xfId="0" applyFont="1" applyFill="1" applyAlignment="1">
      <alignment horizontal="center" vertical="top"/>
    </xf>
    <xf numFmtId="2" fontId="0" fillId="6" borderId="0" xfId="0" applyNumberFormat="1" applyFill="1" applyAlignment="1">
      <alignment vertical="top"/>
    </xf>
    <xf numFmtId="166" fontId="9" fillId="6" borderId="1" xfId="4" applyNumberFormat="1" applyFont="1" applyFill="1" applyAlignment="1">
      <alignment vertical="top"/>
    </xf>
    <xf numFmtId="2" fontId="20" fillId="6" borderId="0" xfId="0" applyNumberFormat="1" applyFont="1" applyFill="1" applyAlignment="1">
      <alignment vertical="top"/>
    </xf>
    <xf numFmtId="166" fontId="7" fillId="3" borderId="1" xfId="4" applyNumberFormat="1" applyAlignment="1">
      <alignment vertical="top"/>
    </xf>
    <xf numFmtId="2" fontId="9" fillId="6" borderId="1" xfId="4" applyNumberFormat="1" applyFont="1" applyFill="1" applyAlignment="1">
      <alignment vertical="top"/>
    </xf>
    <xf numFmtId="165" fontId="0" fillId="6" borderId="0" xfId="0" applyNumberFormat="1" applyFill="1" applyAlignment="1">
      <alignment horizontal="left" vertical="top" wrapText="1"/>
    </xf>
    <xf numFmtId="166" fontId="7" fillId="6" borderId="1" xfId="4" applyNumberFormat="1" applyFill="1" applyAlignment="1">
      <alignment vertical="top"/>
    </xf>
    <xf numFmtId="2" fontId="10" fillId="6" borderId="1" xfId="4" applyNumberFormat="1" applyFont="1" applyFill="1" applyAlignment="1">
      <alignment vertical="top"/>
    </xf>
    <xf numFmtId="0" fontId="0" fillId="6" borderId="0" xfId="0" quotePrefix="1" applyFill="1" applyAlignment="1">
      <alignment horizontal="left" vertical="top"/>
    </xf>
    <xf numFmtId="9" fontId="7" fillId="3" borderId="1" xfId="4" applyNumberFormat="1" applyAlignment="1">
      <alignment vertical="top"/>
    </xf>
    <xf numFmtId="179" fontId="0" fillId="6" borderId="54" xfId="10" applyNumberFormat="1" applyFont="1" applyBorder="1" applyAlignment="1">
      <alignment horizontal="right"/>
    </xf>
    <xf numFmtId="179" fontId="7" fillId="3" borderId="1" xfId="4" applyNumberFormat="1" applyAlignment="1">
      <alignment horizontal="right"/>
    </xf>
    <xf numFmtId="0" fontId="0" fillId="6" borderId="54" xfId="10" applyFont="1" applyBorder="1" applyAlignment="1">
      <alignment horizontal="right"/>
    </xf>
    <xf numFmtId="179" fontId="5" fillId="21" borderId="1" xfId="16" applyNumberFormat="1" applyAlignment="1">
      <alignment horizontal="right"/>
      <protection locked="0"/>
    </xf>
    <xf numFmtId="0" fontId="9" fillId="6" borderId="0" xfId="0" applyFont="1" applyFill="1" applyAlignment="1">
      <alignment horizontal="left" vertical="top" wrapText="1" indent="6"/>
    </xf>
    <xf numFmtId="0" fontId="39" fillId="6" borderId="0" xfId="0" applyFont="1" applyFill="1" applyAlignment="1">
      <alignment vertical="top"/>
    </xf>
    <xf numFmtId="174" fontId="7" fillId="3" borderId="1" xfId="6" applyNumberFormat="1" applyFont="1" applyFill="1" applyBorder="1" applyAlignment="1" applyProtection="1">
      <alignment vertical="top"/>
    </xf>
    <xf numFmtId="9" fontId="0" fillId="6" borderId="54" xfId="1" applyFont="1" applyFill="1" applyBorder="1" applyAlignment="1" applyProtection="1">
      <alignment vertical="top"/>
    </xf>
    <xf numFmtId="9" fontId="7" fillId="3" borderId="1" xfId="6" applyNumberFormat="1" applyFont="1" applyFill="1" applyBorder="1" applyAlignment="1" applyProtection="1">
      <alignment vertical="top"/>
    </xf>
    <xf numFmtId="0" fontId="0" fillId="6" borderId="0" xfId="0" applyFill="1" applyAlignment="1">
      <alignment horizontal="center" vertical="top" wrapText="1"/>
    </xf>
    <xf numFmtId="0" fontId="5" fillId="2" borderId="1" xfId="2" applyAlignment="1">
      <alignment horizontal="left" vertical="top"/>
      <protection locked="0"/>
    </xf>
    <xf numFmtId="167" fontId="9" fillId="6" borderId="1" xfId="4" applyNumberFormat="1" applyFont="1" applyFill="1" applyAlignment="1">
      <alignment vertical="top"/>
    </xf>
    <xf numFmtId="0" fontId="9" fillId="6" borderId="14" xfId="0" applyFont="1" applyFill="1" applyBorder="1" applyAlignment="1">
      <alignment horizontal="left" vertical="top" wrapText="1"/>
    </xf>
    <xf numFmtId="1" fontId="7" fillId="3" borderId="1" xfId="4" applyNumberFormat="1" applyAlignment="1">
      <alignment vertical="top"/>
    </xf>
    <xf numFmtId="0" fontId="9" fillId="6" borderId="0" xfId="0" applyFont="1" applyFill="1" applyAlignment="1">
      <alignment wrapText="1"/>
    </xf>
    <xf numFmtId="1" fontId="20" fillId="6" borderId="0" xfId="0" applyNumberFormat="1" applyFont="1" applyFill="1" applyAlignment="1">
      <alignment vertical="center"/>
    </xf>
    <xf numFmtId="0" fontId="8" fillId="6" borderId="0" xfId="0" applyFont="1" applyFill="1" applyAlignment="1">
      <alignment vertical="center"/>
    </xf>
    <xf numFmtId="0" fontId="9" fillId="6" borderId="0" xfId="0" applyFont="1" applyFill="1" applyAlignment="1">
      <alignment vertical="center"/>
    </xf>
    <xf numFmtId="0" fontId="20" fillId="6" borderId="0" xfId="0" applyFont="1" applyFill="1" applyAlignment="1">
      <alignment vertical="center"/>
    </xf>
    <xf numFmtId="166" fontId="7" fillId="3" borderId="1" xfId="4" applyNumberFormat="1" applyAlignment="1">
      <alignment vertical="center"/>
    </xf>
    <xf numFmtId="0" fontId="9" fillId="6" borderId="0" xfId="0" applyFont="1" applyFill="1" applyAlignment="1">
      <alignment horizontal="left"/>
    </xf>
    <xf numFmtId="0" fontId="0" fillId="6" borderId="0" xfId="0" applyFill="1" applyAlignment="1">
      <alignment vertical="center"/>
    </xf>
    <xf numFmtId="166" fontId="7" fillId="3" borderId="1" xfId="4" applyNumberFormat="1"/>
    <xf numFmtId="9" fontId="7" fillId="3" borderId="1" xfId="4" applyNumberFormat="1"/>
    <xf numFmtId="0" fontId="0" fillId="6" borderId="54" xfId="0" applyFill="1" applyBorder="1"/>
    <xf numFmtId="0" fontId="0" fillId="6" borderId="44" xfId="19" applyFont="1" applyAlignment="1">
      <alignment horizontal="left" vertical="top"/>
    </xf>
    <xf numFmtId="9" fontId="0" fillId="6" borderId="0" xfId="0" applyNumberFormat="1" applyFill="1" applyAlignment="1">
      <alignment vertical="top"/>
    </xf>
    <xf numFmtId="0" fontId="13" fillId="6" borderId="0" xfId="8" applyFill="1" applyAlignment="1" applyProtection="1">
      <alignment horizontal="left" vertical="top" wrapText="1" indent="6"/>
    </xf>
    <xf numFmtId="0" fontId="43" fillId="6" borderId="0" xfId="0" applyFont="1" applyFill="1" applyAlignment="1">
      <alignment vertical="top"/>
    </xf>
    <xf numFmtId="166" fontId="0" fillId="6" borderId="0" xfId="0" applyNumberFormat="1" applyFill="1" applyAlignment="1">
      <alignment vertical="top"/>
    </xf>
    <xf numFmtId="2" fontId="0" fillId="6" borderId="54" xfId="1" applyNumberFormat="1" applyFont="1" applyFill="1" applyBorder="1" applyAlignment="1" applyProtection="1">
      <alignment vertical="top"/>
    </xf>
    <xf numFmtId="0" fontId="0" fillId="6" borderId="0" xfId="0" applyFill="1" applyAlignment="1">
      <alignment horizontal="left" vertical="top" wrapText="1" indent="6"/>
    </xf>
    <xf numFmtId="2" fontId="4" fillId="6" borderId="0" xfId="0" applyNumberFormat="1" applyFont="1" applyFill="1" applyAlignment="1">
      <alignment vertical="top"/>
    </xf>
    <xf numFmtId="0" fontId="0" fillId="6" borderId="8" xfId="0" applyFill="1" applyBorder="1" applyAlignment="1">
      <alignment horizontal="center" vertical="center" wrapText="1"/>
    </xf>
    <xf numFmtId="0" fontId="0" fillId="6" borderId="10" xfId="0" applyFill="1" applyBorder="1" applyAlignment="1">
      <alignment vertical="center" wrapText="1"/>
    </xf>
    <xf numFmtId="170" fontId="0" fillId="6" borderId="54" xfId="1" applyNumberFormat="1" applyFont="1" applyFill="1" applyBorder="1" applyAlignment="1" applyProtection="1">
      <alignment vertical="top"/>
    </xf>
    <xf numFmtId="177" fontId="0" fillId="6" borderId="54" xfId="1" applyNumberFormat="1" applyFont="1" applyFill="1" applyBorder="1" applyAlignment="1" applyProtection="1">
      <alignment vertical="top"/>
    </xf>
    <xf numFmtId="1" fontId="0" fillId="6" borderId="0" xfId="1" applyNumberFormat="1" applyFont="1" applyFill="1" applyAlignment="1" applyProtection="1">
      <alignment vertical="top"/>
    </xf>
    <xf numFmtId="1" fontId="0" fillId="6" borderId="54" xfId="1" applyNumberFormat="1" applyFont="1" applyFill="1" applyBorder="1" applyAlignment="1" applyProtection="1">
      <alignment vertical="top"/>
    </xf>
    <xf numFmtId="0" fontId="0" fillId="6" borderId="9" xfId="0" quotePrefix="1" applyFill="1" applyBorder="1" applyAlignment="1">
      <alignment horizontal="centerContinuous" vertical="top"/>
    </xf>
    <xf numFmtId="0" fontId="0" fillId="6" borderId="9" xfId="0" applyFill="1" applyBorder="1" applyAlignment="1">
      <alignment horizontal="centerContinuous" vertical="top"/>
    </xf>
    <xf numFmtId="3" fontId="0" fillId="0" borderId="0" xfId="0" applyNumberFormat="1"/>
    <xf numFmtId="0" fontId="0" fillId="6" borderId="14" xfId="0" applyFill="1" applyBorder="1" applyAlignment="1">
      <alignment vertical="top" wrapText="1"/>
    </xf>
    <xf numFmtId="0" fontId="2" fillId="6" borderId="44" xfId="19" quotePrefix="1" applyAlignment="1">
      <alignment horizontal="left" vertical="top"/>
    </xf>
    <xf numFmtId="9" fontId="9" fillId="6" borderId="54" xfId="0" applyNumberFormat="1" applyFont="1" applyFill="1" applyBorder="1" applyAlignment="1">
      <alignment vertical="top"/>
    </xf>
    <xf numFmtId="3" fontId="0" fillId="6" borderId="54" xfId="1" applyNumberFormat="1" applyFont="1" applyFill="1" applyBorder="1" applyProtection="1"/>
    <xf numFmtId="9" fontId="0" fillId="6" borderId="54" xfId="1" applyFont="1" applyFill="1" applyBorder="1" applyProtection="1"/>
    <xf numFmtId="9" fontId="0" fillId="6" borderId="54" xfId="1" applyFont="1" applyFill="1" applyBorder="1" applyAlignment="1" applyProtection="1">
      <alignment vertical="center"/>
    </xf>
    <xf numFmtId="1" fontId="0" fillId="6" borderId="54" xfId="1" applyNumberFormat="1" applyFont="1" applyFill="1" applyBorder="1" applyAlignment="1" applyProtection="1">
      <alignment vertical="center"/>
    </xf>
    <xf numFmtId="3" fontId="5" fillId="2" borderId="1" xfId="2" applyNumberFormat="1">
      <protection locked="0"/>
    </xf>
    <xf numFmtId="10" fontId="6" fillId="8" borderId="2" xfId="3" applyNumberFormat="1" applyFill="1" applyAlignment="1">
      <alignment vertical="top"/>
    </xf>
    <xf numFmtId="9" fontId="7" fillId="3" borderId="1" xfId="1" applyFont="1" applyFill="1" applyBorder="1" applyAlignment="1" applyProtection="1">
      <alignment vertical="top"/>
    </xf>
    <xf numFmtId="164" fontId="0" fillId="6" borderId="54" xfId="0" applyNumberFormat="1" applyFill="1" applyBorder="1" applyAlignment="1">
      <alignment vertical="top"/>
    </xf>
    <xf numFmtId="0" fontId="0" fillId="6" borderId="6" xfId="0" applyFill="1" applyBorder="1" applyAlignment="1">
      <alignment horizontal="center" vertical="top" wrapText="1"/>
    </xf>
    <xf numFmtId="0" fontId="0" fillId="6" borderId="7" xfId="0" applyFill="1" applyBorder="1" applyAlignment="1">
      <alignment horizontal="center" vertical="top" wrapText="1"/>
    </xf>
    <xf numFmtId="0" fontId="0" fillId="6" borderId="8" xfId="0" applyFill="1" applyBorder="1" applyAlignment="1">
      <alignment horizontal="center" vertical="top" wrapText="1"/>
    </xf>
    <xf numFmtId="0" fontId="0" fillId="6" borderId="10" xfId="0" applyFill="1" applyBorder="1" applyAlignment="1">
      <alignment horizontal="center" vertical="top" wrapText="1"/>
    </xf>
    <xf numFmtId="0" fontId="0" fillId="6" borderId="7" xfId="0" applyFill="1" applyBorder="1" applyAlignment="1">
      <alignment horizontal="left" vertical="top" wrapText="1"/>
    </xf>
    <xf numFmtId="0" fontId="0" fillId="6" borderId="3" xfId="0" applyFill="1" applyBorder="1" applyAlignment="1">
      <alignment vertical="top"/>
    </xf>
    <xf numFmtId="0" fontId="10" fillId="6" borderId="4" xfId="0" applyFont="1" applyFill="1" applyBorder="1" applyAlignment="1">
      <alignment vertical="top"/>
    </xf>
    <xf numFmtId="0" fontId="0" fillId="6" borderId="4" xfId="0" applyFill="1" applyBorder="1" applyAlignment="1">
      <alignment vertical="top"/>
    </xf>
    <xf numFmtId="0" fontId="0" fillId="6" borderId="4" xfId="0" applyFill="1" applyBorder="1" applyAlignment="1">
      <alignment horizontal="center" vertical="top"/>
    </xf>
    <xf numFmtId="0" fontId="0" fillId="6" borderId="19" xfId="0" applyFill="1" applyBorder="1" applyAlignment="1">
      <alignment horizontal="center" vertical="top" wrapText="1"/>
    </xf>
    <xf numFmtId="0" fontId="0" fillId="6" borderId="20" xfId="0" applyFill="1" applyBorder="1" applyAlignment="1">
      <alignment vertical="top"/>
    </xf>
    <xf numFmtId="0" fontId="0" fillId="6" borderId="21" xfId="0" applyFill="1" applyBorder="1" applyAlignment="1">
      <alignment vertical="top"/>
    </xf>
    <xf numFmtId="0" fontId="2" fillId="6" borderId="0" xfId="19" applyBorder="1">
      <alignment horizontal="left"/>
    </xf>
    <xf numFmtId="0" fontId="0" fillId="6" borderId="0" xfId="0" quotePrefix="1" applyFill="1" applyAlignment="1">
      <alignment vertical="top"/>
    </xf>
    <xf numFmtId="0" fontId="19" fillId="0" borderId="0" xfId="0" applyFont="1" applyAlignment="1">
      <alignment vertical="top"/>
    </xf>
    <xf numFmtId="0" fontId="0" fillId="0" borderId="0" xfId="0" quotePrefix="1" applyAlignment="1">
      <alignment vertical="top" wrapText="1"/>
    </xf>
    <xf numFmtId="10" fontId="9" fillId="6" borderId="54" xfId="1" applyNumberFormat="1" applyFont="1" applyFill="1" applyBorder="1" applyAlignment="1" applyProtection="1">
      <alignment vertical="top"/>
    </xf>
    <xf numFmtId="1" fontId="0" fillId="6" borderId="0" xfId="1" applyNumberFormat="1" applyFont="1" applyFill="1" applyBorder="1" applyAlignment="1" applyProtection="1">
      <alignment vertical="top"/>
    </xf>
    <xf numFmtId="0" fontId="0" fillId="0" borderId="0" xfId="0" quotePrefix="1" applyAlignment="1">
      <alignment vertical="top"/>
    </xf>
    <xf numFmtId="164" fontId="7" fillId="6" borderId="1" xfId="4" applyNumberFormat="1" applyFill="1" applyAlignment="1">
      <alignment vertical="top"/>
    </xf>
    <xf numFmtId="0" fontId="0" fillId="6" borderId="8" xfId="0" applyFill="1" applyBorder="1" applyAlignment="1">
      <alignment horizontal="center" vertical="top"/>
    </xf>
    <xf numFmtId="0" fontId="13" fillId="6" borderId="0" xfId="8" applyFill="1" applyAlignment="1" applyProtection="1">
      <alignment horizontal="right"/>
      <protection locked="0"/>
    </xf>
    <xf numFmtId="0" fontId="13" fillId="6" borderId="0" xfId="8" applyFill="1" applyBorder="1" applyAlignment="1" applyProtection="1">
      <alignment horizontal="right" vertical="top"/>
      <protection locked="0"/>
    </xf>
    <xf numFmtId="0" fontId="13" fillId="7" borderId="0" xfId="8" applyFill="1" applyAlignment="1" applyProtection="1">
      <alignment horizontal="right"/>
      <protection locked="0"/>
    </xf>
    <xf numFmtId="0" fontId="13" fillId="6" borderId="0" xfId="8" applyFill="1" applyAlignment="1" applyProtection="1">
      <alignment horizontal="right" vertical="top"/>
      <protection locked="0"/>
    </xf>
    <xf numFmtId="0" fontId="13" fillId="6" borderId="28" xfId="8" applyFill="1" applyBorder="1" applyAlignment="1" applyProtection="1">
      <alignment horizontal="left" vertical="center" indent="2"/>
      <protection locked="0"/>
    </xf>
    <xf numFmtId="0" fontId="13" fillId="6" borderId="30" xfId="8" applyFill="1" applyBorder="1" applyAlignment="1" applyProtection="1">
      <alignment horizontal="left" vertical="center" indent="2"/>
      <protection locked="0"/>
    </xf>
    <xf numFmtId="0" fontId="13" fillId="8" borderId="0" xfId="8" applyFill="1" applyBorder="1" applyAlignment="1" applyProtection="1">
      <alignment horizontal="left" vertical="center"/>
      <protection locked="0"/>
    </xf>
    <xf numFmtId="0" fontId="13" fillId="8" borderId="0" xfId="8" applyFill="1" applyAlignment="1" applyProtection="1">
      <alignment vertical="center"/>
      <protection locked="0"/>
    </xf>
    <xf numFmtId="0" fontId="0" fillId="6" borderId="0" xfId="0" applyFill="1" applyAlignment="1">
      <alignment horizontal="left" vertical="center" indent="2"/>
    </xf>
    <xf numFmtId="0" fontId="0" fillId="6" borderId="29" xfId="0" applyFill="1" applyBorder="1" applyAlignment="1">
      <alignment horizontal="left" vertical="center" indent="2"/>
    </xf>
    <xf numFmtId="0" fontId="13" fillId="6" borderId="31" xfId="8" applyFill="1" applyBorder="1" applyAlignment="1" applyProtection="1">
      <alignment horizontal="left" vertical="center" indent="2"/>
    </xf>
    <xf numFmtId="0" fontId="13" fillId="6" borderId="32" xfId="8" applyFill="1" applyBorder="1" applyAlignment="1" applyProtection="1">
      <alignment horizontal="left" vertical="center" indent="2"/>
    </xf>
    <xf numFmtId="0" fontId="42" fillId="14" borderId="33" xfId="0" applyFont="1" applyFill="1" applyBorder="1" applyAlignment="1">
      <alignment horizontal="left" vertical="center"/>
    </xf>
    <xf numFmtId="0" fontId="42" fillId="14" borderId="34" xfId="0" applyFont="1" applyFill="1" applyBorder="1" applyAlignment="1">
      <alignment horizontal="left" vertical="center"/>
    </xf>
    <xf numFmtId="0" fontId="33" fillId="21" borderId="1" xfId="2" applyFont="1" applyFill="1" applyAlignment="1">
      <protection locked="0"/>
    </xf>
    <xf numFmtId="0" fontId="55" fillId="7" borderId="0" xfId="8" quotePrefix="1" applyFont="1" applyFill="1" applyAlignment="1" applyProtection="1">
      <alignment horizontal="center" vertical="center"/>
      <protection locked="0"/>
    </xf>
    <xf numFmtId="0" fontId="13" fillId="6" borderId="0" xfId="8" applyFill="1" applyAlignment="1" applyProtection="1">
      <alignment vertical="top"/>
      <protection locked="0"/>
    </xf>
    <xf numFmtId="0" fontId="4" fillId="14" borderId="34" xfId="0" applyFont="1" applyFill="1" applyBorder="1" applyAlignment="1">
      <alignment horizontal="right" vertical="center" indent="1"/>
    </xf>
    <xf numFmtId="0" fontId="0" fillId="0" borderId="0" xfId="0" quotePrefix="1"/>
    <xf numFmtId="0" fontId="13" fillId="6" borderId="28" xfId="8" applyFill="1" applyBorder="1" applyAlignment="1" applyProtection="1">
      <alignment horizontal="left" vertical="center" indent="2"/>
      <protection locked="0"/>
    </xf>
    <xf numFmtId="0" fontId="13" fillId="6" borderId="0" xfId="8" applyFill="1" applyBorder="1" applyAlignment="1" applyProtection="1">
      <alignment horizontal="left" vertical="center" indent="2"/>
      <protection locked="0"/>
    </xf>
    <xf numFmtId="0" fontId="13" fillId="6" borderId="29" xfId="8" applyFill="1" applyBorder="1" applyAlignment="1" applyProtection="1">
      <alignment horizontal="left" vertical="center" indent="2"/>
      <protection locked="0"/>
    </xf>
    <xf numFmtId="0" fontId="13" fillId="6" borderId="30" xfId="8" applyFill="1" applyBorder="1" applyAlignment="1" applyProtection="1">
      <alignment horizontal="left" vertical="center" indent="2"/>
      <protection locked="0"/>
    </xf>
    <xf numFmtId="0" fontId="13" fillId="6" borderId="31" xfId="8" applyFill="1" applyBorder="1" applyAlignment="1" applyProtection="1">
      <alignment horizontal="left" vertical="center" indent="2"/>
      <protection locked="0"/>
    </xf>
    <xf numFmtId="0" fontId="13" fillId="6" borderId="32" xfId="8" applyFill="1" applyBorder="1" applyAlignment="1" applyProtection="1">
      <alignment horizontal="left" vertical="center" indent="2"/>
      <protection locked="0"/>
    </xf>
    <xf numFmtId="0" fontId="57" fillId="6" borderId="38" xfId="8" applyFont="1" applyFill="1" applyBorder="1" applyAlignment="1" applyProtection="1">
      <alignment horizontal="center" vertical="center"/>
      <protection locked="0"/>
    </xf>
    <xf numFmtId="0" fontId="57" fillId="6" borderId="39" xfId="8" applyFont="1" applyFill="1" applyBorder="1" applyAlignment="1" applyProtection="1">
      <alignment horizontal="center" vertical="center"/>
      <protection locked="0"/>
    </xf>
    <xf numFmtId="0" fontId="57" fillId="6" borderId="40" xfId="8" applyFont="1" applyFill="1" applyBorder="1" applyAlignment="1" applyProtection="1">
      <alignment horizontal="center" vertical="center"/>
      <protection locked="0"/>
    </xf>
    <xf numFmtId="0" fontId="26" fillId="13" borderId="0" xfId="0" applyFont="1" applyFill="1" applyAlignment="1">
      <alignment horizontal="center" vertical="center" wrapText="1"/>
    </xf>
    <xf numFmtId="0" fontId="28" fillId="13" borderId="31" xfId="0" applyFont="1" applyFill="1" applyBorder="1" applyAlignment="1">
      <alignment horizontal="left" vertical="center" wrapText="1"/>
    </xf>
    <xf numFmtId="0" fontId="13" fillId="6" borderId="25" xfId="8" applyFill="1" applyBorder="1" applyAlignment="1" applyProtection="1">
      <alignment horizontal="left" vertical="center" indent="2"/>
      <protection locked="0"/>
    </xf>
    <xf numFmtId="0" fontId="0" fillId="6" borderId="26" xfId="0" applyFill="1" applyBorder="1" applyAlignment="1" applyProtection="1">
      <alignment horizontal="left" vertical="center" indent="2"/>
      <protection locked="0"/>
    </xf>
    <xf numFmtId="0" fontId="0" fillId="6" borderId="27" xfId="0" applyFill="1" applyBorder="1" applyAlignment="1" applyProtection="1">
      <alignment horizontal="left" vertical="center" indent="2"/>
      <protection locked="0"/>
    </xf>
    <xf numFmtId="0" fontId="0" fillId="6" borderId="0" xfId="0" applyFill="1" applyAlignment="1" applyProtection="1">
      <alignment horizontal="left" vertical="center" indent="2"/>
      <protection locked="0"/>
    </xf>
    <xf numFmtId="0" fontId="0" fillId="6" borderId="29" xfId="0" applyFill="1" applyBorder="1" applyAlignment="1" applyProtection="1">
      <alignment horizontal="left" vertical="center" indent="2"/>
      <protection locked="0"/>
    </xf>
    <xf numFmtId="0" fontId="13" fillId="6" borderId="26" xfId="8" applyFill="1" applyBorder="1" applyAlignment="1" applyProtection="1">
      <alignment horizontal="left" vertical="center" indent="2"/>
      <protection locked="0"/>
    </xf>
    <xf numFmtId="0" fontId="13" fillId="6" borderId="27" xfId="8" applyFill="1" applyBorder="1" applyAlignment="1" applyProtection="1">
      <alignment horizontal="left" vertical="center" indent="2"/>
      <protection locked="0"/>
    </xf>
    <xf numFmtId="0" fontId="26" fillId="12" borderId="25" xfId="0" applyFont="1" applyFill="1" applyBorder="1" applyAlignment="1">
      <alignment horizontal="center" vertical="center" wrapText="1"/>
    </xf>
    <xf numFmtId="0" fontId="26" fillId="12" borderId="26" xfId="0" applyFont="1" applyFill="1" applyBorder="1" applyAlignment="1">
      <alignment horizontal="center" vertical="center" wrapText="1"/>
    </xf>
    <xf numFmtId="0" fontId="26" fillId="12" borderId="27" xfId="0" applyFont="1" applyFill="1" applyBorder="1" applyAlignment="1">
      <alignment horizontal="center" vertical="center" wrapText="1"/>
    </xf>
    <xf numFmtId="0" fontId="28" fillId="12" borderId="30" xfId="0" applyFont="1" applyFill="1" applyBorder="1" applyAlignment="1">
      <alignment horizontal="left" vertical="center" wrapText="1"/>
    </xf>
    <xf numFmtId="0" fontId="28" fillId="12" borderId="31" xfId="0" applyFont="1" applyFill="1" applyBorder="1" applyAlignment="1">
      <alignment horizontal="left" vertical="center" wrapText="1"/>
    </xf>
    <xf numFmtId="0" fontId="28" fillId="12" borderId="32" xfId="0" applyFont="1" applyFill="1" applyBorder="1" applyAlignment="1">
      <alignment horizontal="left" vertical="center" wrapText="1"/>
    </xf>
    <xf numFmtId="0" fontId="0" fillId="6" borderId="26" xfId="0" applyFill="1" applyBorder="1" applyAlignment="1">
      <alignment horizontal="left" vertical="center" wrapText="1"/>
    </xf>
    <xf numFmtId="0" fontId="9" fillId="6" borderId="0" xfId="8" applyFont="1" applyFill="1" applyBorder="1" applyAlignment="1" applyProtection="1">
      <alignment horizontal="left" vertical="top" wrapText="1"/>
      <protection locked="0"/>
    </xf>
    <xf numFmtId="0" fontId="3" fillId="6" borderId="26" xfId="0" applyFont="1" applyFill="1" applyBorder="1" applyAlignment="1">
      <alignment horizontal="left" vertical="center" wrapText="1"/>
    </xf>
    <xf numFmtId="0" fontId="3" fillId="6" borderId="0" xfId="0" applyFont="1" applyFill="1" applyAlignment="1">
      <alignment horizontal="left" vertical="center" wrapText="1"/>
    </xf>
    <xf numFmtId="0" fontId="26" fillId="9" borderId="25" xfId="0" applyFont="1" applyFill="1" applyBorder="1" applyAlignment="1">
      <alignment horizontal="center" vertical="center" wrapText="1"/>
    </xf>
    <xf numFmtId="0" fontId="26" fillId="9" borderId="26" xfId="0" applyFont="1" applyFill="1" applyBorder="1" applyAlignment="1">
      <alignment horizontal="center" vertical="center" wrapText="1"/>
    </xf>
    <xf numFmtId="0" fontId="26" fillId="9" borderId="27" xfId="0" applyFont="1" applyFill="1" applyBorder="1" applyAlignment="1">
      <alignment horizontal="center" vertical="center" wrapText="1"/>
    </xf>
    <xf numFmtId="0" fontId="28" fillId="9" borderId="30" xfId="0" applyFont="1" applyFill="1" applyBorder="1" applyAlignment="1">
      <alignment horizontal="left" vertical="center" wrapText="1"/>
    </xf>
    <xf numFmtId="0" fontId="28" fillId="9" borderId="31" xfId="0" applyFont="1" applyFill="1" applyBorder="1" applyAlignment="1">
      <alignment horizontal="left" vertical="center" wrapText="1"/>
    </xf>
    <xf numFmtId="0" fontId="28" fillId="9" borderId="32" xfId="0" applyFont="1" applyFill="1" applyBorder="1" applyAlignment="1">
      <alignment horizontal="left" vertical="center" wrapText="1"/>
    </xf>
    <xf numFmtId="0" fontId="13" fillId="6" borderId="56" xfId="8" applyFill="1" applyBorder="1" applyAlignment="1" applyProtection="1">
      <alignment horizontal="left" vertical="top" wrapText="1"/>
      <protection locked="0"/>
    </xf>
    <xf numFmtId="0" fontId="0" fillId="6" borderId="0" xfId="0" applyFill="1" applyAlignment="1">
      <alignment horizontal="left" vertical="top" wrapText="1"/>
    </xf>
    <xf numFmtId="0" fontId="45" fillId="6" borderId="0" xfId="0" applyFont="1" applyFill="1" applyAlignment="1">
      <alignment vertical="top" wrapText="1"/>
    </xf>
    <xf numFmtId="0" fontId="0" fillId="0" borderId="0" xfId="0" applyAlignment="1">
      <alignment wrapText="1"/>
    </xf>
    <xf numFmtId="0" fontId="26" fillId="10" borderId="25" xfId="0" applyFont="1" applyFill="1" applyBorder="1" applyAlignment="1">
      <alignment horizontal="center" vertical="center" wrapText="1"/>
    </xf>
    <xf numFmtId="0" fontId="26" fillId="10" borderId="26" xfId="0" applyFont="1" applyFill="1" applyBorder="1" applyAlignment="1">
      <alignment horizontal="center" vertical="center" wrapText="1"/>
    </xf>
    <xf numFmtId="0" fontId="26" fillId="10" borderId="27" xfId="0" applyFont="1" applyFill="1" applyBorder="1" applyAlignment="1">
      <alignment horizontal="center" vertical="center" wrapText="1"/>
    </xf>
    <xf numFmtId="0" fontId="28" fillId="10" borderId="30" xfId="0" applyFont="1" applyFill="1" applyBorder="1" applyAlignment="1">
      <alignment horizontal="left" vertical="center" wrapText="1"/>
    </xf>
    <xf numFmtId="0" fontId="28" fillId="10" borderId="31" xfId="0" applyFont="1" applyFill="1" applyBorder="1" applyAlignment="1">
      <alignment horizontal="left" vertical="center" wrapText="1"/>
    </xf>
    <xf numFmtId="0" fontId="28" fillId="10" borderId="32" xfId="0" applyFont="1" applyFill="1" applyBorder="1" applyAlignment="1">
      <alignment horizontal="left" vertical="center" wrapText="1"/>
    </xf>
    <xf numFmtId="0" fontId="0" fillId="6" borderId="31" xfId="0" applyFill="1" applyBorder="1" applyAlignment="1" applyProtection="1">
      <alignment horizontal="left" vertical="center" indent="2"/>
      <protection locked="0"/>
    </xf>
    <xf numFmtId="0" fontId="0" fillId="6" borderId="32" xfId="0" applyFill="1" applyBorder="1" applyAlignment="1" applyProtection="1">
      <alignment horizontal="left" vertical="center" indent="2"/>
      <protection locked="0"/>
    </xf>
    <xf numFmtId="0" fontId="26" fillId="11" borderId="25" xfId="0" applyFont="1" applyFill="1" applyBorder="1" applyAlignment="1">
      <alignment horizontal="center" vertical="center" wrapText="1"/>
    </xf>
    <xf numFmtId="0" fontId="26" fillId="11" borderId="26" xfId="0" applyFont="1" applyFill="1" applyBorder="1" applyAlignment="1">
      <alignment horizontal="center" vertical="center" wrapText="1"/>
    </xf>
    <xf numFmtId="0" fontId="26" fillId="11" borderId="27" xfId="0" applyFont="1" applyFill="1" applyBorder="1" applyAlignment="1">
      <alignment horizontal="center" vertical="center" wrapText="1"/>
    </xf>
    <xf numFmtId="0" fontId="28" fillId="11" borderId="30" xfId="0" applyFont="1" applyFill="1" applyBorder="1" applyAlignment="1">
      <alignment horizontal="left" vertical="center" wrapText="1"/>
    </xf>
    <xf numFmtId="0" fontId="28" fillId="11" borderId="31" xfId="0" applyFont="1" applyFill="1" applyBorder="1" applyAlignment="1">
      <alignment horizontal="left" vertical="center" wrapText="1"/>
    </xf>
    <xf numFmtId="0" fontId="28" fillId="11" borderId="32" xfId="0" applyFont="1" applyFill="1" applyBorder="1" applyAlignment="1">
      <alignment horizontal="left" vertical="center" wrapText="1"/>
    </xf>
    <xf numFmtId="0" fontId="0" fillId="6" borderId="84" xfId="0" applyFill="1" applyBorder="1" applyAlignment="1">
      <alignment horizontal="left" vertical="top" wrapText="1"/>
    </xf>
    <xf numFmtId="0" fontId="0" fillId="6" borderId="85" xfId="0" applyFill="1" applyBorder="1" applyAlignment="1">
      <alignment horizontal="left" vertical="top" wrapText="1"/>
    </xf>
    <xf numFmtId="0" fontId="40" fillId="14" borderId="33" xfId="0" applyFont="1" applyFill="1" applyBorder="1" applyAlignment="1">
      <alignment horizontal="left" vertical="center"/>
    </xf>
    <xf numFmtId="0" fontId="40" fillId="14" borderId="34" xfId="0" applyFont="1" applyFill="1" applyBorder="1" applyAlignment="1">
      <alignment horizontal="left" vertical="center"/>
    </xf>
    <xf numFmtId="0" fontId="0" fillId="6" borderId="77" xfId="0" applyFill="1" applyBorder="1" applyAlignment="1">
      <alignment horizontal="left" vertical="top" wrapText="1"/>
    </xf>
    <xf numFmtId="0" fontId="0" fillId="6" borderId="78" xfId="0" applyFill="1" applyBorder="1" applyAlignment="1">
      <alignment horizontal="left" vertical="top" wrapText="1"/>
    </xf>
    <xf numFmtId="0" fontId="0" fillId="6" borderId="82" xfId="0" applyFill="1" applyBorder="1" applyAlignment="1">
      <alignment horizontal="left" vertical="top" wrapText="1"/>
    </xf>
    <xf numFmtId="0" fontId="0" fillId="6" borderId="39" xfId="0" applyFill="1" applyBorder="1" applyAlignment="1">
      <alignment horizontal="left" vertical="top" wrapText="1"/>
    </xf>
    <xf numFmtId="0" fontId="0" fillId="6" borderId="40" xfId="0" applyFill="1" applyBorder="1" applyAlignment="1">
      <alignment horizontal="left" vertical="top" wrapText="1"/>
    </xf>
    <xf numFmtId="0" fontId="23" fillId="18" borderId="25" xfId="9" applyFont="1" applyFill="1" applyBorder="1" applyAlignment="1">
      <alignment horizontal="center" vertical="center"/>
    </xf>
    <xf numFmtId="0" fontId="23" fillId="18" borderId="26" xfId="9" applyFont="1" applyFill="1" applyBorder="1" applyAlignment="1">
      <alignment horizontal="center" vertical="center"/>
    </xf>
    <xf numFmtId="0" fontId="23" fillId="18" borderId="27" xfId="9" applyFont="1" applyFill="1" applyBorder="1" applyAlignment="1">
      <alignment horizontal="center" vertical="center"/>
    </xf>
    <xf numFmtId="0" fontId="3" fillId="6" borderId="80" xfId="0" applyFont="1" applyFill="1" applyBorder="1" applyAlignment="1">
      <alignment horizontal="left" vertical="top" wrapText="1"/>
    </xf>
    <xf numFmtId="0" fontId="3" fillId="6" borderId="81" xfId="0" applyFont="1" applyFill="1" applyBorder="1" applyAlignment="1">
      <alignment horizontal="left" vertical="top" wrapText="1"/>
    </xf>
    <xf numFmtId="0" fontId="3" fillId="6" borderId="39" xfId="0" applyFont="1" applyFill="1" applyBorder="1" applyAlignment="1">
      <alignment horizontal="left" vertical="top" wrapText="1"/>
    </xf>
    <xf numFmtId="0" fontId="13" fillId="0" borderId="0" xfId="8" applyFill="1" applyBorder="1" applyAlignment="1">
      <alignment horizontal="center"/>
    </xf>
    <xf numFmtId="0" fontId="10" fillId="6" borderId="76" xfId="0" applyFont="1" applyFill="1" applyBorder="1" applyAlignment="1">
      <alignment horizontal="left" vertical="top" wrapText="1"/>
    </xf>
    <xf numFmtId="0" fontId="10" fillId="6" borderId="78" xfId="0" applyFont="1" applyFill="1" applyBorder="1" applyAlignment="1">
      <alignment horizontal="left" vertical="top" wrapText="1"/>
    </xf>
    <xf numFmtId="0" fontId="10" fillId="6" borderId="82" xfId="0" applyFont="1" applyFill="1" applyBorder="1" applyAlignment="1">
      <alignment horizontal="left" vertical="top" wrapText="1"/>
    </xf>
    <xf numFmtId="0" fontId="30" fillId="20" borderId="12" xfId="9" applyFont="1" applyFill="1" applyBorder="1" applyAlignment="1">
      <alignment horizontal="center" vertical="center"/>
    </xf>
    <xf numFmtId="0" fontId="30" fillId="20" borderId="15" xfId="9" applyFont="1" applyFill="1" applyBorder="1" applyAlignment="1">
      <alignment horizontal="center" vertical="center"/>
    </xf>
    <xf numFmtId="0" fontId="30" fillId="20" borderId="13" xfId="9" applyFont="1" applyFill="1" applyBorder="1" applyAlignment="1">
      <alignment horizontal="center" vertical="center"/>
    </xf>
    <xf numFmtId="0" fontId="41" fillId="14" borderId="33" xfId="0" applyFont="1" applyFill="1" applyBorder="1" applyAlignment="1">
      <alignment horizontal="left" vertical="center"/>
    </xf>
    <xf numFmtId="0" fontId="41" fillId="14" borderId="34" xfId="0" applyFont="1" applyFill="1" applyBorder="1" applyAlignment="1">
      <alignment horizontal="left" vertical="center"/>
    </xf>
    <xf numFmtId="0" fontId="13" fillId="7" borderId="0" xfId="8" applyFill="1" applyAlignment="1" applyProtection="1">
      <alignment horizontal="right"/>
      <protection locked="0"/>
    </xf>
    <xf numFmtId="0" fontId="9" fillId="8" borderId="0" xfId="9" applyFont="1" applyFill="1" applyAlignment="1">
      <alignment horizontal="left" vertical="top" wrapText="1"/>
    </xf>
    <xf numFmtId="0" fontId="0" fillId="0" borderId="0" xfId="0" applyAlignment="1">
      <alignment horizontal="left" vertical="top" wrapText="1"/>
    </xf>
    <xf numFmtId="0" fontId="8" fillId="6" borderId="0" xfId="0" applyFont="1" applyFill="1" applyAlignment="1">
      <alignment horizontal="left" vertical="top" wrapText="1"/>
    </xf>
    <xf numFmtId="0" fontId="0" fillId="6" borderId="0" xfId="0" quotePrefix="1" applyFill="1" applyAlignment="1">
      <alignment vertical="top" wrapText="1"/>
    </xf>
    <xf numFmtId="0" fontId="0" fillId="0" borderId="0" xfId="0" applyAlignment="1">
      <alignment vertical="top" wrapText="1"/>
    </xf>
    <xf numFmtId="0" fontId="36" fillId="7" borderId="0" xfId="0" applyFont="1" applyFill="1" applyAlignment="1">
      <alignment horizontal="left" vertical="top" wrapText="1"/>
    </xf>
    <xf numFmtId="0" fontId="22" fillId="9" borderId="12" xfId="0" applyFont="1" applyFill="1" applyBorder="1" applyAlignment="1">
      <alignment horizontal="center" vertical="top"/>
    </xf>
    <xf numFmtId="0" fontId="0" fillId="0" borderId="15" xfId="0" applyBorder="1" applyAlignment="1">
      <alignment horizontal="center" vertical="top"/>
    </xf>
    <xf numFmtId="0" fontId="0" fillId="0" borderId="13" xfId="0" applyBorder="1" applyAlignment="1">
      <alignment horizontal="center" vertical="top"/>
    </xf>
    <xf numFmtId="0" fontId="9" fillId="6" borderId="0" xfId="0" applyFont="1" applyFill="1" applyAlignment="1">
      <alignment horizontal="left" vertical="top" wrapText="1"/>
    </xf>
    <xf numFmtId="0" fontId="9" fillId="6" borderId="12" xfId="0" applyFont="1" applyFill="1" applyBorder="1" applyAlignment="1">
      <alignment horizontal="center" vertical="center" wrapText="1"/>
    </xf>
    <xf numFmtId="0" fontId="9" fillId="6" borderId="15" xfId="0" applyFont="1" applyFill="1" applyBorder="1" applyAlignment="1">
      <alignment horizontal="center" vertical="center" wrapText="1"/>
    </xf>
    <xf numFmtId="0" fontId="9" fillId="0" borderId="15" xfId="0" applyFont="1" applyBorder="1" applyAlignment="1">
      <alignment horizontal="center" vertical="center" wrapText="1"/>
    </xf>
    <xf numFmtId="0" fontId="9" fillId="0" borderId="13" xfId="0" applyFont="1" applyBorder="1" applyAlignment="1">
      <alignment horizontal="center" vertical="center" wrapText="1"/>
    </xf>
    <xf numFmtId="0" fontId="9" fillId="6" borderId="13" xfId="0" applyFont="1" applyFill="1" applyBorder="1" applyAlignment="1">
      <alignment horizontal="center" vertical="center" wrapText="1"/>
    </xf>
    <xf numFmtId="0" fontId="8" fillId="6" borderId="0" xfId="0" quotePrefix="1" applyFont="1" applyFill="1" applyAlignment="1">
      <alignment horizontal="left" vertical="top" wrapText="1"/>
    </xf>
    <xf numFmtId="0" fontId="36" fillId="7" borderId="0" xfId="0" applyFont="1" applyFill="1" applyAlignment="1">
      <alignment horizontal="left" wrapText="1"/>
    </xf>
    <xf numFmtId="0" fontId="22" fillId="9" borderId="15" xfId="0" applyFont="1" applyFill="1" applyBorder="1" applyAlignment="1">
      <alignment horizontal="center" vertical="top"/>
    </xf>
    <xf numFmtId="0" fontId="22" fillId="9" borderId="13" xfId="0" applyFont="1" applyFill="1" applyBorder="1" applyAlignment="1">
      <alignment horizontal="center" vertical="top"/>
    </xf>
    <xf numFmtId="0" fontId="0" fillId="6" borderId="9" xfId="0" quotePrefix="1" applyFill="1" applyBorder="1" applyAlignment="1">
      <alignment horizontal="left" vertical="top" wrapText="1"/>
    </xf>
    <xf numFmtId="0" fontId="0" fillId="6" borderId="12" xfId="0" applyFill="1" applyBorder="1" applyAlignment="1">
      <alignment horizontal="center" vertical="center"/>
    </xf>
    <xf numFmtId="0" fontId="0" fillId="0" borderId="15" xfId="0" applyBorder="1" applyAlignment="1">
      <alignment horizontal="center" vertical="center"/>
    </xf>
    <xf numFmtId="0" fontId="0" fillId="0" borderId="13" xfId="0" applyBorder="1" applyAlignment="1">
      <alignment horizontal="center" vertical="center"/>
    </xf>
    <xf numFmtId="0" fontId="0" fillId="6" borderId="0" xfId="0" quotePrefix="1" applyFill="1" applyAlignment="1">
      <alignment horizontal="left" vertical="top" wrapText="1"/>
    </xf>
    <xf numFmtId="164" fontId="0" fillId="6" borderId="68" xfId="1" applyNumberFormat="1" applyFont="1" applyFill="1" applyBorder="1" applyAlignment="1">
      <alignment horizontal="center"/>
    </xf>
    <xf numFmtId="164" fontId="0" fillId="6" borderId="69" xfId="1" applyNumberFormat="1" applyFont="1" applyFill="1" applyBorder="1" applyAlignment="1">
      <alignment horizontal="center"/>
    </xf>
    <xf numFmtId="0" fontId="0" fillId="0" borderId="0" xfId="0" applyAlignment="1">
      <alignment horizontal="left" wrapText="1"/>
    </xf>
    <xf numFmtId="0" fontId="0" fillId="6" borderId="0" xfId="0" applyFill="1" applyAlignment="1">
      <alignment vertical="top" wrapText="1"/>
    </xf>
    <xf numFmtId="0" fontId="0" fillId="6" borderId="16" xfId="0" applyFill="1" applyBorder="1" applyAlignment="1">
      <alignment horizontal="center" vertical="center" wrapText="1"/>
    </xf>
    <xf numFmtId="0" fontId="0" fillId="6" borderId="17" xfId="0" applyFill="1" applyBorder="1" applyAlignment="1">
      <alignment horizontal="center" vertical="center" wrapText="1"/>
    </xf>
    <xf numFmtId="0" fontId="0" fillId="6" borderId="18" xfId="0" applyFill="1" applyBorder="1" applyAlignment="1">
      <alignment horizontal="center" vertical="center" wrapText="1"/>
    </xf>
    <xf numFmtId="0" fontId="0" fillId="6" borderId="22" xfId="0" applyFill="1" applyBorder="1" applyAlignment="1">
      <alignment horizontal="center" vertical="center" wrapText="1"/>
    </xf>
    <xf numFmtId="0" fontId="0" fillId="6" borderId="23" xfId="0" applyFill="1" applyBorder="1" applyAlignment="1">
      <alignment horizontal="center" vertical="center" wrapText="1"/>
    </xf>
    <xf numFmtId="0" fontId="0" fillId="6" borderId="24" xfId="0" applyFill="1" applyBorder="1" applyAlignment="1">
      <alignment horizontal="center" vertical="center" wrapText="1"/>
    </xf>
    <xf numFmtId="0" fontId="0" fillId="6" borderId="8" xfId="0" applyFill="1" applyBorder="1" applyAlignment="1">
      <alignment horizontal="center" vertical="center" wrapText="1"/>
    </xf>
    <xf numFmtId="0" fontId="0" fillId="6" borderId="9" xfId="0" applyFill="1" applyBorder="1" applyAlignment="1">
      <alignment horizontal="center" vertical="center" wrapText="1"/>
    </xf>
    <xf numFmtId="0" fontId="0" fillId="6" borderId="10" xfId="0" applyFill="1" applyBorder="1" applyAlignment="1">
      <alignment horizontal="center" vertical="center" wrapText="1"/>
    </xf>
    <xf numFmtId="0" fontId="0" fillId="6" borderId="0" xfId="0" applyFill="1" applyAlignment="1">
      <alignment horizontal="left" vertical="center" wrapText="1"/>
    </xf>
    <xf numFmtId="0" fontId="0" fillId="6" borderId="7" xfId="0" applyFill="1" applyBorder="1" applyAlignment="1">
      <alignment horizontal="left" vertical="center" wrapText="1"/>
    </xf>
    <xf numFmtId="0" fontId="0" fillId="6" borderId="0" xfId="0" applyFill="1" applyAlignment="1">
      <alignment vertical="center" wrapText="1"/>
    </xf>
    <xf numFmtId="0" fontId="0" fillId="6" borderId="12" xfId="0" applyFill="1" applyBorder="1" applyAlignment="1">
      <alignment horizontal="center" vertical="center" wrapText="1"/>
    </xf>
    <xf numFmtId="0" fontId="0" fillId="6" borderId="15" xfId="0" applyFill="1" applyBorder="1" applyAlignment="1">
      <alignment horizontal="center" vertical="center" wrapText="1"/>
    </xf>
    <xf numFmtId="0" fontId="0" fillId="6" borderId="13" xfId="0" applyFill="1" applyBorder="1" applyAlignment="1">
      <alignment horizontal="center" vertical="center" wrapText="1"/>
    </xf>
    <xf numFmtId="0" fontId="0" fillId="6" borderId="0" xfId="10" quotePrefix="1" applyFont="1" applyBorder="1" applyAlignment="1">
      <alignment horizontal="left" vertical="top" wrapText="1"/>
    </xf>
    <xf numFmtId="0" fontId="2" fillId="6" borderId="0" xfId="10" quotePrefix="1" applyBorder="1" applyAlignment="1">
      <alignment horizontal="left" vertical="top" wrapText="1"/>
    </xf>
    <xf numFmtId="0" fontId="2" fillId="6" borderId="0" xfId="10" applyBorder="1" applyAlignment="1">
      <alignment horizontal="left" vertical="top" wrapText="1"/>
    </xf>
    <xf numFmtId="0" fontId="22" fillId="10" borderId="12" xfId="0" applyFont="1" applyFill="1" applyBorder="1" applyAlignment="1">
      <alignment horizontal="center" vertical="top"/>
    </xf>
    <xf numFmtId="0" fontId="9" fillId="6" borderId="16"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9" fillId="6" borderId="18" xfId="0" applyFont="1" applyFill="1" applyBorder="1" applyAlignment="1">
      <alignment vertical="center"/>
    </xf>
    <xf numFmtId="0" fontId="8" fillId="6" borderId="47" xfId="0" applyFont="1" applyFill="1" applyBorder="1" applyAlignment="1">
      <alignment horizontal="left" vertical="top" wrapText="1"/>
    </xf>
    <xf numFmtId="0" fontId="9" fillId="6" borderId="23" xfId="0" applyFont="1" applyFill="1" applyBorder="1" applyAlignment="1">
      <alignment horizontal="center" vertical="top"/>
    </xf>
    <xf numFmtId="0" fontId="9" fillId="6" borderId="13" xfId="0" applyFont="1" applyFill="1" applyBorder="1" applyAlignment="1">
      <alignment vertical="center"/>
    </xf>
    <xf numFmtId="0" fontId="9" fillId="6" borderId="22" xfId="0" applyFont="1" applyFill="1" applyBorder="1" applyAlignment="1">
      <alignment horizontal="center" vertical="center" wrapText="1"/>
    </xf>
    <xf numFmtId="0" fontId="9" fillId="6" borderId="23" xfId="0" applyFont="1" applyFill="1" applyBorder="1" applyAlignment="1">
      <alignment horizontal="center" vertical="center" wrapText="1"/>
    </xf>
    <xf numFmtId="0" fontId="9" fillId="6" borderId="24" xfId="0" applyFont="1" applyFill="1" applyBorder="1" applyAlignment="1">
      <alignment horizontal="center" vertical="center" wrapText="1"/>
    </xf>
    <xf numFmtId="0" fontId="22" fillId="11" borderId="12" xfId="0" applyFont="1" applyFill="1" applyBorder="1" applyAlignment="1">
      <alignment horizontal="center" vertical="top"/>
    </xf>
    <xf numFmtId="0" fontId="0" fillId="6" borderId="22" xfId="0" applyFill="1" applyBorder="1" applyAlignment="1">
      <alignment horizontal="center" vertical="center"/>
    </xf>
    <xf numFmtId="0" fontId="0" fillId="6" borderId="23" xfId="0" applyFill="1" applyBorder="1" applyAlignment="1">
      <alignment horizontal="center" vertical="center"/>
    </xf>
    <xf numFmtId="0" fontId="0" fillId="6" borderId="24" xfId="0" applyFill="1" applyBorder="1" applyAlignment="1">
      <alignment horizontal="center" vertical="center"/>
    </xf>
    <xf numFmtId="0" fontId="22" fillId="11" borderId="15" xfId="0" applyFont="1" applyFill="1" applyBorder="1" applyAlignment="1">
      <alignment horizontal="center" vertical="top"/>
    </xf>
    <xf numFmtId="0" fontId="22" fillId="11" borderId="13" xfId="0" applyFont="1" applyFill="1" applyBorder="1" applyAlignment="1">
      <alignment horizontal="center" vertical="top"/>
    </xf>
    <xf numFmtId="0" fontId="22" fillId="12" borderId="12" xfId="0" applyFont="1" applyFill="1" applyBorder="1" applyAlignment="1">
      <alignment horizontal="center" vertical="top"/>
    </xf>
    <xf numFmtId="0" fontId="0" fillId="0" borderId="0" xfId="0" applyAlignment="1">
      <alignment vertical="top"/>
    </xf>
    <xf numFmtId="0" fontId="9" fillId="6" borderId="0" xfId="0" applyFont="1" applyFill="1" applyAlignment="1">
      <alignment horizontal="left" vertical="top" wrapText="1" indent="6"/>
    </xf>
    <xf numFmtId="0" fontId="0" fillId="0" borderId="0" xfId="0" applyAlignment="1">
      <alignment horizontal="left" vertical="top" wrapText="1" indent="6"/>
    </xf>
    <xf numFmtId="0" fontId="0" fillId="6" borderId="15" xfId="0" applyFill="1" applyBorder="1" applyAlignment="1">
      <alignment vertical="center" wrapText="1"/>
    </xf>
    <xf numFmtId="0" fontId="0" fillId="6" borderId="13" xfId="0" applyFill="1" applyBorder="1" applyAlignment="1">
      <alignment vertical="center" wrapText="1"/>
    </xf>
    <xf numFmtId="0" fontId="5" fillId="2" borderId="51" xfId="2" applyBorder="1" applyAlignment="1">
      <alignment horizontal="right" vertical="top"/>
      <protection locked="0"/>
    </xf>
    <xf numFmtId="0" fontId="0" fillId="0" borderId="52" xfId="0" applyBorder="1" applyAlignment="1" applyProtection="1">
      <alignment horizontal="right" vertical="top"/>
      <protection locked="0"/>
    </xf>
    <xf numFmtId="0" fontId="0" fillId="6" borderId="17" xfId="0" applyFill="1" applyBorder="1" applyAlignment="1">
      <alignment vertical="center" wrapText="1"/>
    </xf>
    <xf numFmtId="0" fontId="0" fillId="6" borderId="18" xfId="0" applyFill="1" applyBorder="1" applyAlignment="1">
      <alignment vertical="center" wrapText="1"/>
    </xf>
    <xf numFmtId="0" fontId="5" fillId="2" borderId="1" xfId="2" applyAlignment="1">
      <alignment horizontal="left" vertical="top"/>
      <protection locked="0"/>
    </xf>
    <xf numFmtId="0" fontId="13" fillId="6" borderId="0" xfId="8" applyFill="1" applyAlignment="1" applyProtection="1">
      <alignment horizontal="left" vertical="top" wrapText="1" indent="6"/>
    </xf>
    <xf numFmtId="0" fontId="0" fillId="6" borderId="0" xfId="0" applyFill="1" applyAlignment="1">
      <alignment horizontal="left" vertical="top" wrapText="1" indent="6"/>
    </xf>
    <xf numFmtId="3" fontId="5" fillId="2" borderId="51" xfId="2" applyNumberFormat="1" applyBorder="1" applyAlignment="1">
      <alignment horizontal="right" vertical="top"/>
      <protection locked="0"/>
    </xf>
    <xf numFmtId="0" fontId="0" fillId="6" borderId="12" xfId="0" quotePrefix="1" applyFill="1" applyBorder="1" applyAlignment="1">
      <alignment horizontal="center" vertical="center" wrapText="1"/>
    </xf>
    <xf numFmtId="0" fontId="0" fillId="6" borderId="15" xfId="0" quotePrefix="1" applyFill="1" applyBorder="1" applyAlignment="1">
      <alignment horizontal="center" vertical="center" wrapText="1"/>
    </xf>
    <xf numFmtId="0" fontId="0" fillId="6" borderId="13" xfId="0" quotePrefix="1" applyFill="1" applyBorder="1" applyAlignment="1">
      <alignment horizontal="center" vertical="center" wrapText="1"/>
    </xf>
    <xf numFmtId="0" fontId="0" fillId="6" borderId="7" xfId="0" applyFill="1" applyBorder="1" applyAlignment="1">
      <alignment vertical="top" wrapText="1"/>
    </xf>
    <xf numFmtId="0" fontId="22" fillId="17" borderId="12" xfId="0" applyFont="1" applyFill="1" applyBorder="1" applyAlignment="1">
      <alignment horizontal="center" vertical="top"/>
    </xf>
    <xf numFmtId="0" fontId="0" fillId="6" borderId="16" xfId="0" quotePrefix="1" applyFill="1" applyBorder="1" applyAlignment="1">
      <alignment horizontal="center" vertical="center" wrapText="1"/>
    </xf>
    <xf numFmtId="0" fontId="0" fillId="6" borderId="17" xfId="0" quotePrefix="1" applyFill="1" applyBorder="1" applyAlignment="1">
      <alignment horizontal="center" vertical="center" wrapText="1"/>
    </xf>
    <xf numFmtId="0" fontId="0" fillId="6" borderId="18" xfId="0" quotePrefix="1" applyFill="1" applyBorder="1" applyAlignment="1">
      <alignment horizontal="center" vertical="center" wrapText="1"/>
    </xf>
    <xf numFmtId="0" fontId="9" fillId="6" borderId="0" xfId="0" quotePrefix="1" applyFont="1" applyFill="1" applyAlignment="1">
      <alignment horizontal="left" vertical="top" wrapText="1"/>
    </xf>
    <xf numFmtId="0" fontId="0" fillId="6" borderId="7" xfId="0" applyFill="1" applyBorder="1" applyAlignment="1">
      <alignment horizontal="left" vertical="top" wrapText="1"/>
    </xf>
    <xf numFmtId="0" fontId="0" fillId="6" borderId="9" xfId="0" applyFill="1" applyBorder="1" applyAlignment="1">
      <alignment vertical="top" wrapText="1"/>
    </xf>
    <xf numFmtId="0" fontId="0" fillId="6" borderId="10" xfId="0" applyFill="1" applyBorder="1" applyAlignment="1">
      <alignment vertical="top" wrapText="1"/>
    </xf>
    <xf numFmtId="0" fontId="22" fillId="17" borderId="15" xfId="0" applyFont="1" applyFill="1" applyBorder="1" applyAlignment="1">
      <alignment horizontal="center" vertical="top"/>
    </xf>
    <xf numFmtId="0" fontId="22" fillId="17" borderId="13" xfId="0" applyFont="1" applyFill="1" applyBorder="1" applyAlignment="1">
      <alignment horizontal="center" vertical="top"/>
    </xf>
    <xf numFmtId="0" fontId="2" fillId="6" borderId="0" xfId="19" applyBorder="1" applyAlignment="1">
      <alignment horizontal="left"/>
    </xf>
    <xf numFmtId="0" fontId="0" fillId="0" borderId="52" xfId="0" applyBorder="1" applyAlignment="1" applyProtection="1">
      <protection locked="0"/>
    </xf>
  </cellXfs>
  <cellStyles count="64">
    <cellStyle name="20% - Accent1" xfId="35" builtinId="30" customBuiltin="1"/>
    <cellStyle name="20% - Accent2" xfId="39" builtinId="34" customBuiltin="1"/>
    <cellStyle name="20% - Accent3" xfId="43" builtinId="38" customBuiltin="1"/>
    <cellStyle name="20% - Accent4" xfId="47" builtinId="42" customBuiltin="1"/>
    <cellStyle name="20% - Accent5" xfId="51" builtinId="46" customBuiltin="1"/>
    <cellStyle name="20% - Accent6" xfId="55" builtinId="50" customBuiltin="1"/>
    <cellStyle name="40% - Accent1" xfId="36" builtinId="31" customBuiltin="1"/>
    <cellStyle name="40% - Accent2" xfId="40" builtinId="35" customBuiltin="1"/>
    <cellStyle name="40% - Accent3" xfId="44" builtinId="39" customBuiltin="1"/>
    <cellStyle name="40% - Accent4" xfId="48" builtinId="43" customBuiltin="1"/>
    <cellStyle name="40% - Accent5" xfId="52" builtinId="47" customBuiltin="1"/>
    <cellStyle name="40% - Accent6" xfId="56" builtinId="51" customBuiltin="1"/>
    <cellStyle name="60% - Accent1" xfId="37" builtinId="32" customBuiltin="1"/>
    <cellStyle name="60% - Accent2" xfId="41" builtinId="36" customBuiltin="1"/>
    <cellStyle name="60% - Accent3" xfId="45" builtinId="40" customBuiltin="1"/>
    <cellStyle name="60% - Accent4" xfId="49" builtinId="44" customBuiltin="1"/>
    <cellStyle name="60% - Accent5" xfId="53" builtinId="48" customBuiltin="1"/>
    <cellStyle name="60% - Accent6" xfId="57" builtinId="52" customBuiltin="1"/>
    <cellStyle name="Accent1" xfId="34" builtinId="29" customBuiltin="1"/>
    <cellStyle name="Accent2" xfId="38" builtinId="33" customBuiltin="1"/>
    <cellStyle name="Accent3" xfId="42" builtinId="37" customBuiltin="1"/>
    <cellStyle name="Accent4" xfId="46" builtinId="41" customBuiltin="1"/>
    <cellStyle name="Accent5" xfId="50" builtinId="45" customBuiltin="1"/>
    <cellStyle name="Accent6" xfId="54" builtinId="49" customBuiltin="1"/>
    <cellStyle name="Bad" xfId="28" builtinId="27" customBuiltin="1"/>
    <cellStyle name="Calculation" xfId="4" builtinId="22" customBuiltin="1"/>
    <cellStyle name="Calculation 2" xfId="60" xr:uid="{0E784F84-45FE-4482-AF8A-1616EE05BA28}"/>
    <cellStyle name="Check Cell" xfId="5" builtinId="23" customBuiltin="1"/>
    <cellStyle name="Check Cell 2" xfId="62" xr:uid="{4EBC46E6-5C9B-4137-B1D9-7DA31E9BCE45}"/>
    <cellStyle name="Comma" xfId="6" builtinId="3"/>
    <cellStyle name="Comment" xfId="19" xr:uid="{00000000-0005-0000-0000-000003000000}"/>
    <cellStyle name="Constant, overriden" xfId="17" xr:uid="{00000000-0005-0000-0000-000004000000}"/>
    <cellStyle name="Explanatory Text" xfId="32" builtinId="53" customBuiltin="1"/>
    <cellStyle name="Followed Hyperlink" xfId="13" builtinId="9" hidden="1" customBuiltin="1"/>
    <cellStyle name="Followed Hyperlink" xfId="12" builtinId="9" hidden="1"/>
    <cellStyle name="Followed Hyperlink" xfId="11" builtinId="9" hidden="1" customBuiltin="1"/>
    <cellStyle name="Followed Hyperlink" xfId="14" builtinId="9" customBuiltin="1"/>
    <cellStyle name="Good" xfId="27" builtinId="26" customBuiltin="1"/>
    <cellStyle name="Header" xfId="9" xr:uid="{00000000-0005-0000-0000-00000A000000}"/>
    <cellStyle name="Heading 1" xfId="23" builtinId="16" customBuiltin="1"/>
    <cellStyle name="Heading 2" xfId="24" builtinId="17" customBuiltin="1"/>
    <cellStyle name="Heading 3" xfId="25" builtinId="18" customBuiltin="1"/>
    <cellStyle name="Heading 4" xfId="26" builtinId="19" customBuiltin="1"/>
    <cellStyle name="Hyperlink" xfId="8" builtinId="8" customBuiltin="1"/>
    <cellStyle name="Input" xfId="2" builtinId="20" customBuiltin="1"/>
    <cellStyle name="Input 2" xfId="58" xr:uid="{4EEC4CBA-BEF3-4315-BE81-4C89AAFE3F2C}"/>
    <cellStyle name="Input, optional" xfId="16" xr:uid="{00000000-0005-0000-0000-00000D000000}"/>
    <cellStyle name="Linked Cell" xfId="15" builtinId="24" customBuiltin="1"/>
    <cellStyle name="Linked Cell 2" xfId="61" xr:uid="{C032873E-8B53-4269-9ABC-9BDD3CD9968E}"/>
    <cellStyle name="Neutral" xfId="29" builtinId="28" customBuiltin="1"/>
    <cellStyle name="Normal" xfId="0" builtinId="0"/>
    <cellStyle name="Normal 2" xfId="63" xr:uid="{AA6DCB76-72F5-4B9C-8F68-C02B6B139943}"/>
    <cellStyle name="Normal 3" xfId="7" xr:uid="{00000000-0005-0000-0000-000010000000}"/>
    <cellStyle name="Note" xfId="31" builtinId="10" customBuiltin="1"/>
    <cellStyle name="Output" xfId="3" builtinId="21" customBuiltin="1"/>
    <cellStyle name="Output 2" xfId="59" xr:uid="{8856E0E7-90BD-45E5-8DD8-BD1D0BA740B8}"/>
    <cellStyle name="Output, increase" xfId="21" xr:uid="{00000000-0005-0000-0000-000012000000}"/>
    <cellStyle name="Output, Max" xfId="18" xr:uid="{00000000-0005-0000-0000-000013000000}"/>
    <cellStyle name="Percent" xfId="1" builtinId="5"/>
    <cellStyle name="Text" xfId="10" xr:uid="{00000000-0005-0000-0000-000015000000}"/>
    <cellStyle name="Title" xfId="22" builtinId="15" customBuiltin="1"/>
    <cellStyle name="Total" xfId="33" builtinId="25" customBuiltin="1"/>
    <cellStyle name="Warning" xfId="20" xr:uid="{00000000-0005-0000-0000-000016000000}"/>
    <cellStyle name="Warning Text" xfId="30" builtinId="11" customBuiltin="1"/>
  </cellStyles>
  <dxfs count="100">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color auto="1"/>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color theme="0" tint="-0.499984740745262"/>
      </font>
      <fill>
        <patternFill>
          <bgColor theme="0" tint="-4.9989318521683403E-2"/>
        </patternFill>
      </fill>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color theme="0" tint="-0.499984740745262"/>
      </font>
      <fill>
        <patternFill>
          <bgColor theme="0" tint="-4.9989318521683403E-2"/>
        </patternFill>
      </fill>
    </dxf>
    <dxf>
      <font>
        <b/>
        <i val="0"/>
      </font>
      <fill>
        <patternFill>
          <fgColor theme="0" tint="-4.9989318521683403E-2"/>
          <bgColor theme="5" tint="0.79998168889431442"/>
        </patternFill>
      </fill>
      <border>
        <left style="thin">
          <color rgb="FFFF0000"/>
        </left>
        <right style="thin">
          <color rgb="FFFF0000"/>
        </right>
        <top style="thin">
          <color rgb="FFFF0000"/>
        </top>
        <bottom style="thin">
          <color rgb="FFFF0000"/>
        </bottom>
        <vertical/>
        <horizontal/>
      </border>
    </dxf>
    <dxf>
      <font>
        <b/>
        <i val="0"/>
        <color theme="1"/>
      </font>
      <fill>
        <patternFill>
          <bgColor theme="9" tint="0.79998168889431442"/>
        </patternFill>
      </fill>
      <border>
        <left style="thin">
          <color theme="9"/>
        </left>
        <right style="thin">
          <color theme="9"/>
        </right>
        <top style="thin">
          <color theme="9"/>
        </top>
        <bottom style="thin">
          <color theme="9"/>
        </bottom>
        <vertical/>
        <horizontal/>
      </border>
    </dxf>
    <dxf>
      <font>
        <color theme="0" tint="-0.1499679555650502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2" tint="-0.24994659260841701"/>
      </font>
    </dxf>
    <dxf>
      <font>
        <b/>
        <i val="0"/>
        <color rgb="FFFF0000"/>
      </font>
      <fill>
        <patternFill>
          <bgColor theme="5" tint="0.79998168889431442"/>
        </patternFill>
      </fill>
      <border>
        <top style="thin">
          <color rgb="FFFF0000"/>
        </top>
        <bottom style="thin">
          <color rgb="FFFF0000"/>
        </bottom>
        <vertical/>
        <horizontal/>
      </border>
    </dxf>
    <dxf>
      <fill>
        <patternFill>
          <bgColor theme="5" tint="0.79998168889431442"/>
        </patternFill>
      </fill>
      <border>
        <top style="thin">
          <color rgb="FFFF0000"/>
        </top>
        <bottom style="thin">
          <color rgb="FFFF0000"/>
        </bottom>
      </border>
    </dxf>
    <dxf>
      <fill>
        <patternFill>
          <bgColor theme="5" tint="0.79998168889431442"/>
        </patternFill>
      </fill>
      <border>
        <top style="thin">
          <color rgb="FFFF0000"/>
        </top>
        <bottom style="thin">
          <color rgb="FFFF0000"/>
        </bottom>
      </border>
    </dxf>
    <dxf>
      <fill>
        <patternFill>
          <bgColor theme="5" tint="0.79998168889431442"/>
        </patternFill>
      </fill>
      <border>
        <top style="thin">
          <color rgb="FFFF0000"/>
        </top>
        <bottom style="thin">
          <color rgb="FFFF0000"/>
        </bottom>
      </border>
    </dxf>
    <dxf>
      <fill>
        <patternFill>
          <bgColor theme="5" tint="0.79998168889431442"/>
        </patternFill>
      </fill>
      <border>
        <top style="thin">
          <color rgb="FFFF0000"/>
        </top>
        <bottom style="thin">
          <color rgb="FFFF0000"/>
        </bottom>
        <vertical/>
        <horizontal/>
      </border>
    </dxf>
    <dxf>
      <font>
        <b val="0"/>
        <i val="0"/>
        <color theme="0" tint="-0.499984740745262"/>
      </font>
    </dxf>
    <dxf>
      <font>
        <b val="0"/>
        <i val="0"/>
        <color theme="0" tint="-0.499984740745262"/>
      </font>
    </dxf>
    <dxf>
      <font>
        <b val="0"/>
        <i val="0"/>
        <color theme="0" tint="-0.499984740745262"/>
      </font>
    </dxf>
    <dxf>
      <font>
        <color theme="0" tint="-0.499984740745262"/>
      </font>
      <fill>
        <patternFill>
          <bgColor theme="0" tint="-0.24994659260841701"/>
        </patternFill>
      </fill>
    </dxf>
    <dxf>
      <font>
        <color theme="0" tint="-0.499984740745262"/>
      </font>
      <fill>
        <patternFill>
          <bgColor theme="0" tint="-0.24994659260841701"/>
        </patternFill>
      </fill>
    </dxf>
    <dxf>
      <font>
        <b val="0"/>
        <i val="0"/>
        <color theme="0" tint="-0.499984740745262"/>
      </font>
    </dxf>
    <dxf>
      <font>
        <color theme="0" tint="-0.499984740745262"/>
      </font>
      <fill>
        <patternFill>
          <bgColor theme="0" tint="-0.24994659260841701"/>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4" tint="0.79998168889431442"/>
      </font>
      <fill>
        <patternFill patternType="solid">
          <bgColor theme="4" tint="0.79998168889431442"/>
        </patternFill>
      </fill>
      <border>
        <left/>
        <right/>
        <top/>
        <bottom/>
        <vertical/>
        <horizontal/>
      </border>
    </dxf>
    <dxf>
      <font>
        <b val="0"/>
        <i val="0"/>
        <color theme="0" tint="-0.499984740745262"/>
      </font>
    </dxf>
    <dxf>
      <font>
        <b val="0"/>
        <i val="0"/>
        <color theme="0" tint="-0.499984740745262"/>
      </font>
    </dxf>
    <dxf>
      <font>
        <b val="0"/>
        <i val="0"/>
        <color theme="0" tint="-0.499984740745262"/>
      </font>
    </dxf>
    <dxf>
      <font>
        <color theme="0" tint="-0.499984740745262"/>
      </font>
      <fill>
        <patternFill>
          <bgColor theme="0" tint="-0.24994659260841701"/>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s>
  <tableStyles count="0" defaultTableStyle="TableStyleMedium2" defaultPivotStyle="PivotStyleLight16"/>
  <colors>
    <mruColors>
      <color rgb="FF3399FF"/>
      <color rgb="FF9C238F"/>
      <color rgb="FFCC00CC"/>
      <color rgb="FFFF66FF"/>
      <color rgb="FF996600"/>
      <color rgb="FF0E256A"/>
      <color rgb="FF2E75B6"/>
      <color rgb="FF289893"/>
      <color rgb="FF33CCCC"/>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haredStrings" Target="sharedStrings.xml"/></Relationships>
</file>

<file path=xl/ctrlProps/ctrlProp1.xml><?xml version="1.0" encoding="utf-8"?>
<formControlPr xmlns="http://schemas.microsoft.com/office/spreadsheetml/2009/9/main" objectType="CheckBox" fmlaLink="$K$33" lockText="1" noThreeD="1"/>
</file>

<file path=xl/ctrlProps/ctrlProp10.xml><?xml version="1.0" encoding="utf-8"?>
<formControlPr xmlns="http://schemas.microsoft.com/office/spreadsheetml/2009/9/main" objectType="CheckBox" fmlaLink="$G$24" lockText="1" noThreeD="1"/>
</file>

<file path=xl/ctrlProps/ctrlProp11.xml><?xml version="1.0" encoding="utf-8"?>
<formControlPr xmlns="http://schemas.microsoft.com/office/spreadsheetml/2009/9/main" objectType="CheckBox" fmlaLink="$G$24" lockText="1" noThreeD="1"/>
</file>

<file path=xl/ctrlProps/ctrlProp12.xml><?xml version="1.0" encoding="utf-8"?>
<formControlPr xmlns="http://schemas.microsoft.com/office/spreadsheetml/2009/9/main" objectType="CheckBox" fmlaLink="$G$18" lockText="1" noThreeD="1"/>
</file>

<file path=xl/ctrlProps/ctrlProp13.xml><?xml version="1.0" encoding="utf-8"?>
<formControlPr xmlns="http://schemas.microsoft.com/office/spreadsheetml/2009/9/main" objectType="CheckBox" fmlaLink="$G$26" lockText="1" noThreeD="1"/>
</file>

<file path=xl/ctrlProps/ctrlProp14.xml><?xml version="1.0" encoding="utf-8"?>
<formControlPr xmlns="http://schemas.microsoft.com/office/spreadsheetml/2009/9/main" objectType="CheckBox" fmlaLink="$G$28" lockText="1" noThreeD="1"/>
</file>

<file path=xl/ctrlProps/ctrlProp15.xml><?xml version="1.0" encoding="utf-8"?>
<formControlPr xmlns="http://schemas.microsoft.com/office/spreadsheetml/2009/9/main" objectType="CheckBox" fmlaLink="$G$14" lockText="1" noThreeD="1"/>
</file>

<file path=xl/ctrlProps/ctrlProp16.xml><?xml version="1.0" encoding="utf-8"?>
<formControlPr xmlns="http://schemas.microsoft.com/office/spreadsheetml/2009/9/main" objectType="CheckBox" fmlaLink="$G$23" lockText="1" noThreeD="1"/>
</file>

<file path=xl/ctrlProps/ctrlProp17.xml><?xml version="1.0" encoding="utf-8"?>
<formControlPr xmlns="http://schemas.microsoft.com/office/spreadsheetml/2009/9/main" objectType="CheckBox" fmlaLink="$H$41" lockText="1" noThreeD="1"/>
</file>

<file path=xl/ctrlProps/ctrlProp18.xml><?xml version="1.0" encoding="utf-8"?>
<formControlPr xmlns="http://schemas.microsoft.com/office/spreadsheetml/2009/9/main" objectType="CheckBox" fmlaLink="$G$22" lockText="1" noThreeD="1"/>
</file>

<file path=xl/ctrlProps/ctrlProp19.xml><?xml version="1.0" encoding="utf-8"?>
<formControlPr xmlns="http://schemas.microsoft.com/office/spreadsheetml/2009/9/main" objectType="CheckBox" fmlaLink="$G$26" lockText="1" noThreeD="1"/>
</file>

<file path=xl/ctrlProps/ctrlProp2.xml><?xml version="1.0" encoding="utf-8"?>
<formControlPr xmlns="http://schemas.microsoft.com/office/spreadsheetml/2009/9/main" objectType="CheckBox" fmlaLink="$H$22" lockText="1" noThreeD="1"/>
</file>

<file path=xl/ctrlProps/ctrlProp20.xml><?xml version="1.0" encoding="utf-8"?>
<formControlPr xmlns="http://schemas.microsoft.com/office/spreadsheetml/2009/9/main" objectType="CheckBox" fmlaLink="$H$55" lockText="1" noThreeD="1"/>
</file>

<file path=xl/ctrlProps/ctrlProp21.xml><?xml version="1.0" encoding="utf-8"?>
<formControlPr xmlns="http://schemas.microsoft.com/office/spreadsheetml/2009/9/main" objectType="CheckBox" fmlaLink="$H$55" lockText="1" noThreeD="1"/>
</file>

<file path=xl/ctrlProps/ctrlProp22.xml><?xml version="1.0" encoding="utf-8"?>
<formControlPr xmlns="http://schemas.microsoft.com/office/spreadsheetml/2009/9/main" objectType="CheckBox" fmlaLink="H34" lockText="1" noThreeD="1"/>
</file>

<file path=xl/ctrlProps/ctrlProp23.xml><?xml version="1.0" encoding="utf-8"?>
<formControlPr xmlns="http://schemas.microsoft.com/office/spreadsheetml/2009/9/main" objectType="CheckBox" fmlaLink="H23" lockText="1" noThreeD="1"/>
</file>

<file path=xl/ctrlProps/ctrlProp24.xml><?xml version="1.0" encoding="utf-8"?>
<formControlPr xmlns="http://schemas.microsoft.com/office/spreadsheetml/2009/9/main" objectType="CheckBox" fmlaLink="$G$22" lockText="1" noThreeD="1"/>
</file>

<file path=xl/ctrlProps/ctrlProp25.xml><?xml version="1.0" encoding="utf-8"?>
<formControlPr xmlns="http://schemas.microsoft.com/office/spreadsheetml/2009/9/main" objectType="CheckBox" fmlaLink="H16" lockText="1" noThreeD="1"/>
</file>

<file path=xl/ctrlProps/ctrlProp26.xml><?xml version="1.0" encoding="utf-8"?>
<formControlPr xmlns="http://schemas.microsoft.com/office/spreadsheetml/2009/9/main" objectType="CheckBox" fmlaLink="$G$30" lockText="1" noThreeD="1"/>
</file>

<file path=xl/ctrlProps/ctrlProp27.xml><?xml version="1.0" encoding="utf-8"?>
<formControlPr xmlns="http://schemas.microsoft.com/office/spreadsheetml/2009/9/main" objectType="CheckBox" fmlaLink="$G$37" lockText="1" noThreeD="1"/>
</file>

<file path=xl/ctrlProps/ctrlProp28.xml><?xml version="1.0" encoding="utf-8"?>
<formControlPr xmlns="http://schemas.microsoft.com/office/spreadsheetml/2009/9/main" objectType="CheckBox" fmlaLink="$G$37" lockText="1" noThreeD="1"/>
</file>

<file path=xl/ctrlProps/ctrlProp29.xml><?xml version="1.0" encoding="utf-8"?>
<formControlPr xmlns="http://schemas.microsoft.com/office/spreadsheetml/2009/9/main" objectType="CheckBox" fmlaLink="G38" lockText="1" noThreeD="1"/>
</file>

<file path=xl/ctrlProps/ctrlProp3.xml><?xml version="1.0" encoding="utf-8"?>
<formControlPr xmlns="http://schemas.microsoft.com/office/spreadsheetml/2009/9/main" objectType="CheckBox" fmlaLink="$G$24" lockText="1" noThreeD="1"/>
</file>

<file path=xl/ctrlProps/ctrlProp30.xml><?xml version="1.0" encoding="utf-8"?>
<formControlPr xmlns="http://schemas.microsoft.com/office/spreadsheetml/2009/9/main" objectType="CheckBox" fmlaLink="G34" lockText="1" noThreeD="1"/>
</file>

<file path=xl/ctrlProps/ctrlProp4.xml><?xml version="1.0" encoding="utf-8"?>
<formControlPr xmlns="http://schemas.microsoft.com/office/spreadsheetml/2009/9/main" objectType="CheckBox" fmlaLink="$H$17" lockText="1" noThreeD="1"/>
</file>

<file path=xl/ctrlProps/ctrlProp5.xml><?xml version="1.0" encoding="utf-8"?>
<formControlPr xmlns="http://schemas.microsoft.com/office/spreadsheetml/2009/9/main" objectType="CheckBox" fmlaLink="G32" lockText="1" noThreeD="1"/>
</file>

<file path=xl/ctrlProps/ctrlProp6.xml><?xml version="1.0" encoding="utf-8"?>
<formControlPr xmlns="http://schemas.microsoft.com/office/spreadsheetml/2009/9/main" objectType="CheckBox" fmlaLink="G34" lockText="1" noThreeD="1"/>
</file>

<file path=xl/ctrlProps/ctrlProp7.xml><?xml version="1.0" encoding="utf-8"?>
<formControlPr xmlns="http://schemas.microsoft.com/office/spreadsheetml/2009/9/main" objectType="CheckBox" fmlaLink="$G$35" lockText="1" noThreeD="1"/>
</file>

<file path=xl/ctrlProps/ctrlProp8.xml><?xml version="1.0" encoding="utf-8"?>
<formControlPr xmlns="http://schemas.microsoft.com/office/spreadsheetml/2009/9/main" objectType="CheckBox" fmlaLink="$G$17" lockText="1" noThreeD="1"/>
</file>

<file path=xl/ctrlProps/ctrlProp9.xml><?xml version="1.0" encoding="utf-8"?>
<formControlPr xmlns="http://schemas.microsoft.com/office/spreadsheetml/2009/9/main" objectType="CheckBox" fmlaLink="$G$30"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7.png"/><Relationship Id="rId3" Type="http://schemas.openxmlformats.org/officeDocument/2006/relationships/image" Target="../media/image28.png"/><Relationship Id="rId7" Type="http://schemas.openxmlformats.org/officeDocument/2006/relationships/image" Target="../media/image32.png"/><Relationship Id="rId12" Type="http://schemas.openxmlformats.org/officeDocument/2006/relationships/image" Target="../media/image36.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24.png"/><Relationship Id="rId5" Type="http://schemas.openxmlformats.org/officeDocument/2006/relationships/image" Target="../media/image3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32</xdr:row>
          <xdr:rowOff>0</xdr:rowOff>
        </xdr:from>
        <xdr:to>
          <xdr:col>11</xdr:col>
          <xdr:colOff>9525</xdr:colOff>
          <xdr:row>33</xdr:row>
          <xdr:rowOff>28575</xdr:rowOff>
        </xdr:to>
        <xdr:sp macro="" textlink="">
          <xdr:nvSpPr>
            <xdr:cNvPr id="1040" name="Check Box 16" descr="Exclude From Results Summary"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xdr:colOff>
          <xdr:row>15</xdr:row>
          <xdr:rowOff>66675</xdr:rowOff>
        </xdr:from>
        <xdr:to>
          <xdr:col>7</xdr:col>
          <xdr:colOff>0</xdr:colOff>
          <xdr:row>17</xdr:row>
          <xdr:rowOff>28575</xdr:rowOff>
        </xdr:to>
        <xdr:sp macro="" textlink="">
          <xdr:nvSpPr>
            <xdr:cNvPr id="91137" name="Check Box 1" descr="Exclude From Results Summary" hidden="1">
              <a:extLst>
                <a:ext uri="{63B3BB69-23CF-44E3-9099-C40C66FF867C}">
                  <a14:compatExt spid="_x0000_s91137"/>
                </a:ext>
                <a:ext uri="{FF2B5EF4-FFF2-40B4-BE49-F238E27FC236}">
                  <a16:creationId xmlns:a16="http://schemas.microsoft.com/office/drawing/2014/main" id="{00000000-0008-0000-0F00-00000164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28</xdr:row>
          <xdr:rowOff>85725</xdr:rowOff>
        </xdr:from>
        <xdr:to>
          <xdr:col>7</xdr:col>
          <xdr:colOff>38100</xdr:colOff>
          <xdr:row>30</xdr:row>
          <xdr:rowOff>28575</xdr:rowOff>
        </xdr:to>
        <xdr:sp macro="" textlink="">
          <xdr:nvSpPr>
            <xdr:cNvPr id="59402" name="Check Box 10" descr="Exclude From Results Summary" hidden="1">
              <a:extLst>
                <a:ext uri="{63B3BB69-23CF-44E3-9099-C40C66FF867C}">
                  <a14:compatExt spid="_x0000_s59402"/>
                </a:ext>
                <a:ext uri="{FF2B5EF4-FFF2-40B4-BE49-F238E27FC236}">
                  <a16:creationId xmlns:a16="http://schemas.microsoft.com/office/drawing/2014/main" id="{00000000-0008-0000-1000-00000AE800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22</xdr:row>
          <xdr:rowOff>85725</xdr:rowOff>
        </xdr:from>
        <xdr:to>
          <xdr:col>7</xdr:col>
          <xdr:colOff>0</xdr:colOff>
          <xdr:row>24</xdr:row>
          <xdr:rowOff>0</xdr:rowOff>
        </xdr:to>
        <xdr:sp macro="" textlink="">
          <xdr:nvSpPr>
            <xdr:cNvPr id="211969" name="Check Box 1" descr="Exclude From Results Summary" hidden="1">
              <a:extLst>
                <a:ext uri="{63B3BB69-23CF-44E3-9099-C40C66FF867C}">
                  <a14:compatExt spid="_x0000_s211969"/>
                </a:ext>
                <a:ext uri="{FF2B5EF4-FFF2-40B4-BE49-F238E27FC236}">
                  <a16:creationId xmlns:a16="http://schemas.microsoft.com/office/drawing/2014/main" id="{00000000-0008-0000-1100-0000013C03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22</xdr:row>
          <xdr:rowOff>85725</xdr:rowOff>
        </xdr:from>
        <xdr:to>
          <xdr:col>7</xdr:col>
          <xdr:colOff>0</xdr:colOff>
          <xdr:row>24</xdr:row>
          <xdr:rowOff>0</xdr:rowOff>
        </xdr:to>
        <xdr:sp macro="" textlink="">
          <xdr:nvSpPr>
            <xdr:cNvPr id="212993" name="Check Box 1" descr="Exclude From Results Summary" hidden="1">
              <a:extLst>
                <a:ext uri="{63B3BB69-23CF-44E3-9099-C40C66FF867C}">
                  <a14:compatExt spid="_x0000_s212993"/>
                </a:ext>
                <a:ext uri="{FF2B5EF4-FFF2-40B4-BE49-F238E27FC236}">
                  <a16:creationId xmlns:a16="http://schemas.microsoft.com/office/drawing/2014/main" id="{00000000-0008-0000-1200-0000014003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16</xdr:row>
          <xdr:rowOff>85725</xdr:rowOff>
        </xdr:from>
        <xdr:to>
          <xdr:col>7</xdr:col>
          <xdr:colOff>0</xdr:colOff>
          <xdr:row>18</xdr:row>
          <xdr:rowOff>0</xdr:rowOff>
        </xdr:to>
        <xdr:sp macro="" textlink="">
          <xdr:nvSpPr>
            <xdr:cNvPr id="236545" name="Check Box 1" descr="Exclude From Results Summary" hidden="1">
              <a:extLst>
                <a:ext uri="{63B3BB69-23CF-44E3-9099-C40C66FF867C}">
                  <a14:compatExt spid="_x0000_s236545"/>
                </a:ext>
                <a:ext uri="{FF2B5EF4-FFF2-40B4-BE49-F238E27FC236}">
                  <a16:creationId xmlns:a16="http://schemas.microsoft.com/office/drawing/2014/main" id="{00000000-0008-0000-1300-0000019C03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25</xdr:row>
          <xdr:rowOff>0</xdr:rowOff>
        </xdr:from>
        <xdr:to>
          <xdr:col>7</xdr:col>
          <xdr:colOff>0</xdr:colOff>
          <xdr:row>26</xdr:row>
          <xdr:rowOff>0</xdr:rowOff>
        </xdr:to>
        <xdr:sp macro="" textlink="">
          <xdr:nvSpPr>
            <xdr:cNvPr id="95237" name="Check Box 5" descr="Exclude From Results Summary" hidden="1">
              <a:extLst>
                <a:ext uri="{63B3BB69-23CF-44E3-9099-C40C66FF867C}">
                  <a14:compatExt spid="_x0000_s95237"/>
                </a:ext>
                <a:ext uri="{FF2B5EF4-FFF2-40B4-BE49-F238E27FC236}">
                  <a16:creationId xmlns:a16="http://schemas.microsoft.com/office/drawing/2014/main" id="{00000000-0008-0000-1400-00000574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7</xdr:col>
          <xdr:colOff>0</xdr:colOff>
          <xdr:row>28</xdr:row>
          <xdr:rowOff>0</xdr:rowOff>
        </xdr:to>
        <xdr:sp macro="" textlink="">
          <xdr:nvSpPr>
            <xdr:cNvPr id="333825" name="Check Box 1" descr="Exclude From Results Summary" hidden="1">
              <a:extLst>
                <a:ext uri="{63B3BB69-23CF-44E3-9099-C40C66FF867C}">
                  <a14:compatExt spid="_x0000_s333825"/>
                </a:ext>
                <a:ext uri="{FF2B5EF4-FFF2-40B4-BE49-F238E27FC236}">
                  <a16:creationId xmlns:a16="http://schemas.microsoft.com/office/drawing/2014/main" id="{00000000-0008-0000-1500-0000011805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12</xdr:row>
          <xdr:rowOff>76200</xdr:rowOff>
        </xdr:from>
        <xdr:to>
          <xdr:col>7</xdr:col>
          <xdr:colOff>0</xdr:colOff>
          <xdr:row>14</xdr:row>
          <xdr:rowOff>9525</xdr:rowOff>
        </xdr:to>
        <xdr:sp macro="" textlink="">
          <xdr:nvSpPr>
            <xdr:cNvPr id="96259" name="Check Box 3" descr="Exclude From Results Summary" hidden="1">
              <a:extLst>
                <a:ext uri="{63B3BB69-23CF-44E3-9099-C40C66FF867C}">
                  <a14:compatExt spid="_x0000_s96259"/>
                </a:ext>
                <a:ext uri="{FF2B5EF4-FFF2-40B4-BE49-F238E27FC236}">
                  <a16:creationId xmlns:a16="http://schemas.microsoft.com/office/drawing/2014/main" id="{00000000-0008-0000-1600-00000378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22</xdr:row>
          <xdr:rowOff>0</xdr:rowOff>
        </xdr:from>
        <xdr:to>
          <xdr:col>7</xdr:col>
          <xdr:colOff>0</xdr:colOff>
          <xdr:row>23</xdr:row>
          <xdr:rowOff>0</xdr:rowOff>
        </xdr:to>
        <xdr:sp macro="" textlink="">
          <xdr:nvSpPr>
            <xdr:cNvPr id="239617" name="Check Box 1" descr="Exclude From Results Summary" hidden="1">
              <a:extLst>
                <a:ext uri="{63B3BB69-23CF-44E3-9099-C40C66FF867C}">
                  <a14:compatExt spid="_x0000_s239617"/>
                </a:ext>
                <a:ext uri="{FF2B5EF4-FFF2-40B4-BE49-F238E27FC236}">
                  <a16:creationId xmlns:a16="http://schemas.microsoft.com/office/drawing/2014/main" id="{00000000-0008-0000-1700-000001A803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40</xdr:row>
          <xdr:rowOff>0</xdr:rowOff>
        </xdr:from>
        <xdr:to>
          <xdr:col>8</xdr:col>
          <xdr:colOff>9525</xdr:colOff>
          <xdr:row>41</xdr:row>
          <xdr:rowOff>38100</xdr:rowOff>
        </xdr:to>
        <xdr:sp macro="" textlink="">
          <xdr:nvSpPr>
            <xdr:cNvPr id="241665" name="Check Box 1" descr="Exclude From Results Summary" hidden="1">
              <a:extLst>
                <a:ext uri="{63B3BB69-23CF-44E3-9099-C40C66FF867C}">
                  <a14:compatExt spid="_x0000_s241665"/>
                </a:ext>
                <a:ext uri="{FF2B5EF4-FFF2-40B4-BE49-F238E27FC236}">
                  <a16:creationId xmlns:a16="http://schemas.microsoft.com/office/drawing/2014/main" id="{00000000-0008-0000-1800-000001B003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33</xdr:col>
      <xdr:colOff>38100</xdr:colOff>
      <xdr:row>26</xdr:row>
      <xdr:rowOff>38100</xdr:rowOff>
    </xdr:from>
    <xdr:to>
      <xdr:col>33</xdr:col>
      <xdr:colOff>631843</xdr:colOff>
      <xdr:row>26</xdr:row>
      <xdr:rowOff>205740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6344900" y="4419600"/>
          <a:ext cx="597554" cy="171450"/>
        </a:xfrm>
        <a:prstGeom prst="rect">
          <a:avLst/>
        </a:prstGeom>
      </xdr:spPr>
    </xdr:pic>
    <xdr:clientData/>
  </xdr:twoCellAnchor>
  <xdr:twoCellAnchor editAs="oneCell">
    <xdr:from>
      <xdr:col>33</xdr:col>
      <xdr:colOff>1</xdr:colOff>
      <xdr:row>13</xdr:row>
      <xdr:rowOff>0</xdr:rowOff>
    </xdr:from>
    <xdr:to>
      <xdr:col>33</xdr:col>
      <xdr:colOff>628236</xdr:colOff>
      <xdr:row>13</xdr:row>
      <xdr:rowOff>148683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6306801" y="4191000"/>
          <a:ext cx="637761" cy="148683"/>
        </a:xfrm>
        <a:prstGeom prst="rect">
          <a:avLst/>
        </a:prstGeom>
      </xdr:spPr>
    </xdr:pic>
    <xdr:clientData/>
  </xdr:twoCellAnchor>
  <xdr:twoCellAnchor editAs="oneCell">
    <xdr:from>
      <xdr:col>33</xdr:col>
      <xdr:colOff>1</xdr:colOff>
      <xdr:row>12</xdr:row>
      <xdr:rowOff>0</xdr:rowOff>
    </xdr:from>
    <xdr:to>
      <xdr:col>33</xdr:col>
      <xdr:colOff>457201</xdr:colOff>
      <xdr:row>12</xdr:row>
      <xdr:rowOff>170648</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6306801" y="6096000"/>
          <a:ext cx="457200" cy="174458"/>
        </a:xfrm>
        <a:prstGeom prst="rect">
          <a:avLst/>
        </a:prstGeom>
      </xdr:spPr>
    </xdr:pic>
    <xdr:clientData/>
  </xdr:twoCellAnchor>
  <xdr:twoCellAnchor editAs="oneCell">
    <xdr:from>
      <xdr:col>33</xdr:col>
      <xdr:colOff>32525</xdr:colOff>
      <xdr:row>11</xdr:row>
      <xdr:rowOff>23231</xdr:rowOff>
    </xdr:from>
    <xdr:to>
      <xdr:col>33</xdr:col>
      <xdr:colOff>663079</xdr:colOff>
      <xdr:row>11</xdr:row>
      <xdr:rowOff>168435</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16339325" y="2118731"/>
          <a:ext cx="619125" cy="137584"/>
        </a:xfrm>
        <a:prstGeom prst="rect">
          <a:avLst/>
        </a:prstGeom>
      </xdr:spPr>
    </xdr:pic>
    <xdr:clientData/>
  </xdr:twoCellAnchor>
  <xdr:twoCellAnchor editAs="oneCell">
    <xdr:from>
      <xdr:col>33</xdr:col>
      <xdr:colOff>1</xdr:colOff>
      <xdr:row>10</xdr:row>
      <xdr:rowOff>1</xdr:rowOff>
    </xdr:from>
    <xdr:to>
      <xdr:col>33</xdr:col>
      <xdr:colOff>533401</xdr:colOff>
      <xdr:row>10</xdr:row>
      <xdr:rowOff>171451</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16325023" y="6667501"/>
          <a:ext cx="533400" cy="167640"/>
        </a:xfrm>
        <a:prstGeom prst="rect">
          <a:avLst/>
        </a:prstGeom>
      </xdr:spPr>
    </xdr:pic>
    <xdr:clientData/>
  </xdr:twoCellAnchor>
  <xdr:twoCellAnchor editAs="oneCell">
    <xdr:from>
      <xdr:col>33</xdr:col>
      <xdr:colOff>23232</xdr:colOff>
      <xdr:row>18</xdr:row>
      <xdr:rowOff>27878</xdr:rowOff>
    </xdr:from>
    <xdr:to>
      <xdr:col>33</xdr:col>
      <xdr:colOff>400422</xdr:colOff>
      <xdr:row>18</xdr:row>
      <xdr:rowOff>208853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16330032" y="5361878"/>
          <a:ext cx="381000" cy="190500"/>
        </a:xfrm>
        <a:prstGeom prst="rect">
          <a:avLst/>
        </a:prstGeom>
      </xdr:spPr>
    </xdr:pic>
    <xdr:clientData/>
  </xdr:twoCellAnchor>
  <xdr:twoCellAnchor editAs="oneCell">
    <xdr:from>
      <xdr:col>33</xdr:col>
      <xdr:colOff>41817</xdr:colOff>
      <xdr:row>21</xdr:row>
      <xdr:rowOff>13940</xdr:rowOff>
    </xdr:from>
    <xdr:to>
      <xdr:col>33</xdr:col>
      <xdr:colOff>474252</xdr:colOff>
      <xdr:row>21</xdr:row>
      <xdr:rowOff>209892</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a:stretch>
          <a:fillRect/>
        </a:stretch>
      </xdr:blipFill>
      <xdr:spPr>
        <a:xfrm>
          <a:off x="16348617" y="4776440"/>
          <a:ext cx="428625" cy="192142"/>
        </a:xfrm>
        <a:prstGeom prst="rect">
          <a:avLst/>
        </a:prstGeom>
      </xdr:spPr>
    </xdr:pic>
    <xdr:clientData/>
  </xdr:twoCellAnchor>
  <xdr:twoCellAnchor editAs="oneCell">
    <xdr:from>
      <xdr:col>33</xdr:col>
      <xdr:colOff>31988</xdr:colOff>
      <xdr:row>20</xdr:row>
      <xdr:rowOff>13940</xdr:rowOff>
    </xdr:from>
    <xdr:to>
      <xdr:col>33</xdr:col>
      <xdr:colOff>478149</xdr:colOff>
      <xdr:row>20</xdr:row>
      <xdr:rowOff>194060</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a:stretch>
          <a:fillRect/>
        </a:stretch>
      </xdr:blipFill>
      <xdr:spPr>
        <a:xfrm>
          <a:off x="16338788" y="4585940"/>
          <a:ext cx="432826" cy="180120"/>
        </a:xfrm>
        <a:prstGeom prst="rect">
          <a:avLst/>
        </a:prstGeom>
      </xdr:spPr>
    </xdr:pic>
    <xdr:clientData/>
  </xdr:twoCellAnchor>
  <xdr:twoCellAnchor editAs="oneCell">
    <xdr:from>
      <xdr:col>33</xdr:col>
      <xdr:colOff>0</xdr:colOff>
      <xdr:row>35</xdr:row>
      <xdr:rowOff>0</xdr:rowOff>
    </xdr:from>
    <xdr:to>
      <xdr:col>33</xdr:col>
      <xdr:colOff>626744</xdr:colOff>
      <xdr:row>35</xdr:row>
      <xdr:rowOff>168309</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stretch>
          <a:fillRect/>
        </a:stretch>
      </xdr:blipFill>
      <xdr:spPr>
        <a:xfrm>
          <a:off x="13039725" y="15811500"/>
          <a:ext cx="619124" cy="160689"/>
        </a:xfrm>
        <a:prstGeom prst="rect">
          <a:avLst/>
        </a:prstGeom>
      </xdr:spPr>
    </xdr:pic>
    <xdr:clientData/>
  </xdr:twoCellAnchor>
  <xdr:twoCellAnchor editAs="oneCell">
    <xdr:from>
      <xdr:col>33</xdr:col>
      <xdr:colOff>0</xdr:colOff>
      <xdr:row>16</xdr:row>
      <xdr:rowOff>1</xdr:rowOff>
    </xdr:from>
    <xdr:to>
      <xdr:col>33</xdr:col>
      <xdr:colOff>631114</xdr:colOff>
      <xdr:row>16</xdr:row>
      <xdr:rowOff>190501</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0"/>
        <a:stretch>
          <a:fillRect/>
        </a:stretch>
      </xdr:blipFill>
      <xdr:spPr>
        <a:xfrm>
          <a:off x="16306800" y="3238501"/>
          <a:ext cx="638735" cy="190500"/>
        </a:xfrm>
        <a:prstGeom prst="rect">
          <a:avLst/>
        </a:prstGeom>
      </xdr:spPr>
    </xdr:pic>
    <xdr:clientData/>
  </xdr:twoCellAnchor>
  <xdr:twoCellAnchor editAs="oneCell">
    <xdr:from>
      <xdr:col>33</xdr:col>
      <xdr:colOff>0</xdr:colOff>
      <xdr:row>23</xdr:row>
      <xdr:rowOff>0</xdr:rowOff>
    </xdr:from>
    <xdr:to>
      <xdr:col>33</xdr:col>
      <xdr:colOff>781049</xdr:colOff>
      <xdr:row>23</xdr:row>
      <xdr:rowOff>248003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1"/>
        <a:stretch>
          <a:fillRect/>
        </a:stretch>
      </xdr:blipFill>
      <xdr:spPr>
        <a:xfrm>
          <a:off x="16306800" y="1333500"/>
          <a:ext cx="790575" cy="251813"/>
        </a:xfrm>
        <a:prstGeom prst="rect">
          <a:avLst/>
        </a:prstGeom>
      </xdr:spPr>
    </xdr:pic>
    <xdr:clientData/>
  </xdr:twoCellAnchor>
  <xdr:twoCellAnchor editAs="oneCell">
    <xdr:from>
      <xdr:col>33</xdr:col>
      <xdr:colOff>0</xdr:colOff>
      <xdr:row>25</xdr:row>
      <xdr:rowOff>1</xdr:rowOff>
    </xdr:from>
    <xdr:to>
      <xdr:col>33</xdr:col>
      <xdr:colOff>495300</xdr:colOff>
      <xdr:row>25</xdr:row>
      <xdr:rowOff>168881</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2"/>
        <a:stretch>
          <a:fillRect/>
        </a:stretch>
      </xdr:blipFill>
      <xdr:spPr>
        <a:xfrm>
          <a:off x="16306800" y="5905501"/>
          <a:ext cx="495300" cy="161260"/>
        </a:xfrm>
        <a:prstGeom prst="rect">
          <a:avLst/>
        </a:prstGeom>
      </xdr:spPr>
    </xdr:pic>
    <xdr:clientData/>
  </xdr:twoCellAnchor>
  <xdr:twoCellAnchor editAs="oneCell">
    <xdr:from>
      <xdr:col>33</xdr:col>
      <xdr:colOff>0</xdr:colOff>
      <xdr:row>27</xdr:row>
      <xdr:rowOff>0</xdr:rowOff>
    </xdr:from>
    <xdr:to>
      <xdr:col>33</xdr:col>
      <xdr:colOff>438150</xdr:colOff>
      <xdr:row>27</xdr:row>
      <xdr:rowOff>173915</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3"/>
        <a:stretch>
          <a:fillRect/>
        </a:stretch>
      </xdr:blipFill>
      <xdr:spPr>
        <a:xfrm>
          <a:off x="16306800" y="3619500"/>
          <a:ext cx="428625" cy="181535"/>
        </a:xfrm>
        <a:prstGeom prst="rect">
          <a:avLst/>
        </a:prstGeom>
      </xdr:spPr>
    </xdr:pic>
    <xdr:clientData/>
  </xdr:twoCellAnchor>
  <xdr:twoCellAnchor editAs="oneCell">
    <xdr:from>
      <xdr:col>33</xdr:col>
      <xdr:colOff>1</xdr:colOff>
      <xdr:row>28</xdr:row>
      <xdr:rowOff>0</xdr:rowOff>
    </xdr:from>
    <xdr:to>
      <xdr:col>33</xdr:col>
      <xdr:colOff>396241</xdr:colOff>
      <xdr:row>28</xdr:row>
      <xdr:rowOff>228029</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4"/>
        <a:stretch>
          <a:fillRect/>
        </a:stretch>
      </xdr:blipFill>
      <xdr:spPr>
        <a:xfrm>
          <a:off x="16306801" y="1905000"/>
          <a:ext cx="400050" cy="228029"/>
        </a:xfrm>
        <a:prstGeom prst="rect">
          <a:avLst/>
        </a:prstGeom>
      </xdr:spPr>
    </xdr:pic>
    <xdr:clientData/>
  </xdr:twoCellAnchor>
  <xdr:twoCellAnchor editAs="oneCell">
    <xdr:from>
      <xdr:col>33</xdr:col>
      <xdr:colOff>0</xdr:colOff>
      <xdr:row>30</xdr:row>
      <xdr:rowOff>0</xdr:rowOff>
    </xdr:from>
    <xdr:to>
      <xdr:col>33</xdr:col>
      <xdr:colOff>533400</xdr:colOff>
      <xdr:row>30</xdr:row>
      <xdr:rowOff>174576</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5"/>
        <a:stretch>
          <a:fillRect/>
        </a:stretch>
      </xdr:blipFill>
      <xdr:spPr>
        <a:xfrm>
          <a:off x="16306800" y="1524000"/>
          <a:ext cx="533400" cy="186006"/>
        </a:xfrm>
        <a:prstGeom prst="rect">
          <a:avLst/>
        </a:prstGeom>
      </xdr:spPr>
    </xdr:pic>
    <xdr:clientData/>
  </xdr:twoCellAnchor>
  <xdr:twoCellAnchor editAs="oneCell">
    <xdr:from>
      <xdr:col>33</xdr:col>
      <xdr:colOff>9525</xdr:colOff>
      <xdr:row>29</xdr:row>
      <xdr:rowOff>0</xdr:rowOff>
    </xdr:from>
    <xdr:to>
      <xdr:col>33</xdr:col>
      <xdr:colOff>611511</xdr:colOff>
      <xdr:row>29</xdr:row>
      <xdr:rowOff>173355</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6"/>
        <a:stretch>
          <a:fillRect/>
        </a:stretch>
      </xdr:blipFill>
      <xdr:spPr>
        <a:xfrm>
          <a:off x="16316325" y="2857500"/>
          <a:ext cx="601987" cy="180975"/>
        </a:xfrm>
        <a:prstGeom prst="rect">
          <a:avLst/>
        </a:prstGeom>
      </xdr:spPr>
    </xdr:pic>
    <xdr:clientData/>
  </xdr:twoCellAnchor>
  <xdr:twoCellAnchor editAs="oneCell">
    <xdr:from>
      <xdr:col>33</xdr:col>
      <xdr:colOff>1</xdr:colOff>
      <xdr:row>32</xdr:row>
      <xdr:rowOff>1</xdr:rowOff>
    </xdr:from>
    <xdr:to>
      <xdr:col>33</xdr:col>
      <xdr:colOff>624840</xdr:colOff>
      <xdr:row>32</xdr:row>
      <xdr:rowOff>129541</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7"/>
        <a:stretch>
          <a:fillRect/>
        </a:stretch>
      </xdr:blipFill>
      <xdr:spPr>
        <a:xfrm>
          <a:off x="16306801" y="1714501"/>
          <a:ext cx="628650" cy="133350"/>
        </a:xfrm>
        <a:prstGeom prst="rect">
          <a:avLst/>
        </a:prstGeom>
      </xdr:spPr>
    </xdr:pic>
    <xdr:clientData/>
  </xdr:twoCellAnchor>
  <xdr:twoCellAnchor editAs="oneCell">
    <xdr:from>
      <xdr:col>33</xdr:col>
      <xdr:colOff>0</xdr:colOff>
      <xdr:row>33</xdr:row>
      <xdr:rowOff>1</xdr:rowOff>
    </xdr:from>
    <xdr:to>
      <xdr:col>33</xdr:col>
      <xdr:colOff>628649</xdr:colOff>
      <xdr:row>33</xdr:row>
      <xdr:rowOff>174717</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8"/>
        <a:stretch>
          <a:fillRect/>
        </a:stretch>
      </xdr:blipFill>
      <xdr:spPr>
        <a:xfrm>
          <a:off x="16306800" y="2476501"/>
          <a:ext cx="638175" cy="182336"/>
        </a:xfrm>
        <a:prstGeom prst="rect">
          <a:avLst/>
        </a:prstGeom>
      </xdr:spPr>
    </xdr:pic>
    <xdr:clientData/>
  </xdr:twoCellAnchor>
  <xdr:twoCellAnchor editAs="oneCell">
    <xdr:from>
      <xdr:col>33</xdr:col>
      <xdr:colOff>1</xdr:colOff>
      <xdr:row>31</xdr:row>
      <xdr:rowOff>0</xdr:rowOff>
    </xdr:from>
    <xdr:to>
      <xdr:col>33</xdr:col>
      <xdr:colOff>629517</xdr:colOff>
      <xdr:row>31</xdr:row>
      <xdr:rowOff>152400</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9"/>
        <a:stretch>
          <a:fillRect/>
        </a:stretch>
      </xdr:blipFill>
      <xdr:spPr>
        <a:xfrm>
          <a:off x="16306801" y="2667000"/>
          <a:ext cx="619992" cy="152400"/>
        </a:xfrm>
        <a:prstGeom prst="rect">
          <a:avLst/>
        </a:prstGeom>
      </xdr:spPr>
    </xdr:pic>
    <xdr:clientData/>
  </xdr:twoCellAnchor>
  <xdr:twoCellAnchor editAs="oneCell">
    <xdr:from>
      <xdr:col>33</xdr:col>
      <xdr:colOff>0</xdr:colOff>
      <xdr:row>37</xdr:row>
      <xdr:rowOff>0</xdr:rowOff>
    </xdr:from>
    <xdr:to>
      <xdr:col>33</xdr:col>
      <xdr:colOff>514814</xdr:colOff>
      <xdr:row>37</xdr:row>
      <xdr:rowOff>135255</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0"/>
        <a:stretch>
          <a:fillRect/>
        </a:stretch>
      </xdr:blipFill>
      <xdr:spPr>
        <a:xfrm>
          <a:off x="16306800" y="3429000"/>
          <a:ext cx="505289" cy="142875"/>
        </a:xfrm>
        <a:prstGeom prst="rect">
          <a:avLst/>
        </a:prstGeom>
      </xdr:spPr>
    </xdr:pic>
    <xdr:clientData/>
  </xdr:twoCellAnchor>
  <xdr:twoCellAnchor editAs="oneCell">
    <xdr:from>
      <xdr:col>33</xdr:col>
      <xdr:colOff>1</xdr:colOff>
      <xdr:row>36</xdr:row>
      <xdr:rowOff>0</xdr:rowOff>
    </xdr:from>
    <xdr:to>
      <xdr:col>33</xdr:col>
      <xdr:colOff>815340</xdr:colOff>
      <xdr:row>36</xdr:row>
      <xdr:rowOff>169481</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1"/>
        <a:stretch>
          <a:fillRect/>
        </a:stretch>
      </xdr:blipFill>
      <xdr:spPr>
        <a:xfrm>
          <a:off x="16306801" y="3810000"/>
          <a:ext cx="819150" cy="165671"/>
        </a:xfrm>
        <a:prstGeom prst="rect">
          <a:avLst/>
        </a:prstGeom>
      </xdr:spPr>
    </xdr:pic>
    <xdr:clientData/>
  </xdr:twoCellAnchor>
  <xdr:twoCellAnchor editAs="oneCell">
    <xdr:from>
      <xdr:col>33</xdr:col>
      <xdr:colOff>0</xdr:colOff>
      <xdr:row>39</xdr:row>
      <xdr:rowOff>0</xdr:rowOff>
    </xdr:from>
    <xdr:to>
      <xdr:col>33</xdr:col>
      <xdr:colOff>571500</xdr:colOff>
      <xdr:row>39</xdr:row>
      <xdr:rowOff>151805</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22"/>
        <a:stretch>
          <a:fillRect/>
        </a:stretch>
      </xdr:blipFill>
      <xdr:spPr>
        <a:xfrm>
          <a:off x="16306800" y="2286000"/>
          <a:ext cx="571500" cy="151805"/>
        </a:xfrm>
        <a:prstGeom prst="rect">
          <a:avLst/>
        </a:prstGeom>
      </xdr:spPr>
    </xdr:pic>
    <xdr:clientData/>
  </xdr:twoCellAnchor>
  <xdr:twoCellAnchor editAs="oneCell">
    <xdr:from>
      <xdr:col>33</xdr:col>
      <xdr:colOff>0</xdr:colOff>
      <xdr:row>38</xdr:row>
      <xdr:rowOff>0</xdr:rowOff>
    </xdr:from>
    <xdr:to>
      <xdr:col>33</xdr:col>
      <xdr:colOff>626744</xdr:colOff>
      <xdr:row>38</xdr:row>
      <xdr:rowOff>150091</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3"/>
        <a:stretch>
          <a:fillRect/>
        </a:stretch>
      </xdr:blipFill>
      <xdr:spPr>
        <a:xfrm>
          <a:off x="16306800" y="3048000"/>
          <a:ext cx="619125" cy="150091"/>
        </a:xfrm>
        <a:prstGeom prst="rect">
          <a:avLst/>
        </a:prstGeom>
      </xdr:spPr>
    </xdr:pic>
    <xdr:clientData/>
  </xdr:twoCellAnchor>
  <xdr:twoCellAnchor editAs="oneCell">
    <xdr:from>
      <xdr:col>33</xdr:col>
      <xdr:colOff>0</xdr:colOff>
      <xdr:row>34</xdr:row>
      <xdr:rowOff>0</xdr:rowOff>
    </xdr:from>
    <xdr:to>
      <xdr:col>33</xdr:col>
      <xdr:colOff>479283</xdr:colOff>
      <xdr:row>34</xdr:row>
      <xdr:rowOff>129540</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4"/>
        <a:stretch>
          <a:fillRect/>
        </a:stretch>
      </xdr:blipFill>
      <xdr:spPr>
        <a:xfrm>
          <a:off x="16306800" y="5143500"/>
          <a:ext cx="486903" cy="133350"/>
        </a:xfrm>
        <a:prstGeom prst="rect">
          <a:avLst/>
        </a:prstGeom>
      </xdr:spPr>
    </xdr:pic>
    <xdr:clientData/>
  </xdr:twoCellAnchor>
  <xdr:twoCellAnchor editAs="oneCell">
    <xdr:from>
      <xdr:col>33</xdr:col>
      <xdr:colOff>38100</xdr:colOff>
      <xdr:row>26</xdr:row>
      <xdr:rowOff>38100</xdr:rowOff>
    </xdr:from>
    <xdr:to>
      <xdr:col>33</xdr:col>
      <xdr:colOff>631843</xdr:colOff>
      <xdr:row>26</xdr:row>
      <xdr:rowOff>205740</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1"/>
        <a:stretch>
          <a:fillRect/>
        </a:stretch>
      </xdr:blipFill>
      <xdr:spPr>
        <a:xfrm>
          <a:off x="39928800" y="13944600"/>
          <a:ext cx="597553" cy="171450"/>
        </a:xfrm>
        <a:prstGeom prst="rect">
          <a:avLst/>
        </a:prstGeom>
      </xdr:spPr>
    </xdr:pic>
    <xdr:clientData/>
  </xdr:twoCellAnchor>
  <xdr:twoCellAnchor editAs="oneCell">
    <xdr:from>
      <xdr:col>33</xdr:col>
      <xdr:colOff>1</xdr:colOff>
      <xdr:row>13</xdr:row>
      <xdr:rowOff>0</xdr:rowOff>
    </xdr:from>
    <xdr:to>
      <xdr:col>33</xdr:col>
      <xdr:colOff>628236</xdr:colOff>
      <xdr:row>13</xdr:row>
      <xdr:rowOff>148683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2"/>
        <a:stretch>
          <a:fillRect/>
        </a:stretch>
      </xdr:blipFill>
      <xdr:spPr>
        <a:xfrm>
          <a:off x="39890701" y="4762500"/>
          <a:ext cx="637760" cy="148683"/>
        </a:xfrm>
        <a:prstGeom prst="rect">
          <a:avLst/>
        </a:prstGeom>
      </xdr:spPr>
    </xdr:pic>
    <xdr:clientData/>
  </xdr:twoCellAnchor>
  <xdr:twoCellAnchor editAs="oneCell">
    <xdr:from>
      <xdr:col>33</xdr:col>
      <xdr:colOff>1</xdr:colOff>
      <xdr:row>12</xdr:row>
      <xdr:rowOff>0</xdr:rowOff>
    </xdr:from>
    <xdr:to>
      <xdr:col>33</xdr:col>
      <xdr:colOff>457201</xdr:colOff>
      <xdr:row>12</xdr:row>
      <xdr:rowOff>170648</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3"/>
        <a:stretch>
          <a:fillRect/>
        </a:stretch>
      </xdr:blipFill>
      <xdr:spPr>
        <a:xfrm>
          <a:off x="39890701" y="4000500"/>
          <a:ext cx="457200" cy="174458"/>
        </a:xfrm>
        <a:prstGeom prst="rect">
          <a:avLst/>
        </a:prstGeom>
      </xdr:spPr>
    </xdr:pic>
    <xdr:clientData/>
  </xdr:twoCellAnchor>
  <xdr:twoCellAnchor editAs="oneCell">
    <xdr:from>
      <xdr:col>33</xdr:col>
      <xdr:colOff>32525</xdr:colOff>
      <xdr:row>11</xdr:row>
      <xdr:rowOff>23231</xdr:rowOff>
    </xdr:from>
    <xdr:to>
      <xdr:col>33</xdr:col>
      <xdr:colOff>663079</xdr:colOff>
      <xdr:row>11</xdr:row>
      <xdr:rowOff>168435</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4"/>
        <a:stretch>
          <a:fillRect/>
        </a:stretch>
      </xdr:blipFill>
      <xdr:spPr>
        <a:xfrm>
          <a:off x="39923225" y="3261731"/>
          <a:ext cx="619124" cy="137584"/>
        </a:xfrm>
        <a:prstGeom prst="rect">
          <a:avLst/>
        </a:prstGeom>
      </xdr:spPr>
    </xdr:pic>
    <xdr:clientData/>
  </xdr:twoCellAnchor>
  <xdr:twoCellAnchor editAs="oneCell">
    <xdr:from>
      <xdr:col>33</xdr:col>
      <xdr:colOff>1</xdr:colOff>
      <xdr:row>10</xdr:row>
      <xdr:rowOff>1</xdr:rowOff>
    </xdr:from>
    <xdr:to>
      <xdr:col>33</xdr:col>
      <xdr:colOff>533401</xdr:colOff>
      <xdr:row>10</xdr:row>
      <xdr:rowOff>171451</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a:stretch>
          <a:fillRect/>
        </a:stretch>
      </xdr:blipFill>
      <xdr:spPr>
        <a:xfrm>
          <a:off x="39890701" y="2476501"/>
          <a:ext cx="533400" cy="167640"/>
        </a:xfrm>
        <a:prstGeom prst="rect">
          <a:avLst/>
        </a:prstGeom>
      </xdr:spPr>
    </xdr:pic>
    <xdr:clientData/>
  </xdr:twoCellAnchor>
  <xdr:twoCellAnchor editAs="oneCell">
    <xdr:from>
      <xdr:col>33</xdr:col>
      <xdr:colOff>23232</xdr:colOff>
      <xdr:row>18</xdr:row>
      <xdr:rowOff>27878</xdr:rowOff>
    </xdr:from>
    <xdr:to>
      <xdr:col>33</xdr:col>
      <xdr:colOff>400422</xdr:colOff>
      <xdr:row>18</xdr:row>
      <xdr:rowOff>208853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6"/>
        <a:stretch>
          <a:fillRect/>
        </a:stretch>
      </xdr:blipFill>
      <xdr:spPr>
        <a:xfrm>
          <a:off x="39913932" y="8600378"/>
          <a:ext cx="381000" cy="190500"/>
        </a:xfrm>
        <a:prstGeom prst="rect">
          <a:avLst/>
        </a:prstGeom>
      </xdr:spPr>
    </xdr:pic>
    <xdr:clientData/>
  </xdr:twoCellAnchor>
  <xdr:twoCellAnchor editAs="oneCell">
    <xdr:from>
      <xdr:col>33</xdr:col>
      <xdr:colOff>41817</xdr:colOff>
      <xdr:row>21</xdr:row>
      <xdr:rowOff>13940</xdr:rowOff>
    </xdr:from>
    <xdr:to>
      <xdr:col>33</xdr:col>
      <xdr:colOff>474252</xdr:colOff>
      <xdr:row>21</xdr:row>
      <xdr:rowOff>209892</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7"/>
        <a:stretch>
          <a:fillRect/>
        </a:stretch>
      </xdr:blipFill>
      <xdr:spPr>
        <a:xfrm>
          <a:off x="39932517" y="10872440"/>
          <a:ext cx="428625" cy="192142"/>
        </a:xfrm>
        <a:prstGeom prst="rect">
          <a:avLst/>
        </a:prstGeom>
      </xdr:spPr>
    </xdr:pic>
    <xdr:clientData/>
  </xdr:twoCellAnchor>
  <xdr:twoCellAnchor editAs="oneCell">
    <xdr:from>
      <xdr:col>33</xdr:col>
      <xdr:colOff>31988</xdr:colOff>
      <xdr:row>20</xdr:row>
      <xdr:rowOff>13940</xdr:rowOff>
    </xdr:from>
    <xdr:to>
      <xdr:col>33</xdr:col>
      <xdr:colOff>478149</xdr:colOff>
      <xdr:row>20</xdr:row>
      <xdr:rowOff>194060</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8"/>
        <a:stretch>
          <a:fillRect/>
        </a:stretch>
      </xdr:blipFill>
      <xdr:spPr>
        <a:xfrm>
          <a:off x="39922688" y="10110440"/>
          <a:ext cx="432826" cy="180120"/>
        </a:xfrm>
        <a:prstGeom prst="rect">
          <a:avLst/>
        </a:prstGeom>
      </xdr:spPr>
    </xdr:pic>
    <xdr:clientData/>
  </xdr:twoCellAnchor>
  <xdr:twoCellAnchor editAs="oneCell">
    <xdr:from>
      <xdr:col>33</xdr:col>
      <xdr:colOff>0</xdr:colOff>
      <xdr:row>35</xdr:row>
      <xdr:rowOff>0</xdr:rowOff>
    </xdr:from>
    <xdr:to>
      <xdr:col>33</xdr:col>
      <xdr:colOff>626744</xdr:colOff>
      <xdr:row>35</xdr:row>
      <xdr:rowOff>168309</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9"/>
        <a:stretch>
          <a:fillRect/>
        </a:stretch>
      </xdr:blipFill>
      <xdr:spPr>
        <a:xfrm>
          <a:off x="39890700" y="20764500"/>
          <a:ext cx="619124" cy="160689"/>
        </a:xfrm>
        <a:prstGeom prst="rect">
          <a:avLst/>
        </a:prstGeom>
      </xdr:spPr>
    </xdr:pic>
    <xdr:clientData/>
  </xdr:twoCellAnchor>
  <xdr:twoCellAnchor editAs="oneCell">
    <xdr:from>
      <xdr:col>33</xdr:col>
      <xdr:colOff>0</xdr:colOff>
      <xdr:row>16</xdr:row>
      <xdr:rowOff>1</xdr:rowOff>
    </xdr:from>
    <xdr:to>
      <xdr:col>33</xdr:col>
      <xdr:colOff>631114</xdr:colOff>
      <xdr:row>16</xdr:row>
      <xdr:rowOff>190501</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0"/>
        <a:stretch>
          <a:fillRect/>
        </a:stretch>
      </xdr:blipFill>
      <xdr:spPr>
        <a:xfrm>
          <a:off x="39890700" y="7048501"/>
          <a:ext cx="638734" cy="190500"/>
        </a:xfrm>
        <a:prstGeom prst="rect">
          <a:avLst/>
        </a:prstGeom>
      </xdr:spPr>
    </xdr:pic>
    <xdr:clientData/>
  </xdr:twoCellAnchor>
  <xdr:twoCellAnchor editAs="oneCell">
    <xdr:from>
      <xdr:col>33</xdr:col>
      <xdr:colOff>0</xdr:colOff>
      <xdr:row>23</xdr:row>
      <xdr:rowOff>0</xdr:rowOff>
    </xdr:from>
    <xdr:to>
      <xdr:col>33</xdr:col>
      <xdr:colOff>781049</xdr:colOff>
      <xdr:row>23</xdr:row>
      <xdr:rowOff>248003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1"/>
        <a:stretch>
          <a:fillRect/>
        </a:stretch>
      </xdr:blipFill>
      <xdr:spPr>
        <a:xfrm>
          <a:off x="39890700" y="12382500"/>
          <a:ext cx="790574" cy="251813"/>
        </a:xfrm>
        <a:prstGeom prst="rect">
          <a:avLst/>
        </a:prstGeom>
      </xdr:spPr>
    </xdr:pic>
    <xdr:clientData/>
  </xdr:twoCellAnchor>
  <xdr:twoCellAnchor editAs="oneCell">
    <xdr:from>
      <xdr:col>33</xdr:col>
      <xdr:colOff>0</xdr:colOff>
      <xdr:row>25</xdr:row>
      <xdr:rowOff>1</xdr:rowOff>
    </xdr:from>
    <xdr:to>
      <xdr:col>33</xdr:col>
      <xdr:colOff>495300</xdr:colOff>
      <xdr:row>25</xdr:row>
      <xdr:rowOff>168881</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12"/>
        <a:stretch>
          <a:fillRect/>
        </a:stretch>
      </xdr:blipFill>
      <xdr:spPr>
        <a:xfrm>
          <a:off x="39890700" y="13144501"/>
          <a:ext cx="495300" cy="161260"/>
        </a:xfrm>
        <a:prstGeom prst="rect">
          <a:avLst/>
        </a:prstGeom>
      </xdr:spPr>
    </xdr:pic>
    <xdr:clientData/>
  </xdr:twoCellAnchor>
  <xdr:twoCellAnchor editAs="oneCell">
    <xdr:from>
      <xdr:col>33</xdr:col>
      <xdr:colOff>0</xdr:colOff>
      <xdr:row>27</xdr:row>
      <xdr:rowOff>0</xdr:rowOff>
    </xdr:from>
    <xdr:to>
      <xdr:col>33</xdr:col>
      <xdr:colOff>438150</xdr:colOff>
      <xdr:row>27</xdr:row>
      <xdr:rowOff>173915</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13"/>
        <a:stretch>
          <a:fillRect/>
        </a:stretch>
      </xdr:blipFill>
      <xdr:spPr>
        <a:xfrm>
          <a:off x="39890700" y="14668500"/>
          <a:ext cx="428625" cy="181535"/>
        </a:xfrm>
        <a:prstGeom prst="rect">
          <a:avLst/>
        </a:prstGeom>
      </xdr:spPr>
    </xdr:pic>
    <xdr:clientData/>
  </xdr:twoCellAnchor>
  <xdr:twoCellAnchor editAs="oneCell">
    <xdr:from>
      <xdr:col>33</xdr:col>
      <xdr:colOff>1</xdr:colOff>
      <xdr:row>28</xdr:row>
      <xdr:rowOff>0</xdr:rowOff>
    </xdr:from>
    <xdr:to>
      <xdr:col>33</xdr:col>
      <xdr:colOff>396241</xdr:colOff>
      <xdr:row>28</xdr:row>
      <xdr:rowOff>228029</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14"/>
        <a:stretch>
          <a:fillRect/>
        </a:stretch>
      </xdr:blipFill>
      <xdr:spPr>
        <a:xfrm>
          <a:off x="39890701" y="15430500"/>
          <a:ext cx="400050" cy="228029"/>
        </a:xfrm>
        <a:prstGeom prst="rect">
          <a:avLst/>
        </a:prstGeom>
      </xdr:spPr>
    </xdr:pic>
    <xdr:clientData/>
  </xdr:twoCellAnchor>
  <xdr:twoCellAnchor editAs="oneCell">
    <xdr:from>
      <xdr:col>33</xdr:col>
      <xdr:colOff>0</xdr:colOff>
      <xdr:row>30</xdr:row>
      <xdr:rowOff>0</xdr:rowOff>
    </xdr:from>
    <xdr:to>
      <xdr:col>33</xdr:col>
      <xdr:colOff>533400</xdr:colOff>
      <xdr:row>30</xdr:row>
      <xdr:rowOff>174576</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15"/>
        <a:stretch>
          <a:fillRect/>
        </a:stretch>
      </xdr:blipFill>
      <xdr:spPr>
        <a:xfrm>
          <a:off x="39890700" y="16954500"/>
          <a:ext cx="533400" cy="186006"/>
        </a:xfrm>
        <a:prstGeom prst="rect">
          <a:avLst/>
        </a:prstGeom>
      </xdr:spPr>
    </xdr:pic>
    <xdr:clientData/>
  </xdr:twoCellAnchor>
  <xdr:twoCellAnchor editAs="oneCell">
    <xdr:from>
      <xdr:col>33</xdr:col>
      <xdr:colOff>9525</xdr:colOff>
      <xdr:row>29</xdr:row>
      <xdr:rowOff>0</xdr:rowOff>
    </xdr:from>
    <xdr:to>
      <xdr:col>33</xdr:col>
      <xdr:colOff>611511</xdr:colOff>
      <xdr:row>29</xdr:row>
      <xdr:rowOff>173355</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16"/>
        <a:stretch>
          <a:fillRect/>
        </a:stretch>
      </xdr:blipFill>
      <xdr:spPr>
        <a:xfrm>
          <a:off x="39900225" y="16192500"/>
          <a:ext cx="601986" cy="180975"/>
        </a:xfrm>
        <a:prstGeom prst="rect">
          <a:avLst/>
        </a:prstGeom>
      </xdr:spPr>
    </xdr:pic>
    <xdr:clientData/>
  </xdr:twoCellAnchor>
  <xdr:twoCellAnchor editAs="oneCell">
    <xdr:from>
      <xdr:col>33</xdr:col>
      <xdr:colOff>1</xdr:colOff>
      <xdr:row>32</xdr:row>
      <xdr:rowOff>1</xdr:rowOff>
    </xdr:from>
    <xdr:to>
      <xdr:col>33</xdr:col>
      <xdr:colOff>624840</xdr:colOff>
      <xdr:row>32</xdr:row>
      <xdr:rowOff>129541</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17"/>
        <a:stretch>
          <a:fillRect/>
        </a:stretch>
      </xdr:blipFill>
      <xdr:spPr>
        <a:xfrm>
          <a:off x="39890701" y="18478501"/>
          <a:ext cx="628649" cy="133350"/>
        </a:xfrm>
        <a:prstGeom prst="rect">
          <a:avLst/>
        </a:prstGeom>
      </xdr:spPr>
    </xdr:pic>
    <xdr:clientData/>
  </xdr:twoCellAnchor>
  <xdr:twoCellAnchor editAs="oneCell">
    <xdr:from>
      <xdr:col>33</xdr:col>
      <xdr:colOff>0</xdr:colOff>
      <xdr:row>33</xdr:row>
      <xdr:rowOff>1</xdr:rowOff>
    </xdr:from>
    <xdr:to>
      <xdr:col>33</xdr:col>
      <xdr:colOff>628649</xdr:colOff>
      <xdr:row>33</xdr:row>
      <xdr:rowOff>174717</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18"/>
        <a:stretch>
          <a:fillRect/>
        </a:stretch>
      </xdr:blipFill>
      <xdr:spPr>
        <a:xfrm>
          <a:off x="39890700" y="19240501"/>
          <a:ext cx="638174" cy="182336"/>
        </a:xfrm>
        <a:prstGeom prst="rect">
          <a:avLst/>
        </a:prstGeom>
      </xdr:spPr>
    </xdr:pic>
    <xdr:clientData/>
  </xdr:twoCellAnchor>
  <xdr:twoCellAnchor editAs="oneCell">
    <xdr:from>
      <xdr:col>33</xdr:col>
      <xdr:colOff>1</xdr:colOff>
      <xdr:row>31</xdr:row>
      <xdr:rowOff>0</xdr:rowOff>
    </xdr:from>
    <xdr:to>
      <xdr:col>33</xdr:col>
      <xdr:colOff>629517</xdr:colOff>
      <xdr:row>31</xdr:row>
      <xdr:rowOff>152400</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19"/>
        <a:stretch>
          <a:fillRect/>
        </a:stretch>
      </xdr:blipFill>
      <xdr:spPr>
        <a:xfrm>
          <a:off x="39890701" y="17716500"/>
          <a:ext cx="619991" cy="152400"/>
        </a:xfrm>
        <a:prstGeom prst="rect">
          <a:avLst/>
        </a:prstGeom>
      </xdr:spPr>
    </xdr:pic>
    <xdr:clientData/>
  </xdr:twoCellAnchor>
  <xdr:twoCellAnchor editAs="oneCell">
    <xdr:from>
      <xdr:col>33</xdr:col>
      <xdr:colOff>0</xdr:colOff>
      <xdr:row>37</xdr:row>
      <xdr:rowOff>0</xdr:rowOff>
    </xdr:from>
    <xdr:to>
      <xdr:col>33</xdr:col>
      <xdr:colOff>514814</xdr:colOff>
      <xdr:row>37</xdr:row>
      <xdr:rowOff>135255</xdr:rowOff>
    </xdr:to>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20"/>
        <a:stretch>
          <a:fillRect/>
        </a:stretch>
      </xdr:blipFill>
      <xdr:spPr>
        <a:xfrm>
          <a:off x="39890700" y="22288500"/>
          <a:ext cx="505289" cy="142875"/>
        </a:xfrm>
        <a:prstGeom prst="rect">
          <a:avLst/>
        </a:prstGeom>
      </xdr:spPr>
    </xdr:pic>
    <xdr:clientData/>
  </xdr:twoCellAnchor>
  <xdr:twoCellAnchor editAs="oneCell">
    <xdr:from>
      <xdr:col>33</xdr:col>
      <xdr:colOff>1</xdr:colOff>
      <xdr:row>36</xdr:row>
      <xdr:rowOff>0</xdr:rowOff>
    </xdr:from>
    <xdr:to>
      <xdr:col>33</xdr:col>
      <xdr:colOff>815340</xdr:colOff>
      <xdr:row>36</xdr:row>
      <xdr:rowOff>169481</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21"/>
        <a:stretch>
          <a:fillRect/>
        </a:stretch>
      </xdr:blipFill>
      <xdr:spPr>
        <a:xfrm>
          <a:off x="39890701" y="21526500"/>
          <a:ext cx="819149" cy="165671"/>
        </a:xfrm>
        <a:prstGeom prst="rect">
          <a:avLst/>
        </a:prstGeom>
      </xdr:spPr>
    </xdr:pic>
    <xdr:clientData/>
  </xdr:twoCellAnchor>
  <xdr:twoCellAnchor editAs="oneCell">
    <xdr:from>
      <xdr:col>33</xdr:col>
      <xdr:colOff>0</xdr:colOff>
      <xdr:row>39</xdr:row>
      <xdr:rowOff>0</xdr:rowOff>
    </xdr:from>
    <xdr:to>
      <xdr:col>33</xdr:col>
      <xdr:colOff>571500</xdr:colOff>
      <xdr:row>39</xdr:row>
      <xdr:rowOff>151805</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22"/>
        <a:stretch>
          <a:fillRect/>
        </a:stretch>
      </xdr:blipFill>
      <xdr:spPr>
        <a:xfrm>
          <a:off x="39890700" y="23812500"/>
          <a:ext cx="571500" cy="151805"/>
        </a:xfrm>
        <a:prstGeom prst="rect">
          <a:avLst/>
        </a:prstGeom>
      </xdr:spPr>
    </xdr:pic>
    <xdr:clientData/>
  </xdr:twoCellAnchor>
  <xdr:twoCellAnchor editAs="oneCell">
    <xdr:from>
      <xdr:col>33</xdr:col>
      <xdr:colOff>0</xdr:colOff>
      <xdr:row>38</xdr:row>
      <xdr:rowOff>0</xdr:rowOff>
    </xdr:from>
    <xdr:to>
      <xdr:col>33</xdr:col>
      <xdr:colOff>626744</xdr:colOff>
      <xdr:row>38</xdr:row>
      <xdr:rowOff>150091</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23"/>
        <a:stretch>
          <a:fillRect/>
        </a:stretch>
      </xdr:blipFill>
      <xdr:spPr>
        <a:xfrm>
          <a:off x="39890700" y="23050500"/>
          <a:ext cx="619124" cy="150091"/>
        </a:xfrm>
        <a:prstGeom prst="rect">
          <a:avLst/>
        </a:prstGeom>
      </xdr:spPr>
    </xdr:pic>
    <xdr:clientData/>
  </xdr:twoCellAnchor>
  <xdr:twoCellAnchor editAs="oneCell">
    <xdr:from>
      <xdr:col>33</xdr:col>
      <xdr:colOff>0</xdr:colOff>
      <xdr:row>34</xdr:row>
      <xdr:rowOff>0</xdr:rowOff>
    </xdr:from>
    <xdr:to>
      <xdr:col>33</xdr:col>
      <xdr:colOff>479283</xdr:colOff>
      <xdr:row>34</xdr:row>
      <xdr:rowOff>129540</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24"/>
        <a:stretch>
          <a:fillRect/>
        </a:stretch>
      </xdr:blipFill>
      <xdr:spPr>
        <a:xfrm>
          <a:off x="39890700" y="20002500"/>
          <a:ext cx="486903" cy="133350"/>
        </a:xfrm>
        <a:prstGeom prst="rect">
          <a:avLst/>
        </a:prstGeom>
      </xdr:spPr>
    </xdr:pic>
    <xdr:clientData/>
  </xdr:twoCellAnchor>
  <xdr:twoCellAnchor editAs="oneCell">
    <xdr:from>
      <xdr:col>33</xdr:col>
      <xdr:colOff>19050</xdr:colOff>
      <xdr:row>24</xdr:row>
      <xdr:rowOff>190501</xdr:rowOff>
    </xdr:from>
    <xdr:to>
      <xdr:col>33</xdr:col>
      <xdr:colOff>896751</xdr:colOff>
      <xdr:row>24</xdr:row>
      <xdr:rowOff>434341</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25"/>
        <a:stretch>
          <a:fillRect/>
        </a:stretch>
      </xdr:blipFill>
      <xdr:spPr>
        <a:xfrm>
          <a:off x="39909750" y="11620501"/>
          <a:ext cx="873891" cy="2476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20</xdr:row>
          <xdr:rowOff>47625</xdr:rowOff>
        </xdr:from>
        <xdr:to>
          <xdr:col>7</xdr:col>
          <xdr:colOff>0</xdr:colOff>
          <xdr:row>22</xdr:row>
          <xdr:rowOff>28575</xdr:rowOff>
        </xdr:to>
        <xdr:sp macro="" textlink="">
          <xdr:nvSpPr>
            <xdr:cNvPr id="97281" name="Check Box 1" descr="Exclude From Results Summary" hidden="1">
              <a:extLst>
                <a:ext uri="{63B3BB69-23CF-44E3-9099-C40C66FF867C}">
                  <a14:compatExt spid="_x0000_s97281"/>
                </a:ext>
                <a:ext uri="{FF2B5EF4-FFF2-40B4-BE49-F238E27FC236}">
                  <a16:creationId xmlns:a16="http://schemas.microsoft.com/office/drawing/2014/main" id="{00000000-0008-0000-1900-0000017C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371475</xdr:colOff>
          <xdr:row>24</xdr:row>
          <xdr:rowOff>66675</xdr:rowOff>
        </xdr:from>
        <xdr:to>
          <xdr:col>6</xdr:col>
          <xdr:colOff>1266825</xdr:colOff>
          <xdr:row>26</xdr:row>
          <xdr:rowOff>28575</xdr:rowOff>
        </xdr:to>
        <xdr:sp macro="" textlink="">
          <xdr:nvSpPr>
            <xdr:cNvPr id="98305" name="Check Box 1" descr="Exclude From Results Summary" hidden="1">
              <a:extLst>
                <a:ext uri="{63B3BB69-23CF-44E3-9099-C40C66FF867C}">
                  <a14:compatExt spid="_x0000_s98305"/>
                </a:ext>
                <a:ext uri="{FF2B5EF4-FFF2-40B4-BE49-F238E27FC236}">
                  <a16:creationId xmlns:a16="http://schemas.microsoft.com/office/drawing/2014/main" id="{00000000-0008-0000-1A00-00000180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371475</xdr:colOff>
          <xdr:row>53</xdr:row>
          <xdr:rowOff>66675</xdr:rowOff>
        </xdr:from>
        <xdr:to>
          <xdr:col>8</xdr:col>
          <xdr:colOff>0</xdr:colOff>
          <xdr:row>55</xdr:row>
          <xdr:rowOff>28575</xdr:rowOff>
        </xdr:to>
        <xdr:sp macro="" textlink="">
          <xdr:nvSpPr>
            <xdr:cNvPr id="138248" name="Check Box 8" descr="Exclude From Results Summary" hidden="1">
              <a:extLst>
                <a:ext uri="{63B3BB69-23CF-44E3-9099-C40C66FF867C}">
                  <a14:compatExt spid="_x0000_s138248"/>
                </a:ext>
                <a:ext uri="{FF2B5EF4-FFF2-40B4-BE49-F238E27FC236}">
                  <a16:creationId xmlns:a16="http://schemas.microsoft.com/office/drawing/2014/main" id="{00000000-0008-0000-1B00-0000081C02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53</xdr:row>
          <xdr:rowOff>66675</xdr:rowOff>
        </xdr:from>
        <xdr:to>
          <xdr:col>8</xdr:col>
          <xdr:colOff>9525</xdr:colOff>
          <xdr:row>55</xdr:row>
          <xdr:rowOff>9525</xdr:rowOff>
        </xdr:to>
        <xdr:sp macro="" textlink="">
          <xdr:nvSpPr>
            <xdr:cNvPr id="100355" name="Check Box 3" descr="Exclude From Results Summary" hidden="1">
              <a:extLst>
                <a:ext uri="{63B3BB69-23CF-44E3-9099-C40C66FF867C}">
                  <a14:compatExt spid="_x0000_s100355"/>
                </a:ext>
                <a:ext uri="{FF2B5EF4-FFF2-40B4-BE49-F238E27FC236}">
                  <a16:creationId xmlns:a16="http://schemas.microsoft.com/office/drawing/2014/main" id="{00000000-0008-0000-1C00-00000388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32</xdr:row>
          <xdr:rowOff>333375</xdr:rowOff>
        </xdr:from>
        <xdr:to>
          <xdr:col>8</xdr:col>
          <xdr:colOff>28575</xdr:colOff>
          <xdr:row>34</xdr:row>
          <xdr:rowOff>28575</xdr:rowOff>
        </xdr:to>
        <xdr:sp macro="" textlink="">
          <xdr:nvSpPr>
            <xdr:cNvPr id="82949" name="Check Box 5" descr="Exclude From Results Summary" hidden="1">
              <a:extLst>
                <a:ext uri="{63B3BB69-23CF-44E3-9099-C40C66FF867C}">
                  <a14:compatExt spid="_x0000_s82949"/>
                </a:ext>
                <a:ext uri="{FF2B5EF4-FFF2-40B4-BE49-F238E27FC236}">
                  <a16:creationId xmlns:a16="http://schemas.microsoft.com/office/drawing/2014/main" id="{00000000-0008-0000-1D00-00000544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342900</xdr:colOff>
          <xdr:row>22</xdr:row>
          <xdr:rowOff>9525</xdr:rowOff>
        </xdr:from>
        <xdr:to>
          <xdr:col>8</xdr:col>
          <xdr:colOff>9525</xdr:colOff>
          <xdr:row>23</xdr:row>
          <xdr:rowOff>47625</xdr:rowOff>
        </xdr:to>
        <xdr:sp macro="" textlink="">
          <xdr:nvSpPr>
            <xdr:cNvPr id="101377" name="Check Box 1" descr="Exclude From Results Summary" hidden="1">
              <a:extLst>
                <a:ext uri="{63B3BB69-23CF-44E3-9099-C40C66FF867C}">
                  <a14:compatExt spid="_x0000_s101377"/>
                </a:ext>
                <a:ext uri="{FF2B5EF4-FFF2-40B4-BE49-F238E27FC236}">
                  <a16:creationId xmlns:a16="http://schemas.microsoft.com/office/drawing/2014/main" id="{00000000-0008-0000-1E00-0000018C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xdr:colOff>
          <xdr:row>20</xdr:row>
          <xdr:rowOff>76200</xdr:rowOff>
        </xdr:from>
        <xdr:to>
          <xdr:col>7</xdr:col>
          <xdr:colOff>0</xdr:colOff>
          <xdr:row>22</xdr:row>
          <xdr:rowOff>9525</xdr:rowOff>
        </xdr:to>
        <xdr:sp macro="" textlink="">
          <xdr:nvSpPr>
            <xdr:cNvPr id="102401" name="Check Box 1" descr="Exclude From Results Summary" hidden="1">
              <a:extLst>
                <a:ext uri="{63B3BB69-23CF-44E3-9099-C40C66FF867C}">
                  <a14:compatExt spid="_x0000_s102401"/>
                </a:ext>
                <a:ext uri="{FF2B5EF4-FFF2-40B4-BE49-F238E27FC236}">
                  <a16:creationId xmlns:a16="http://schemas.microsoft.com/office/drawing/2014/main" id="{00000000-0008-0000-1F00-00000190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Results</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342900</xdr:colOff>
          <xdr:row>14</xdr:row>
          <xdr:rowOff>66675</xdr:rowOff>
        </xdr:from>
        <xdr:to>
          <xdr:col>8</xdr:col>
          <xdr:colOff>0</xdr:colOff>
          <xdr:row>16</xdr:row>
          <xdr:rowOff>28575</xdr:rowOff>
        </xdr:to>
        <xdr:sp macro="" textlink="">
          <xdr:nvSpPr>
            <xdr:cNvPr id="240641" name="Check Box 1" descr="Exclude From Results Summary" hidden="1">
              <a:extLst>
                <a:ext uri="{63B3BB69-23CF-44E3-9099-C40C66FF867C}">
                  <a14:compatExt spid="_x0000_s240641"/>
                </a:ext>
                <a:ext uri="{FF2B5EF4-FFF2-40B4-BE49-F238E27FC236}">
                  <a16:creationId xmlns:a16="http://schemas.microsoft.com/office/drawing/2014/main" id="{00000000-0008-0000-2000-000001AC03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28</xdr:row>
          <xdr:rowOff>38100</xdr:rowOff>
        </xdr:from>
        <xdr:to>
          <xdr:col>7</xdr:col>
          <xdr:colOff>28575</xdr:colOff>
          <xdr:row>30</xdr:row>
          <xdr:rowOff>9525</xdr:rowOff>
        </xdr:to>
        <xdr:sp macro="" textlink="">
          <xdr:nvSpPr>
            <xdr:cNvPr id="77826" name="Check Box 2" descr="Exclude From Results Summary" hidden="1">
              <a:extLst>
                <a:ext uri="{63B3BB69-23CF-44E3-9099-C40C66FF867C}">
                  <a14:compatExt spid="_x0000_s77826"/>
                </a:ext>
                <a:ext uri="{FF2B5EF4-FFF2-40B4-BE49-F238E27FC236}">
                  <a16:creationId xmlns:a16="http://schemas.microsoft.com/office/drawing/2014/main" id="{00000000-0008-0000-2100-00000230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xdr:colOff>
          <xdr:row>36</xdr:row>
          <xdr:rowOff>0</xdr:rowOff>
        </xdr:from>
        <xdr:to>
          <xdr:col>6</xdr:col>
          <xdr:colOff>1247775</xdr:colOff>
          <xdr:row>37</xdr:row>
          <xdr:rowOff>28575</xdr:rowOff>
        </xdr:to>
        <xdr:sp macro="" textlink="">
          <xdr:nvSpPr>
            <xdr:cNvPr id="78851" name="Check Box 3" descr="Exclude From Results Summary" hidden="1">
              <a:extLst>
                <a:ext uri="{63B3BB69-23CF-44E3-9099-C40C66FF867C}">
                  <a14:compatExt spid="_x0000_s78851"/>
                </a:ext>
                <a:ext uri="{FF2B5EF4-FFF2-40B4-BE49-F238E27FC236}">
                  <a16:creationId xmlns:a16="http://schemas.microsoft.com/office/drawing/2014/main" id="{00000000-0008-0000-2200-00000334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28</xdr:col>
      <xdr:colOff>0</xdr:colOff>
      <xdr:row>3</xdr:row>
      <xdr:rowOff>2</xdr:rowOff>
    </xdr:from>
    <xdr:to>
      <xdr:col>33</xdr:col>
      <xdr:colOff>352425</xdr:colOff>
      <xdr:row>3</xdr:row>
      <xdr:rowOff>2232752</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26403300" y="571502"/>
          <a:ext cx="3400425" cy="2232750"/>
        </a:xfrm>
        <a:prstGeom prst="rect">
          <a:avLst/>
        </a:prstGeom>
      </xdr:spPr>
    </xdr:pic>
    <xdr:clientData/>
  </xdr:twoCellAnchor>
  <xdr:twoCellAnchor editAs="oneCell">
    <xdr:from>
      <xdr:col>37</xdr:col>
      <xdr:colOff>1</xdr:colOff>
      <xdr:row>3</xdr:row>
      <xdr:rowOff>0</xdr:rowOff>
    </xdr:from>
    <xdr:to>
      <xdr:col>42</xdr:col>
      <xdr:colOff>578821</xdr:colOff>
      <xdr:row>3</xdr:row>
      <xdr:rowOff>2247900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32823151" y="571500"/>
          <a:ext cx="3626820" cy="2247900"/>
        </a:xfrm>
        <a:prstGeom prst="rect">
          <a:avLst/>
        </a:prstGeom>
      </xdr:spPr>
    </xdr:pic>
    <xdr:clientData/>
  </xdr:twoCellAnchor>
  <xdr:twoCellAnchor editAs="oneCell">
    <xdr:from>
      <xdr:col>44</xdr:col>
      <xdr:colOff>0</xdr:colOff>
      <xdr:row>3</xdr:row>
      <xdr:rowOff>0</xdr:rowOff>
    </xdr:from>
    <xdr:to>
      <xdr:col>47</xdr:col>
      <xdr:colOff>1026</xdr:colOff>
      <xdr:row>3</xdr:row>
      <xdr:rowOff>1638300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a:stretch>
          <a:fillRect/>
        </a:stretch>
      </xdr:blipFill>
      <xdr:spPr>
        <a:xfrm>
          <a:off x="39528750" y="571500"/>
          <a:ext cx="3752410" cy="1638300"/>
        </a:xfrm>
        <a:prstGeom prst="rect">
          <a:avLst/>
        </a:prstGeom>
      </xdr:spPr>
    </xdr:pic>
    <xdr:clientData/>
  </xdr:twoCellAnchor>
  <xdr:twoCellAnchor editAs="oneCell">
    <xdr:from>
      <xdr:col>1</xdr:col>
      <xdr:colOff>608670</xdr:colOff>
      <xdr:row>2</xdr:row>
      <xdr:rowOff>190499</xdr:rowOff>
    </xdr:from>
    <xdr:to>
      <xdr:col>4</xdr:col>
      <xdr:colOff>997502</xdr:colOff>
      <xdr:row>3</xdr:row>
      <xdr:rowOff>1621572</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a:stretch>
          <a:fillRect/>
        </a:stretch>
      </xdr:blipFill>
      <xdr:spPr>
        <a:xfrm>
          <a:off x="1760963" y="571499"/>
          <a:ext cx="4900429" cy="1621573"/>
        </a:xfrm>
        <a:prstGeom prst="rect">
          <a:avLst/>
        </a:prstGeom>
      </xdr:spPr>
    </xdr:pic>
    <xdr:clientData/>
  </xdr:twoCellAnchor>
  <xdr:twoCellAnchor editAs="oneCell">
    <xdr:from>
      <xdr:col>6</xdr:col>
      <xdr:colOff>0</xdr:colOff>
      <xdr:row>3</xdr:row>
      <xdr:rowOff>0</xdr:rowOff>
    </xdr:from>
    <xdr:to>
      <xdr:col>9</xdr:col>
      <xdr:colOff>607602</xdr:colOff>
      <xdr:row>3</xdr:row>
      <xdr:rowOff>1847850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5"/>
        <a:stretch>
          <a:fillRect/>
        </a:stretch>
      </xdr:blipFill>
      <xdr:spPr>
        <a:xfrm>
          <a:off x="5086350" y="571500"/>
          <a:ext cx="4503327" cy="1847850"/>
        </a:xfrm>
        <a:prstGeom prst="rect">
          <a:avLst/>
        </a:prstGeom>
      </xdr:spPr>
    </xdr:pic>
    <xdr:clientData/>
  </xdr:twoCellAnchor>
  <xdr:twoCellAnchor editAs="oneCell">
    <xdr:from>
      <xdr:col>10</xdr:col>
      <xdr:colOff>609599</xdr:colOff>
      <xdr:row>3</xdr:row>
      <xdr:rowOff>0</xdr:rowOff>
    </xdr:from>
    <xdr:to>
      <xdr:col>13</xdr:col>
      <xdr:colOff>999191</xdr:colOff>
      <xdr:row>3</xdr:row>
      <xdr:rowOff>1371600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6"/>
        <a:stretch>
          <a:fillRect/>
        </a:stretch>
      </xdr:blipFill>
      <xdr:spPr>
        <a:xfrm>
          <a:off x="10201274" y="571500"/>
          <a:ext cx="3885267" cy="1371600"/>
        </a:xfrm>
        <a:prstGeom prst="rect">
          <a:avLst/>
        </a:prstGeom>
      </xdr:spPr>
    </xdr:pic>
    <xdr:clientData/>
  </xdr:twoCellAnchor>
  <xdr:twoCellAnchor editAs="oneCell">
    <xdr:from>
      <xdr:col>15</xdr:col>
      <xdr:colOff>0</xdr:colOff>
      <xdr:row>2</xdr:row>
      <xdr:rowOff>190499</xdr:rowOff>
    </xdr:from>
    <xdr:to>
      <xdr:col>17</xdr:col>
      <xdr:colOff>582215</xdr:colOff>
      <xdr:row>3</xdr:row>
      <xdr:rowOff>942974</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7"/>
        <a:stretch>
          <a:fillRect/>
        </a:stretch>
      </xdr:blipFill>
      <xdr:spPr>
        <a:xfrm>
          <a:off x="13477875" y="571499"/>
          <a:ext cx="3468290" cy="942975"/>
        </a:xfrm>
        <a:prstGeom prst="rect">
          <a:avLst/>
        </a:prstGeom>
      </xdr:spPr>
    </xdr:pic>
    <xdr:clientData/>
  </xdr:twoCellAnchor>
  <xdr:twoCellAnchor editAs="oneCell">
    <xdr:from>
      <xdr:col>19</xdr:col>
      <xdr:colOff>0</xdr:colOff>
      <xdr:row>3</xdr:row>
      <xdr:rowOff>1</xdr:rowOff>
    </xdr:from>
    <xdr:to>
      <xdr:col>22</xdr:col>
      <xdr:colOff>571500</xdr:colOff>
      <xdr:row>3</xdr:row>
      <xdr:rowOff>1699541</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8"/>
        <a:stretch>
          <a:fillRect/>
        </a:stretch>
      </xdr:blipFill>
      <xdr:spPr>
        <a:xfrm>
          <a:off x="17583150" y="571501"/>
          <a:ext cx="4067175" cy="1699540"/>
        </a:xfrm>
        <a:prstGeom prst="rect">
          <a:avLst/>
        </a:prstGeom>
      </xdr:spPr>
    </xdr:pic>
    <xdr:clientData/>
  </xdr:twoCellAnchor>
  <xdr:twoCellAnchor editAs="oneCell">
    <xdr:from>
      <xdr:col>24</xdr:col>
      <xdr:colOff>0</xdr:colOff>
      <xdr:row>3</xdr:row>
      <xdr:rowOff>0</xdr:rowOff>
    </xdr:from>
    <xdr:to>
      <xdr:col>26</xdr:col>
      <xdr:colOff>579778</xdr:colOff>
      <xdr:row>3</xdr:row>
      <xdr:rowOff>1162050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9"/>
        <a:stretch>
          <a:fillRect/>
        </a:stretch>
      </xdr:blipFill>
      <xdr:spPr>
        <a:xfrm>
          <a:off x="21850350" y="571500"/>
          <a:ext cx="3465853" cy="1162050"/>
        </a:xfrm>
        <a:prstGeom prst="rect">
          <a:avLst/>
        </a:prstGeom>
      </xdr:spPr>
    </xdr:pic>
    <xdr:clientData/>
  </xdr:twoCellAnchor>
  <xdr:twoCellAnchor editAs="oneCell">
    <xdr:from>
      <xdr:col>52</xdr:col>
      <xdr:colOff>1</xdr:colOff>
      <xdr:row>3</xdr:row>
      <xdr:rowOff>1</xdr:rowOff>
    </xdr:from>
    <xdr:to>
      <xdr:col>54</xdr:col>
      <xdr:colOff>565138</xdr:colOff>
      <xdr:row>3</xdr:row>
      <xdr:rowOff>1257301</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0"/>
        <a:stretch>
          <a:fillRect/>
        </a:stretch>
      </xdr:blipFill>
      <xdr:spPr>
        <a:xfrm>
          <a:off x="40519351" y="571501"/>
          <a:ext cx="3451212" cy="1257300"/>
        </a:xfrm>
        <a:prstGeom prst="rect">
          <a:avLst/>
        </a:prstGeom>
      </xdr:spPr>
    </xdr:pic>
    <xdr:clientData/>
  </xdr:twoCellAnchor>
  <xdr:twoCellAnchor editAs="oneCell">
    <xdr:from>
      <xdr:col>56</xdr:col>
      <xdr:colOff>0</xdr:colOff>
      <xdr:row>3</xdr:row>
      <xdr:rowOff>0</xdr:rowOff>
    </xdr:from>
    <xdr:to>
      <xdr:col>63</xdr:col>
      <xdr:colOff>19050</xdr:colOff>
      <xdr:row>3</xdr:row>
      <xdr:rowOff>1173892</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1"/>
        <a:stretch>
          <a:fillRect/>
        </a:stretch>
      </xdr:blipFill>
      <xdr:spPr>
        <a:xfrm>
          <a:off x="44624625" y="571500"/>
          <a:ext cx="4286250" cy="1173892"/>
        </a:xfrm>
        <a:prstGeom prst="rect">
          <a:avLst/>
        </a:prstGeom>
      </xdr:spPr>
    </xdr:pic>
    <xdr:clientData/>
  </xdr:twoCellAnchor>
  <xdr:twoCellAnchor editAs="oneCell">
    <xdr:from>
      <xdr:col>68</xdr:col>
      <xdr:colOff>0</xdr:colOff>
      <xdr:row>3</xdr:row>
      <xdr:rowOff>1</xdr:rowOff>
    </xdr:from>
    <xdr:to>
      <xdr:col>71</xdr:col>
      <xdr:colOff>572397</xdr:colOff>
      <xdr:row>3</xdr:row>
      <xdr:rowOff>1790701</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2"/>
        <a:stretch>
          <a:fillRect/>
        </a:stretch>
      </xdr:blipFill>
      <xdr:spPr>
        <a:xfrm>
          <a:off x="54378225" y="571501"/>
          <a:ext cx="4068072" cy="1790700"/>
        </a:xfrm>
        <a:prstGeom prst="rect">
          <a:avLst/>
        </a:prstGeom>
      </xdr:spPr>
    </xdr:pic>
    <xdr:clientData/>
  </xdr:twoCellAnchor>
  <xdr:twoCellAnchor editAs="oneCell">
    <xdr:from>
      <xdr:col>64</xdr:col>
      <xdr:colOff>1</xdr:colOff>
      <xdr:row>3</xdr:row>
      <xdr:rowOff>0</xdr:rowOff>
    </xdr:from>
    <xdr:to>
      <xdr:col>66</xdr:col>
      <xdr:colOff>552451</xdr:colOff>
      <xdr:row>3</xdr:row>
      <xdr:rowOff>1165860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3"/>
        <a:stretch>
          <a:fillRect/>
        </a:stretch>
      </xdr:blipFill>
      <xdr:spPr>
        <a:xfrm>
          <a:off x="49501426" y="571500"/>
          <a:ext cx="4629150" cy="116586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35</xdr:row>
          <xdr:rowOff>66675</xdr:rowOff>
        </xdr:from>
        <xdr:to>
          <xdr:col>6</xdr:col>
          <xdr:colOff>1343025</xdr:colOff>
          <xdr:row>37</xdr:row>
          <xdr:rowOff>28575</xdr:rowOff>
        </xdr:to>
        <xdr:sp macro="" textlink="">
          <xdr:nvSpPr>
            <xdr:cNvPr id="79876" name="Check Box 4" descr="Exclude From Results Summary" hidden="1">
              <a:extLst>
                <a:ext uri="{63B3BB69-23CF-44E3-9099-C40C66FF867C}">
                  <a14:compatExt spid="_x0000_s79876"/>
                </a:ext>
                <a:ext uri="{FF2B5EF4-FFF2-40B4-BE49-F238E27FC236}">
                  <a16:creationId xmlns:a16="http://schemas.microsoft.com/office/drawing/2014/main" id="{00000000-0008-0000-2300-00000438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36</xdr:row>
          <xdr:rowOff>66675</xdr:rowOff>
        </xdr:from>
        <xdr:to>
          <xdr:col>7</xdr:col>
          <xdr:colOff>28575</xdr:colOff>
          <xdr:row>38</xdr:row>
          <xdr:rowOff>47625</xdr:rowOff>
        </xdr:to>
        <xdr:sp macro="" textlink="">
          <xdr:nvSpPr>
            <xdr:cNvPr id="80898" name="Check Box 2" descr="Exclude From Results Summary" hidden="1">
              <a:extLst>
                <a:ext uri="{63B3BB69-23CF-44E3-9099-C40C66FF867C}">
                  <a14:compatExt spid="_x0000_s80898"/>
                </a:ext>
                <a:ext uri="{FF2B5EF4-FFF2-40B4-BE49-F238E27FC236}">
                  <a16:creationId xmlns:a16="http://schemas.microsoft.com/office/drawing/2014/main" id="{00000000-0008-0000-2400-0000023C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32</xdr:row>
          <xdr:rowOff>38100</xdr:rowOff>
        </xdr:from>
        <xdr:to>
          <xdr:col>7</xdr:col>
          <xdr:colOff>28575</xdr:colOff>
          <xdr:row>34</xdr:row>
          <xdr:rowOff>28575</xdr:rowOff>
        </xdr:to>
        <xdr:sp macro="" textlink="">
          <xdr:nvSpPr>
            <xdr:cNvPr id="81928" name="Check Box 8" descr="Exclude From Results Summary" hidden="1">
              <a:extLst>
                <a:ext uri="{63B3BB69-23CF-44E3-9099-C40C66FF867C}">
                  <a14:compatExt spid="_x0000_s81928"/>
                </a:ext>
                <a:ext uri="{FF2B5EF4-FFF2-40B4-BE49-F238E27FC236}">
                  <a16:creationId xmlns:a16="http://schemas.microsoft.com/office/drawing/2014/main" id="{00000000-0008-0000-2500-00000840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352425</xdr:colOff>
          <xdr:row>20</xdr:row>
          <xdr:rowOff>76200</xdr:rowOff>
        </xdr:from>
        <xdr:to>
          <xdr:col>8</xdr:col>
          <xdr:colOff>0</xdr:colOff>
          <xdr:row>22</xdr:row>
          <xdr:rowOff>28575</xdr:rowOff>
        </xdr:to>
        <xdr:sp macro="" textlink="">
          <xdr:nvSpPr>
            <xdr:cNvPr id="112641" name="Check Box 1" descr="Exclude From Results Summary" hidden="1">
              <a:extLst>
                <a:ext uri="{63B3BB69-23CF-44E3-9099-C40C66FF867C}">
                  <a14:compatExt spid="_x0000_s112641"/>
                </a:ext>
                <a:ext uri="{FF2B5EF4-FFF2-40B4-BE49-F238E27FC236}">
                  <a16:creationId xmlns:a16="http://schemas.microsoft.com/office/drawing/2014/main" id="{00000000-0008-0000-0900-000001B8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23</xdr:row>
          <xdr:rowOff>0</xdr:rowOff>
        </xdr:from>
        <xdr:to>
          <xdr:col>7</xdr:col>
          <xdr:colOff>0</xdr:colOff>
          <xdr:row>24</xdr:row>
          <xdr:rowOff>9525</xdr:rowOff>
        </xdr:to>
        <xdr:sp macro="" textlink="">
          <xdr:nvSpPr>
            <xdr:cNvPr id="88065" name="Check Box 1" descr="Exclude From Results Summary" hidden="1">
              <a:extLst>
                <a:ext uri="{63B3BB69-23CF-44E3-9099-C40C66FF867C}">
                  <a14:compatExt spid="_x0000_s88065"/>
                </a:ext>
                <a:ext uri="{FF2B5EF4-FFF2-40B4-BE49-F238E27FC236}">
                  <a16:creationId xmlns:a16="http://schemas.microsoft.com/office/drawing/2014/main" id="{00000000-0008-0000-0A00-00000158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15</xdr:row>
          <xdr:rowOff>66675</xdr:rowOff>
        </xdr:from>
        <xdr:to>
          <xdr:col>8</xdr:col>
          <xdr:colOff>0</xdr:colOff>
          <xdr:row>17</xdr:row>
          <xdr:rowOff>28575</xdr:rowOff>
        </xdr:to>
        <xdr:sp macro="" textlink="">
          <xdr:nvSpPr>
            <xdr:cNvPr id="89089" name="Check Box 1" descr="Exclude From Results Summary" hidden="1">
              <a:extLst>
                <a:ext uri="{63B3BB69-23CF-44E3-9099-C40C66FF867C}">
                  <a14:compatExt spid="_x0000_s89089"/>
                </a:ext>
                <a:ext uri="{FF2B5EF4-FFF2-40B4-BE49-F238E27FC236}">
                  <a16:creationId xmlns:a16="http://schemas.microsoft.com/office/drawing/2014/main" id="{00000000-0008-0000-0B00-0000015C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66675</xdr:rowOff>
        </xdr:from>
        <xdr:to>
          <xdr:col>7</xdr:col>
          <xdr:colOff>28575</xdr:colOff>
          <xdr:row>32</xdr:row>
          <xdr:rowOff>47625</xdr:rowOff>
        </xdr:to>
        <xdr:sp macro="" textlink="">
          <xdr:nvSpPr>
            <xdr:cNvPr id="237569" name="Check Box 1" descr="Exclude From Results Summary" hidden="1">
              <a:extLst>
                <a:ext uri="{63B3BB69-23CF-44E3-9099-C40C66FF867C}">
                  <a14:compatExt spid="_x0000_s237569"/>
                </a:ext>
                <a:ext uri="{FF2B5EF4-FFF2-40B4-BE49-F238E27FC236}">
                  <a16:creationId xmlns:a16="http://schemas.microsoft.com/office/drawing/2014/main" id="{00000000-0008-0000-0C00-000001A003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32</xdr:row>
          <xdr:rowOff>66675</xdr:rowOff>
        </xdr:from>
        <xdr:to>
          <xdr:col>7</xdr:col>
          <xdr:colOff>28575</xdr:colOff>
          <xdr:row>34</xdr:row>
          <xdr:rowOff>47625</xdr:rowOff>
        </xdr:to>
        <xdr:sp macro="" textlink="">
          <xdr:nvSpPr>
            <xdr:cNvPr id="303105" name="Check Box 1" descr="Exclude From Results Summary" hidden="1">
              <a:extLst>
                <a:ext uri="{63B3BB69-23CF-44E3-9099-C40C66FF867C}">
                  <a14:compatExt spid="_x0000_s303105"/>
                </a:ext>
                <a:ext uri="{FF2B5EF4-FFF2-40B4-BE49-F238E27FC236}">
                  <a16:creationId xmlns:a16="http://schemas.microsoft.com/office/drawing/2014/main" id="{00000000-0008-0000-0D00-000001A004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33</xdr:row>
          <xdr:rowOff>76200</xdr:rowOff>
        </xdr:from>
        <xdr:to>
          <xdr:col>7</xdr:col>
          <xdr:colOff>9525</xdr:colOff>
          <xdr:row>35</xdr:row>
          <xdr:rowOff>28575</xdr:rowOff>
        </xdr:to>
        <xdr:sp macro="" textlink="">
          <xdr:nvSpPr>
            <xdr:cNvPr id="92161" name="Check Box 1" descr="Exclude From Results Summary" hidden="1">
              <a:extLst>
                <a:ext uri="{63B3BB69-23CF-44E3-9099-C40C66FF867C}">
                  <a14:compatExt spid="_x0000_s92161"/>
                </a:ext>
                <a:ext uri="{FF2B5EF4-FFF2-40B4-BE49-F238E27FC236}">
                  <a16:creationId xmlns:a16="http://schemas.microsoft.com/office/drawing/2014/main" id="{00000000-0008-0000-0E00-000001680100}"/>
                </a:ext>
              </a:extLst>
            </xdr:cNvPr>
            <xdr:cNvSpPr/>
          </xdr:nvSpPr>
          <xdr:spPr bwMode="auto">
            <a:xfrm>
              <a:off x="0" y="0"/>
              <a:ext cx="0" cy="0"/>
            </a:xfrm>
            <a:prstGeom prst="rect">
              <a:avLst/>
            </a:prstGeom>
            <a:solidFill>
              <a:srgbClr val="FFCC9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Exclude from Results</a:t>
              </a:r>
            </a:p>
          </xdr:txBody>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Minnie Chen" id="{D4E9BC8B-C91C-4DC3-AA10-72A756780122}" userId="Minnie Chen" providerId="None"/>
  <person displayName="Michael Kao" id="{7DA4FD29-056F-471D-A40C-4369DF122931}" userId="S::m.kao@fehrandpeers.com::069dd0ac-6d6e-4357-8fc5-da6fed478389" providerId="AD"/>
  <person displayName="Drew Levitt" id="{BAF49CF5-955B-440F-892E-6D9708683909}" userId="S::D.Levitt@fehrandpeers.com::3b237d85-965a-4e4f-8914-fe7a43b3dd0a" providerId="AD"/>
  <person displayName="Drew Levitt" id="{472412C2-8907-4262-98FA-72B6369E64CD}" userId="S::d.levitt@fehrandpeers.com::3b237d85-965a-4e4f-8914-fe7a43b3dd0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G17" dT="2021-03-11T22:01:21.74" personId="{00000000-0000-0000-0000-000000000000}" id="{D501B285-010E-4E10-9EE1-583CD1B1D438}">
    <text>Update SANDAG with sources for AC values.</text>
  </threadedComment>
  <threadedComment ref="AU31" dT="2021-03-15T18:38:29.53" personId="{00000000-0000-0000-0000-000000000000}" id="{3E5BA277-BDA4-4D23-A305-2A636B30020A}">
    <text>Calculated from ADT, facility length, jurisdiction pop, and university</text>
  </threadedComment>
  <threadedComment ref="AV31" dT="2021-03-12T19:33:39.74" personId="{00000000-0000-0000-0000-000000000000}" id="{C2B4D42E-4C58-4B7A-B3DF-35FEA65A85C3}">
    <text>Key destinations within 1/2 and 1/4 mile of facility</text>
  </threadedComment>
  <threadedComment ref="AW31" dT="2021-03-12T19:34:28.78" personId="{00000000-0000-0000-0000-000000000000}" id="{20FBA55F-3E26-4B2D-9BE6-5E7AB7C1D057}">
    <text>Input: bike facility type</text>
  </threadedComment>
  <threadedComment ref="D36" dT="2021-02-18T21:13:40.99" personId="{00000000-0000-0000-0000-000000000000}" id="{3144BBB6-AC38-461D-85E7-7F668521B641}">
    <text>T-9 has bike parking but other amenities as well</text>
  </threadedComment>
</ThreadedComments>
</file>

<file path=xl/threadedComments/threadedComment2.xml><?xml version="1.0" encoding="utf-8"?>
<ThreadedComments xmlns="http://schemas.microsoft.com/office/spreadsheetml/2018/threadedcomments" xmlns:x="http://schemas.openxmlformats.org/spreadsheetml/2006/main">
  <threadedComment ref="P1" dT="2021-03-25T23:32:47.52" personId="{472412C2-8907-4262-98FA-72B6369E64CD}" id="{D8B57686-9E12-4197-A7BB-34FB674D270C}">
    <text>COMPLETELY WRONG: I still need to extract auto commute trip length. Right now this is just copying overall average auto trip length.</text>
  </threadedComment>
  <threadedComment ref="P1" dT="2021-04-16T05:59:00.02" personId="{BAF49CF5-955B-440F-892E-6D9708683909}" id="{FF8D670B-D6F2-4D63-B075-F0476D72C09A}" parentId="{D8B57686-9E12-4197-A7BB-34FB674D270C}">
    <text>I've replaced this with actual auto commute trip lengths.</text>
  </threadedComment>
  <threadedComment ref="Q1" dT="2021-03-25T23:30:47.45" personId="{472412C2-8907-4262-98FA-72B6369E64CD}" id="{855E9636-3B0D-4247-A2D7-A81653F6B9AC}">
    <text>medium confidence</text>
  </threadedComment>
  <threadedComment ref="Q1" dT="2021-03-26T17:26:56.87" personId="{7DA4FD29-056F-471D-A40C-4369DF122931}" id="{36ED6573-8F26-449A-89EC-10EBE799A72A}" parentId="{855E9636-3B0D-4247-A2D7-A81653F6B9AC}">
    <text>Duplicate of col AB?</text>
  </threadedComment>
  <threadedComment ref="R1" dT="2021-03-25T23:31:02.52" personId="{472412C2-8907-4262-98FA-72B6369E64CD}" id="{393489B5-6983-4ED0-B031-A51A2327DA3C}">
    <text>low/medium confidence</text>
  </threadedComment>
  <threadedComment ref="S1" dT="2021-03-25T23:30:30.22" personId="{472412C2-8907-4262-98FA-72B6369E64CD}" id="{2857E843-5EEB-4050-BACE-A79946F11AD9}">
    <text>high confidence</text>
  </threadedComment>
  <threadedComment ref="T1" dT="2021-03-25T23:22:53.44" personId="{472412C2-8907-4262-98FA-72B6369E64CD}" id="{5640B8F9-F236-4B1C-B14B-CE33FA5B11C1}">
    <text>Low degree of confidence in some of these numbers</text>
  </threadedComment>
  <threadedComment ref="U1" dT="2021-03-25T23:23:05.94" personId="{472412C2-8907-4262-98FA-72B6369E64CD}" id="{472BDB42-6B34-4178-967B-88F28549DEEE}">
    <text>High confidence in all these numbers</text>
  </threadedComment>
  <threadedComment ref="V1" dT="2021-03-25T23:35:18.84" personId="{472412C2-8907-4262-98FA-72B6369E64CD}" id="{8D521F65-0F57-43F5-AC48-239B16B498C3}">
    <text>low/medium confidence</text>
  </threadedComment>
  <threadedComment ref="V1" dT="2021-04-14T00:43:20.67" personId="{BAF49CF5-955B-440F-892E-6D9708683909}" id="{3152E6C6-E98E-478E-B690-2E7A288F2FCE}" parentId="{8D521F65-0F57-43F5-AC48-239B16B498C3}">
    <text>change "work" to "commute"</text>
  </threadedComment>
  <threadedComment ref="X1" dT="2021-03-25T23:35:03.75" personId="{472412C2-8907-4262-98FA-72B6369E64CD}" id="{73434A22-77AB-4A99-92CF-F6B24A3D7B7D}">
    <text>good confidence but there are some divide-by-zero errors</text>
  </threadedComment>
  <threadedComment ref="X1" dT="2021-04-14T00:43:24.55" personId="{BAF49CF5-955B-440F-892E-6D9708683909}" id="{49DD13AB-4784-4759-8A29-B6553BF0CE01}" parentId="{73434A22-77AB-4A99-92CF-F6B24A3D7B7D}">
    <text>change "work" to "commute"</text>
  </threadedComment>
  <threadedComment ref="Z1" dT="2021-03-25T23:24:45.45" personId="{472412C2-8907-4262-98FA-72B6369E64CD}" id="{1DE9E66B-4347-4A0B-BB16-6D35894C6099}">
    <text>Calculated by IF, high confidence</text>
  </threadedComment>
  <threadedComment ref="Z1" dT="2021-03-25T23:25:28.11" personId="{472412C2-8907-4262-98FA-72B6369E64CD}" id="{1BC07B57-FABD-4607-8161-885B21F4E80C}" parentId="{1DE9E66B-4347-4A0B-BB16-6D35894C6099}">
    <text>Per this list, Berkeley is the only college town in Alameda County https://en.wikipedia.org/wiki/List_of_college_towns#California</text>
  </threadedComment>
  <threadedComment ref="AA1" dT="2021-03-25T23:24:34.87" personId="{472412C2-8907-4262-98FA-72B6369E64CD}" id="{0876D30D-DB84-46C5-918F-7DF442D0F257}">
    <text>Calculated by SUMIFS, high confidence</text>
  </threadedComment>
  <threadedComment ref="AB1" dT="2021-03-25T23:27:30.22" personId="{472412C2-8907-4262-98FA-72B6369E64CD}" id="{EE4F296D-1BD4-469A-A7CC-516B110DB310}">
    <text>calculated by SUMIFS</text>
  </threadedComment>
  <threadedComment ref="AB1" dT="2021-03-25T23:27:48.05" personId="{472412C2-8907-4262-98FA-72B6369E64CD}" id="{CD9AD73F-844F-41E9-B436-A922BF98804F}" parentId="{EE4F296D-1BD4-469A-A7CC-516B110DB310}">
    <text>Need to go back and make sure this should be jurisdiction level and not TAZ level</text>
  </threadedComment>
  <threadedComment ref="AC1" dT="2021-03-25T23:42:36.70" personId="{472412C2-8907-4262-98FA-72B6369E64CD}" id="{69B29FB3-B4E2-40EE-955A-D237D1117396}">
    <text>COMPLETE GARBAGE - still need to do GIS exercise to exclude BART-adjacent TAZs and aggregate to jurisdiction level. Currently just using TAZ-level transit mode share.</text>
  </threadedComment>
  <threadedComment ref="AC1" dT="2021-04-16T05:45:30.47" personId="{BAF49CF5-955B-440F-892E-6D9708683909}" id="{BCB44B1B-C1AF-4B34-8105-9A693CBC7676}" parentId="{69B29FB3-B4E2-40EE-955A-D237D1117396}">
    <text>Completed GIS exercise, these are now working as designed.</text>
  </threadedComment>
  <threadedComment ref="AD1" dT="2021-03-25T23:42:47.17" personId="{472412C2-8907-4262-98FA-72B6369E64CD}" id="{AB3761C1-01D9-4079-B0DA-EC979C0DF5F9}">
    <text>COMPLETE GARBAGE - still need to do GIS exercise to exclude BART-adjacent TAZs and aggregate to jurisdiction level. Currently just using TAZ-level auto mode share.</text>
  </threadedComment>
  <threadedComment ref="AD1" dT="2021-04-16T05:45:34.80" personId="{BAF49CF5-955B-440F-892E-6D9708683909}" id="{732545DF-B6CB-4065-997E-54D8D23B85DE}" parentId="{AB3761C1-01D9-4079-B0DA-EC979C0DF5F9}">
    <text>Completed GIS exercise, these are now working as designed.</text>
  </threadedComment>
  <threadedComment ref="AF9" dT="2021-04-16T06:21:03.37" personId="{BAF49CF5-955B-440F-892E-6D9708683909}" id="{70E551F4-AB91-4DFB-91F7-5D2106EBF70B}">
    <text>The issue is that some TAZ-level values are either 0 or errors. In either case, we want to replace the faulty TAZ-level value with the average value of TAZs in that jurisdiction that are NOT 0 or errors. Therefore, I copied the columns that contain errors to this side so that I could refer to them from the main columns in their original locations.</text>
  </threadedComment>
  <threadedComment ref="N10" dT="2025-09-10T17:57:27.99" personId="{D4E9BC8B-C91C-4DC3-AA10-72A756780122}" id="{4F7D7319-78E5-460C-8027-D2FF74B5F085}">
    <text>Within 2075ft of BART</text>
  </threadedComment>
  <threadedComment ref="Z10" dT="2021-03-26T20:50:16.94" personId="{7DA4FD29-056F-471D-A40C-4369DF122931}" id="{596EEB1A-960C-410E-AB55-5FB9E1AA09D7}">
    <text>Only Berkeley is university town</text>
  </threadedComment>
  <threadedComment ref="AA10" dT="2021-03-26T20:50:38.08" personId="{7DA4FD29-056F-471D-A40C-4369DF122931}" id="{5E260CEE-232B-4C2A-9A1F-3A2BAE8980B4}">
    <text>Only Oakland is &gt; 250,000</text>
  </threadedComment>
</ThreadedComments>
</file>

<file path=xl/threadedComments/threadedComment3.xml><?xml version="1.0" encoding="utf-8"?>
<ThreadedComments xmlns="http://schemas.microsoft.com/office/spreadsheetml/2018/threadedcomments" xmlns:x="http://schemas.openxmlformats.org/spreadsheetml/2006/main">
  <threadedComment ref="I14" dT="2021-04-16T22:46:12.96" personId="{BAF49CF5-955B-440F-892E-6D9708683909}" id="{93EDF147-E512-4754-AE1E-7BAEE52E2DA1}">
    <text>Removed this and the transpose of this conflict because the two measures now refer explicitly to different target populations, therefore there is no conflict.</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experience.arcgis.com/experience/9053a0d926f84368be583007bfc13d10" TargetMode="External"/><Relationship Id="rId1" Type="http://schemas.openxmlformats.org/officeDocument/2006/relationships/hyperlink" Target="https://www.alamedactc.org/planning/congestion-management-program/"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omments" Target="../comments5.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omments" Target="../comments6.xml"/><Relationship Id="rId4" Type="http://schemas.openxmlformats.org/officeDocument/2006/relationships/ctrlProp" Target="../ctrlProps/ctrlProp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ctrlProp" Target="../ctrlProps/ctrlProp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omments" Target="../comments8.xml"/><Relationship Id="rId4" Type="http://schemas.openxmlformats.org/officeDocument/2006/relationships/ctrlProp" Target="../ctrlProps/ctrlProp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omments" Target="../comments9.xml"/><Relationship Id="rId4" Type="http://schemas.openxmlformats.org/officeDocument/2006/relationships/ctrlProp" Target="../ctrlProps/ctrlProp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1.bin"/><Relationship Id="rId5" Type="http://schemas.openxmlformats.org/officeDocument/2006/relationships/comments" Target="../comments10.xml"/><Relationship Id="rId4" Type="http://schemas.openxmlformats.org/officeDocument/2006/relationships/ctrlProp" Target="../ctrlProps/ctrlProp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trlProp" Target="../ctrlProps/ctrlProp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3.bin"/><Relationship Id="rId5" Type="http://schemas.openxmlformats.org/officeDocument/2006/relationships/comments" Target="../comments11.xml"/><Relationship Id="rId4" Type="http://schemas.openxmlformats.org/officeDocument/2006/relationships/ctrlProp" Target="../ctrlProps/ctrlProp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4.bin"/><Relationship Id="rId5" Type="http://schemas.openxmlformats.org/officeDocument/2006/relationships/comments" Target="../comments12.xml"/><Relationship Id="rId4" Type="http://schemas.openxmlformats.org/officeDocument/2006/relationships/ctrlProp" Target="../ctrlProps/ctrlProp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5.bin"/><Relationship Id="rId5" Type="http://schemas.openxmlformats.org/officeDocument/2006/relationships/comments" Target="../comments13.xml"/><Relationship Id="rId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trlProp" Target="../ctrlProps/ctrlProp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8.bin"/><Relationship Id="rId5" Type="http://schemas.openxmlformats.org/officeDocument/2006/relationships/comments" Target="../comments14.xml"/><Relationship Id="rId4" Type="http://schemas.openxmlformats.org/officeDocument/2006/relationships/ctrlProp" Target="../ctrlProps/ctrlProp1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9.bin"/><Relationship Id="rId5" Type="http://schemas.openxmlformats.org/officeDocument/2006/relationships/comments" Target="../comments15.xml"/><Relationship Id="rId4" Type="http://schemas.openxmlformats.org/officeDocument/2006/relationships/ctrlProp" Target="../ctrlProps/ctrlProp1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16.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1.bin"/><Relationship Id="rId5" Type="http://schemas.openxmlformats.org/officeDocument/2006/relationships/comments" Target="../comments16.xml"/><Relationship Id="rId4" Type="http://schemas.openxmlformats.org/officeDocument/2006/relationships/ctrlProp" Target="../ctrlProps/ctrlProp17.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2.bin"/><Relationship Id="rId5" Type="http://schemas.openxmlformats.org/officeDocument/2006/relationships/comments" Target="../comments17.xml"/><Relationship Id="rId4" Type="http://schemas.openxmlformats.org/officeDocument/2006/relationships/ctrlProp" Target="../ctrlProps/ctrlProp18.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3.bin"/><Relationship Id="rId5" Type="http://schemas.openxmlformats.org/officeDocument/2006/relationships/comments" Target="../comments18.xml"/><Relationship Id="rId4" Type="http://schemas.openxmlformats.org/officeDocument/2006/relationships/ctrlProp" Target="../ctrlProps/ctrlProp19.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https://dot.ca.gov/-/media/dot-media/programs/design/documents/dod-bikeway-selection-memo_06302020_signed-a11y.pdf" TargetMode="External"/><Relationship Id="rId6" Type="http://schemas.openxmlformats.org/officeDocument/2006/relationships/comments" Target="../comments19.xml"/><Relationship Id="rId5" Type="http://schemas.openxmlformats.org/officeDocument/2006/relationships/ctrlProp" Target="../ctrlProps/ctrlProp20.xml"/><Relationship Id="rId4" Type="http://schemas.openxmlformats.org/officeDocument/2006/relationships/vmlDrawing" Target="../drawings/vmlDrawing23.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https://dot.ca.gov/-/media/dot-media/programs/design/documents/dod-bikeway-selection-memo_06302020_signed-a11y.pdf" TargetMode="External"/><Relationship Id="rId6" Type="http://schemas.openxmlformats.org/officeDocument/2006/relationships/comments" Target="../comments20.xml"/><Relationship Id="rId5" Type="http://schemas.openxmlformats.org/officeDocument/2006/relationships/ctrlProp" Target="../ctrlProps/ctrlProp21.xml"/><Relationship Id="rId4" Type="http://schemas.openxmlformats.org/officeDocument/2006/relationships/vmlDrawing" Target="../drawings/vmlDrawing24.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6.bin"/><Relationship Id="rId5" Type="http://schemas.openxmlformats.org/officeDocument/2006/relationships/comments" Target="../comments21.xml"/><Relationship Id="rId4" Type="http://schemas.openxmlformats.org/officeDocument/2006/relationships/ctrlProp" Target="../ctrlProps/ctrlProp22.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7.bin"/><Relationship Id="rId5" Type="http://schemas.openxmlformats.org/officeDocument/2006/relationships/comments" Target="../comments22.xml"/><Relationship Id="rId4" Type="http://schemas.openxmlformats.org/officeDocument/2006/relationships/ctrlProp" Target="../ctrlProps/ctrlProp23.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4.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trlProp" Target="../ctrlProps/ctrlProp25.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30.bin"/><Relationship Id="rId5" Type="http://schemas.openxmlformats.org/officeDocument/2006/relationships/comments" Target="../comments23.xml"/><Relationship Id="rId4" Type="http://schemas.openxmlformats.org/officeDocument/2006/relationships/ctrlProp" Target="../ctrlProps/ctrlProp2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31.bin"/><Relationship Id="rId5" Type="http://schemas.openxmlformats.org/officeDocument/2006/relationships/comments" Target="../comments24.xml"/><Relationship Id="rId4" Type="http://schemas.openxmlformats.org/officeDocument/2006/relationships/ctrlProp" Target="../ctrlProps/ctrlProp27.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2.bin"/><Relationship Id="rId5" Type="http://schemas.openxmlformats.org/officeDocument/2006/relationships/comments" Target="../comments25.xml"/><Relationship Id="rId4" Type="http://schemas.openxmlformats.org/officeDocument/2006/relationships/ctrlProp" Target="../ctrlProps/ctrlProp28.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3.bin"/><Relationship Id="rId5" Type="http://schemas.openxmlformats.org/officeDocument/2006/relationships/comments" Target="../comments26.xml"/><Relationship Id="rId4" Type="http://schemas.openxmlformats.org/officeDocument/2006/relationships/ctrlProp" Target="../ctrlProps/ctrlProp29.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4.bin"/><Relationship Id="rId5" Type="http://schemas.openxmlformats.org/officeDocument/2006/relationships/comments" Target="../comments27.xml"/><Relationship Id="rId4" Type="http://schemas.openxmlformats.org/officeDocument/2006/relationships/ctrlProp" Target="../ctrlProps/ctrlProp3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pageSetUpPr autoPageBreaks="0"/>
  </sheetPr>
  <dimension ref="A1:Q94"/>
  <sheetViews>
    <sheetView showGridLines="0" showRowColHeaders="0" tabSelected="1" topLeftCell="A33" zoomScaleNormal="100" workbookViewId="0">
      <selection activeCell="F53" sqref="F53"/>
    </sheetView>
  </sheetViews>
  <sheetFormatPr defaultColWidth="0" defaultRowHeight="15"/>
  <cols>
    <col min="1" max="1" width="2.7109375" customWidth="1"/>
    <col min="2" max="2" width="4.42578125" customWidth="1"/>
    <col min="3" max="3" width="5.5703125" customWidth="1"/>
    <col min="4" max="4" width="21.5703125" customWidth="1"/>
    <col min="5" max="5" width="16" customWidth="1"/>
    <col min="6" max="6" width="41.85546875" customWidth="1"/>
    <col min="7" max="7" width="6.42578125" style="1" customWidth="1"/>
    <col min="8" max="8" width="1.5703125" style="1" customWidth="1"/>
    <col min="9" max="9" width="1.5703125" customWidth="1"/>
    <col min="10" max="10" width="5.5703125" style="1" customWidth="1"/>
    <col min="11" max="11" width="29" style="1" customWidth="1"/>
    <col min="12" max="12" width="19.85546875" customWidth="1"/>
    <col min="13" max="13" width="43.5703125" customWidth="1"/>
    <col min="14" max="14" width="4.42578125" customWidth="1"/>
    <col min="15" max="15" width="2.7109375" customWidth="1"/>
    <col min="16" max="17" width="8.85546875" hidden="1" customWidth="1"/>
    <col min="18" max="16384" width="8.85546875" hidden="1"/>
  </cols>
  <sheetData>
    <row r="1" spans="1:17">
      <c r="A1" s="16"/>
      <c r="B1" s="16"/>
      <c r="C1" s="16"/>
      <c r="D1" s="16"/>
      <c r="E1" s="16"/>
      <c r="F1" s="16"/>
      <c r="G1" s="17"/>
      <c r="H1" s="17"/>
      <c r="I1" s="16"/>
      <c r="J1" s="17"/>
      <c r="K1" s="17"/>
      <c r="L1" s="16"/>
      <c r="M1" s="16"/>
      <c r="N1" s="16"/>
      <c r="O1" s="16"/>
    </row>
    <row r="2" spans="1:17" s="214" customFormat="1" ht="42.6" customHeight="1">
      <c r="A2" s="16"/>
      <c r="B2" s="509" t="s">
        <v>0</v>
      </c>
      <c r="C2" s="510"/>
      <c r="D2" s="510"/>
      <c r="E2" s="510"/>
      <c r="F2" s="510"/>
      <c r="G2" s="510"/>
      <c r="H2" s="510"/>
      <c r="I2" s="510"/>
      <c r="J2" s="510"/>
      <c r="K2" s="510"/>
      <c r="L2" s="510"/>
      <c r="M2" s="510"/>
      <c r="N2" s="514" t="s">
        <v>1</v>
      </c>
      <c r="O2" s="16"/>
      <c r="P2"/>
      <c r="Q2"/>
    </row>
    <row r="3" spans="1:17" ht="15" customHeight="1">
      <c r="A3" s="16"/>
      <c r="B3" s="16"/>
      <c r="C3" s="16"/>
      <c r="D3" s="215"/>
      <c r="E3" s="16"/>
      <c r="F3" s="16"/>
      <c r="G3" s="17"/>
      <c r="H3" s="17"/>
      <c r="I3" s="16"/>
      <c r="J3" s="17"/>
      <c r="K3" s="17"/>
      <c r="M3" s="16"/>
      <c r="N3" s="16"/>
      <c r="O3" s="16"/>
    </row>
    <row r="4" spans="1:17" ht="21" customHeight="1">
      <c r="A4" s="16"/>
      <c r="B4" s="216"/>
      <c r="C4" s="217" t="s">
        <v>2</v>
      </c>
      <c r="D4" s="217"/>
      <c r="E4" s="218"/>
      <c r="F4" s="219"/>
      <c r="G4" s="219"/>
      <c r="H4" s="219"/>
      <c r="I4" s="220"/>
      <c r="J4" s="219"/>
      <c r="K4" s="218"/>
      <c r="L4" s="218"/>
      <c r="M4" s="218"/>
      <c r="N4" s="221"/>
      <c r="O4" s="16"/>
    </row>
    <row r="5" spans="1:17" ht="257.25" customHeight="1">
      <c r="A5" s="16"/>
      <c r="B5" s="222"/>
      <c r="C5" s="540" t="s">
        <v>3</v>
      </c>
      <c r="D5" s="540"/>
      <c r="E5" s="540"/>
      <c r="F5" s="540"/>
      <c r="G5" s="540"/>
      <c r="H5" s="540"/>
      <c r="I5" s="540"/>
      <c r="J5" s="540"/>
      <c r="K5" s="540"/>
      <c r="L5" s="540"/>
      <c r="M5" s="540"/>
      <c r="N5" s="223"/>
      <c r="O5" s="16"/>
    </row>
    <row r="6" spans="1:17" ht="22.5" customHeight="1">
      <c r="A6" s="16"/>
      <c r="B6" s="224"/>
      <c r="C6" s="550" t="s">
        <v>4</v>
      </c>
      <c r="D6" s="550"/>
      <c r="E6" s="550"/>
      <c r="F6" s="550"/>
      <c r="G6" s="550"/>
      <c r="H6" s="550"/>
      <c r="I6" s="550"/>
      <c r="J6" s="550"/>
      <c r="K6" s="550"/>
      <c r="L6" s="550"/>
      <c r="M6" s="550"/>
      <c r="N6" s="225"/>
      <c r="O6" s="16"/>
    </row>
    <row r="7" spans="1:17">
      <c r="A7" s="16"/>
      <c r="B7" s="16"/>
      <c r="C7" s="16"/>
      <c r="D7" s="16"/>
      <c r="E7" s="16"/>
      <c r="F7" s="17"/>
      <c r="G7" s="17"/>
      <c r="H7" s="17"/>
      <c r="I7" s="16"/>
      <c r="J7" s="17"/>
      <c r="K7" s="16"/>
      <c r="L7" s="16"/>
      <c r="M7" s="16"/>
      <c r="N7" s="16"/>
      <c r="O7" s="16"/>
    </row>
    <row r="8" spans="1:17" ht="21">
      <c r="A8" s="16"/>
      <c r="B8" s="216"/>
      <c r="C8" s="217" t="s">
        <v>5</v>
      </c>
      <c r="D8" s="217"/>
      <c r="E8" s="218"/>
      <c r="F8" s="219"/>
      <c r="G8" s="226"/>
      <c r="H8" s="17"/>
      <c r="I8" s="216"/>
      <c r="J8" s="217" t="s">
        <v>6</v>
      </c>
      <c r="K8" s="218"/>
      <c r="L8" s="218"/>
      <c r="M8" s="218"/>
      <c r="N8" s="221"/>
      <c r="O8" s="16"/>
    </row>
    <row r="9" spans="1:17" ht="15.6" customHeight="1">
      <c r="A9" s="16"/>
      <c r="B9" s="227"/>
      <c r="C9" s="228" t="s">
        <v>7</v>
      </c>
      <c r="D9" s="229"/>
      <c r="E9" s="229"/>
      <c r="F9" s="229"/>
      <c r="G9" s="230"/>
      <c r="H9" s="231"/>
      <c r="I9" s="227"/>
      <c r="J9" s="542" t="s">
        <v>8</v>
      </c>
      <c r="K9" s="542"/>
      <c r="L9" s="542"/>
      <c r="M9" s="542"/>
      <c r="N9" s="232"/>
      <c r="O9" s="16"/>
    </row>
    <row r="10" spans="1:17" ht="4.3499999999999996" customHeight="1">
      <c r="A10" s="16"/>
      <c r="B10" s="233"/>
      <c r="C10" s="3"/>
      <c r="D10" s="3"/>
      <c r="E10" s="8"/>
      <c r="F10" s="8"/>
      <c r="G10" s="234"/>
      <c r="H10" s="231"/>
      <c r="I10" s="233"/>
      <c r="J10" s="543"/>
      <c r="K10" s="543"/>
      <c r="L10" s="543"/>
      <c r="M10" s="543"/>
      <c r="N10" s="235"/>
      <c r="O10" s="16"/>
    </row>
    <row r="11" spans="1:17" ht="14.45" customHeight="1">
      <c r="A11" s="16"/>
      <c r="B11" s="233"/>
      <c r="C11" s="3" t="s">
        <v>9</v>
      </c>
      <c r="D11" s="3"/>
      <c r="E11" s="8"/>
      <c r="F11" s="8"/>
      <c r="G11" s="234"/>
      <c r="H11" s="231"/>
      <c r="I11" s="233"/>
      <c r="J11" s="543"/>
      <c r="K11" s="543"/>
      <c r="L11" s="543"/>
      <c r="M11" s="543"/>
      <c r="N11" s="235"/>
      <c r="O11" s="16"/>
    </row>
    <row r="12" spans="1:17" ht="4.3499999999999996" customHeight="1">
      <c r="A12" s="16"/>
      <c r="B12" s="233"/>
      <c r="C12" s="3"/>
      <c r="D12" s="3"/>
      <c r="E12" s="8"/>
      <c r="F12" s="8"/>
      <c r="G12" s="234"/>
      <c r="H12" s="231"/>
      <c r="I12" s="233"/>
      <c r="J12" s="8"/>
      <c r="K12" s="8"/>
      <c r="L12" s="8"/>
      <c r="M12" s="8"/>
      <c r="N12" s="235"/>
      <c r="O12" s="16"/>
    </row>
    <row r="13" spans="1:17" ht="14.45" customHeight="1">
      <c r="A13" s="16"/>
      <c r="B13" s="233"/>
      <c r="C13" s="3" t="s">
        <v>10</v>
      </c>
      <c r="D13" s="3"/>
      <c r="E13" s="3"/>
      <c r="F13" s="3"/>
      <c r="G13" s="234"/>
      <c r="H13" s="231"/>
      <c r="I13" s="233"/>
      <c r="J13" s="8"/>
      <c r="K13" s="8"/>
      <c r="L13" s="8"/>
      <c r="M13" s="8"/>
      <c r="N13" s="235"/>
      <c r="O13" s="16"/>
    </row>
    <row r="14" spans="1:17" ht="4.3499999999999996" customHeight="1">
      <c r="A14" s="16"/>
      <c r="B14" s="233"/>
      <c r="C14" s="8"/>
      <c r="D14" s="8"/>
      <c r="E14" s="8"/>
      <c r="F14" s="8"/>
      <c r="G14" s="234"/>
      <c r="H14" s="231"/>
      <c r="I14" s="233"/>
      <c r="J14" s="8"/>
      <c r="K14" s="8"/>
      <c r="L14" s="236" t="s">
        <v>11</v>
      </c>
      <c r="M14" s="8"/>
      <c r="N14" s="235"/>
      <c r="O14" s="16"/>
    </row>
    <row r="15" spans="1:17" ht="14.45" customHeight="1">
      <c r="A15" s="16"/>
      <c r="B15" s="233"/>
      <c r="C15" s="8" t="s">
        <v>12</v>
      </c>
      <c r="D15" s="8"/>
      <c r="E15" s="8"/>
      <c r="F15" s="8"/>
      <c r="G15" s="234"/>
      <c r="H15" s="231"/>
      <c r="I15" s="233"/>
      <c r="J15" s="8"/>
      <c r="K15" s="8"/>
      <c r="L15" s="236"/>
      <c r="M15" s="8"/>
      <c r="N15" s="235"/>
      <c r="O15" s="16"/>
    </row>
    <row r="16" spans="1:17" ht="4.3499999999999996" customHeight="1">
      <c r="A16" s="16"/>
      <c r="B16" s="233"/>
      <c r="C16" s="8"/>
      <c r="D16" s="8"/>
      <c r="E16" s="8"/>
      <c r="F16" s="8"/>
      <c r="G16" s="234"/>
      <c r="H16" s="231"/>
      <c r="I16" s="233"/>
      <c r="J16" s="8"/>
      <c r="K16" s="8"/>
      <c r="L16" s="236"/>
      <c r="M16" s="8"/>
      <c r="N16" s="235"/>
      <c r="O16" s="16"/>
    </row>
    <row r="17" spans="1:15" ht="14.45" customHeight="1">
      <c r="A17" s="16"/>
      <c r="B17" s="233"/>
      <c r="C17" s="3" t="s">
        <v>13</v>
      </c>
      <c r="D17" s="8"/>
      <c r="E17" s="8"/>
      <c r="F17" s="8"/>
      <c r="G17" s="234"/>
      <c r="H17" s="231"/>
      <c r="I17" s="233"/>
      <c r="J17" s="8"/>
      <c r="K17" s="237" t="s">
        <v>14</v>
      </c>
      <c r="L17" s="236" t="s">
        <v>15</v>
      </c>
      <c r="M17" s="8"/>
      <c r="N17" s="235"/>
      <c r="O17" s="16"/>
    </row>
    <row r="18" spans="1:15" ht="4.3499999999999996" customHeight="1">
      <c r="A18" s="16"/>
      <c r="B18" s="233"/>
      <c r="C18" s="3"/>
      <c r="D18" s="8"/>
      <c r="E18" s="8"/>
      <c r="F18" s="8"/>
      <c r="G18" s="234"/>
      <c r="H18" s="231"/>
      <c r="I18" s="233"/>
      <c r="J18" s="8"/>
      <c r="K18" s="8"/>
      <c r="L18" s="236"/>
      <c r="M18" s="8"/>
      <c r="N18" s="235"/>
      <c r="O18" s="16"/>
    </row>
    <row r="19" spans="1:15" ht="14.45" customHeight="1">
      <c r="A19" s="16"/>
      <c r="B19" s="238"/>
      <c r="C19" s="3" t="s">
        <v>16</v>
      </c>
      <c r="D19" s="8"/>
      <c r="E19" s="8"/>
      <c r="F19" s="8"/>
      <c r="G19" s="234"/>
      <c r="H19" s="96"/>
      <c r="I19" s="238"/>
      <c r="J19" s="239"/>
      <c r="K19" s="101" t="s">
        <v>17</v>
      </c>
      <c r="L19" s="236" t="s">
        <v>18</v>
      </c>
      <c r="M19" s="239"/>
      <c r="N19" s="240"/>
      <c r="O19" s="16"/>
    </row>
    <row r="20" spans="1:15" ht="4.3499999999999996" customHeight="1">
      <c r="A20" s="16"/>
      <c r="B20" s="233"/>
      <c r="C20" s="3"/>
      <c r="D20" s="8"/>
      <c r="E20" s="8"/>
      <c r="F20" s="8"/>
      <c r="G20" s="234"/>
      <c r="H20" s="231"/>
      <c r="I20" s="233"/>
      <c r="J20" s="8"/>
      <c r="K20" s="8"/>
      <c r="L20" s="236"/>
      <c r="M20" s="8"/>
      <c r="N20" s="235"/>
      <c r="O20" s="16"/>
    </row>
    <row r="21" spans="1:15" ht="14.45" customHeight="1">
      <c r="A21" s="16"/>
      <c r="B21" s="233"/>
      <c r="C21" s="3" t="s">
        <v>19</v>
      </c>
      <c r="D21" s="8"/>
      <c r="E21" s="8"/>
      <c r="F21" s="8"/>
      <c r="G21" s="234"/>
      <c r="H21" s="231"/>
      <c r="I21" s="233"/>
      <c r="J21" s="8"/>
      <c r="K21" s="102" t="s">
        <v>20</v>
      </c>
      <c r="L21" s="236" t="s">
        <v>21</v>
      </c>
      <c r="M21" s="8"/>
      <c r="N21" s="235"/>
      <c r="O21" s="16"/>
    </row>
    <row r="22" spans="1:15" ht="4.3499999999999996" customHeight="1">
      <c r="A22" s="16"/>
      <c r="B22" s="233"/>
      <c r="C22" s="3"/>
      <c r="D22" s="8"/>
      <c r="E22" s="8"/>
      <c r="F22" s="8"/>
      <c r="G22" s="234"/>
      <c r="H22" s="231"/>
      <c r="I22" s="233"/>
      <c r="J22" s="8"/>
      <c r="K22" s="8"/>
      <c r="L22" s="236"/>
      <c r="M22" s="8"/>
      <c r="N22" s="235"/>
      <c r="O22" s="16"/>
    </row>
    <row r="23" spans="1:15" ht="14.45" customHeight="1">
      <c r="A23" s="16"/>
      <c r="B23" s="233"/>
      <c r="C23" s="3" t="s">
        <v>22</v>
      </c>
      <c r="D23" s="8"/>
      <c r="E23" s="8"/>
      <c r="F23" s="8"/>
      <c r="G23" s="234"/>
      <c r="H23" s="231"/>
      <c r="I23" s="233"/>
      <c r="J23" s="8"/>
      <c r="K23" s="241"/>
      <c r="L23" s="236" t="s">
        <v>23</v>
      </c>
      <c r="M23" s="8"/>
      <c r="N23" s="235"/>
      <c r="O23" s="16"/>
    </row>
    <row r="24" spans="1:15" ht="4.3499999999999996" customHeight="1">
      <c r="A24" s="16"/>
      <c r="B24" s="233"/>
      <c r="C24" s="3"/>
      <c r="D24" s="8"/>
      <c r="E24" s="8"/>
      <c r="F24" s="8"/>
      <c r="G24" s="234"/>
      <c r="H24" s="231"/>
      <c r="I24" s="233"/>
      <c r="J24" s="8"/>
      <c r="K24" s="8"/>
      <c r="L24" s="236"/>
      <c r="M24" s="8"/>
      <c r="N24" s="235"/>
      <c r="O24" s="16"/>
    </row>
    <row r="25" spans="1:15" ht="14.45" customHeight="1">
      <c r="A25" s="16"/>
      <c r="B25" s="233"/>
      <c r="C25" s="3" t="s">
        <v>24</v>
      </c>
      <c r="D25" s="8"/>
      <c r="E25" s="8"/>
      <c r="F25" s="8"/>
      <c r="G25" s="234"/>
      <c r="H25" s="231"/>
      <c r="I25" s="233"/>
      <c r="J25" s="8"/>
      <c r="K25" s="242" t="s">
        <v>25</v>
      </c>
      <c r="L25" s="236" t="s">
        <v>26</v>
      </c>
      <c r="M25" s="8"/>
      <c r="N25" s="235"/>
      <c r="O25" s="16"/>
    </row>
    <row r="26" spans="1:15" ht="4.3499999999999996" customHeight="1">
      <c r="A26" s="16"/>
      <c r="B26" s="233"/>
      <c r="C26" s="3"/>
      <c r="D26" s="8"/>
      <c r="E26" s="8"/>
      <c r="F26" s="8"/>
      <c r="G26" s="234"/>
      <c r="H26" s="231"/>
      <c r="I26" s="233"/>
      <c r="J26" s="8"/>
      <c r="K26" s="8"/>
      <c r="L26" s="236"/>
      <c r="M26" s="8"/>
      <c r="N26" s="235"/>
      <c r="O26" s="16"/>
    </row>
    <row r="27" spans="1:15" ht="14.45" customHeight="1">
      <c r="A27" s="16"/>
      <c r="B27" s="233"/>
      <c r="C27" s="3" t="s">
        <v>27</v>
      </c>
      <c r="D27" s="8"/>
      <c r="E27" s="8"/>
      <c r="F27" s="8"/>
      <c r="G27" s="234"/>
      <c r="H27" s="231"/>
      <c r="I27" s="233"/>
      <c r="J27" s="8"/>
      <c r="K27" s="243" t="s">
        <v>28</v>
      </c>
      <c r="L27" s="236" t="s">
        <v>29</v>
      </c>
      <c r="M27" s="8"/>
      <c r="N27" s="235"/>
      <c r="O27" s="16"/>
    </row>
    <row r="28" spans="1:15" ht="4.3499999999999996" customHeight="1">
      <c r="A28" s="16"/>
      <c r="B28" s="233"/>
      <c r="C28" s="3"/>
      <c r="D28" s="8"/>
      <c r="E28" s="8"/>
      <c r="F28" s="8"/>
      <c r="G28" s="234"/>
      <c r="H28" s="231"/>
      <c r="I28" s="233"/>
      <c r="J28" s="8"/>
      <c r="K28" s="8"/>
      <c r="L28" s="236"/>
      <c r="M28" s="8"/>
      <c r="N28" s="235"/>
      <c r="O28" s="16"/>
    </row>
    <row r="29" spans="1:15" ht="14.45" customHeight="1">
      <c r="A29" s="16"/>
      <c r="B29" s="233"/>
      <c r="C29" s="3" t="s">
        <v>30</v>
      </c>
      <c r="D29" s="8"/>
      <c r="E29" s="8"/>
      <c r="F29" s="8"/>
      <c r="G29" s="234"/>
      <c r="H29" s="231"/>
      <c r="I29" s="233"/>
      <c r="J29" s="8"/>
      <c r="K29" s="244" t="s">
        <v>31</v>
      </c>
      <c r="L29" s="236" t="s">
        <v>32</v>
      </c>
      <c r="M29" s="8"/>
      <c r="N29" s="235"/>
      <c r="O29" s="16"/>
    </row>
    <row r="30" spans="1:15" ht="4.3499999999999996" customHeight="1">
      <c r="A30" s="16"/>
      <c r="B30" s="233"/>
      <c r="C30" s="3"/>
      <c r="D30" s="8"/>
      <c r="E30" s="8"/>
      <c r="F30" s="8"/>
      <c r="G30" s="234"/>
      <c r="H30" s="231"/>
      <c r="I30" s="233"/>
      <c r="J30" s="8"/>
      <c r="K30" s="8"/>
      <c r="L30" s="236"/>
      <c r="M30" s="8"/>
      <c r="N30" s="235"/>
      <c r="O30" s="16"/>
    </row>
    <row r="31" spans="1:15" ht="14.45" customHeight="1">
      <c r="A31" s="16"/>
      <c r="B31" s="233"/>
      <c r="C31" s="3" t="s">
        <v>33</v>
      </c>
      <c r="D31" s="8"/>
      <c r="E31" s="8"/>
      <c r="F31" s="8"/>
      <c r="G31" s="234"/>
      <c r="H31" s="231"/>
      <c r="I31" s="233"/>
      <c r="J31" s="8"/>
      <c r="K31" s="245" t="s">
        <v>34</v>
      </c>
      <c r="L31" s="236" t="s">
        <v>35</v>
      </c>
      <c r="M31" s="8"/>
      <c r="N31" s="235"/>
      <c r="O31" s="16"/>
    </row>
    <row r="32" spans="1:15" ht="4.3499999999999996" customHeight="1">
      <c r="A32" s="16"/>
      <c r="B32" s="233"/>
      <c r="C32" s="3"/>
      <c r="D32" s="8"/>
      <c r="E32" s="8"/>
      <c r="F32" s="8"/>
      <c r="G32" s="234"/>
      <c r="H32" s="231"/>
      <c r="I32" s="233"/>
      <c r="J32" s="8"/>
      <c r="K32" s="8"/>
      <c r="L32" s="8"/>
      <c r="M32" s="8"/>
      <c r="N32" s="235"/>
      <c r="O32" s="16"/>
    </row>
    <row r="33" spans="1:15" ht="16.350000000000001" customHeight="1">
      <c r="A33" s="16"/>
      <c r="B33" s="233"/>
      <c r="C33" s="3" t="s">
        <v>36</v>
      </c>
      <c r="D33" s="8"/>
      <c r="E33" s="8"/>
      <c r="F33" s="8"/>
      <c r="G33" s="234"/>
      <c r="H33" s="231"/>
      <c r="I33" s="233"/>
      <c r="J33" s="8"/>
      <c r="K33" s="8" t="b">
        <v>0</v>
      </c>
      <c r="L33" s="236" t="s">
        <v>37</v>
      </c>
      <c r="M33" s="8"/>
      <c r="N33" s="235"/>
      <c r="O33" s="16"/>
    </row>
    <row r="34" spans="1:15" ht="4.3499999999999996" customHeight="1">
      <c r="A34" s="16"/>
      <c r="B34" s="233"/>
      <c r="C34" s="3"/>
      <c r="D34" s="8"/>
      <c r="E34" s="8"/>
      <c r="F34" s="8"/>
      <c r="G34" s="234"/>
      <c r="H34" s="231"/>
      <c r="I34" s="233"/>
      <c r="J34" s="8"/>
      <c r="K34" s="8"/>
      <c r="L34" s="8"/>
      <c r="M34" s="8"/>
      <c r="N34" s="235"/>
      <c r="O34" s="16"/>
    </row>
    <row r="35" spans="1:15" ht="16.350000000000001" customHeight="1">
      <c r="A35" s="16"/>
      <c r="B35" s="233"/>
      <c r="C35" s="3" t="s">
        <v>38</v>
      </c>
      <c r="D35" s="8"/>
      <c r="E35" s="8"/>
      <c r="F35" s="8"/>
      <c r="G35" s="234"/>
      <c r="H35" s="231"/>
      <c r="I35" s="233"/>
      <c r="J35" s="8"/>
      <c r="K35" s="8"/>
      <c r="L35" s="8"/>
      <c r="M35" s="8"/>
      <c r="N35" s="235"/>
      <c r="O35" s="16"/>
    </row>
    <row r="36" spans="1:15" ht="4.3499999999999996" customHeight="1">
      <c r="A36" s="16"/>
      <c r="B36" s="233"/>
      <c r="C36" s="3"/>
      <c r="D36" s="8"/>
      <c r="E36" s="8"/>
      <c r="F36" s="8"/>
      <c r="G36" s="234"/>
      <c r="H36" s="231"/>
      <c r="I36" s="233"/>
      <c r="J36" s="8"/>
      <c r="K36" s="8"/>
      <c r="L36" s="8"/>
      <c r="M36" s="8"/>
      <c r="N36" s="235"/>
      <c r="O36" s="16"/>
    </row>
    <row r="37" spans="1:15" ht="16.350000000000001" customHeight="1">
      <c r="A37" s="16"/>
      <c r="B37" s="233"/>
      <c r="C37" s="3" t="s">
        <v>39</v>
      </c>
      <c r="D37" s="8"/>
      <c r="E37" s="8"/>
      <c r="F37" s="8"/>
      <c r="G37" s="234"/>
      <c r="H37" s="231"/>
      <c r="I37" s="233"/>
      <c r="J37" s="8"/>
      <c r="K37" s="8"/>
      <c r="L37" s="8"/>
      <c r="M37" s="8"/>
      <c r="N37" s="235"/>
      <c r="O37" s="16"/>
    </row>
    <row r="38" spans="1:15" ht="4.3499999999999996" customHeight="1">
      <c r="A38" s="16"/>
      <c r="B38" s="233"/>
      <c r="C38" s="3"/>
      <c r="D38" s="8"/>
      <c r="E38" s="8"/>
      <c r="F38" s="8"/>
      <c r="G38" s="234"/>
      <c r="H38" s="231"/>
      <c r="I38" s="233"/>
      <c r="J38" s="8"/>
      <c r="K38" s="8"/>
      <c r="L38" s="8"/>
      <c r="M38" s="8"/>
      <c r="N38" s="235"/>
      <c r="O38" s="16"/>
    </row>
    <row r="39" spans="1:15" ht="16.350000000000001" customHeight="1">
      <c r="A39" s="16"/>
      <c r="B39" s="233"/>
      <c r="C39" s="3" t="s">
        <v>40</v>
      </c>
      <c r="D39" s="8"/>
      <c r="E39" s="8"/>
      <c r="F39" s="8"/>
      <c r="G39" s="234"/>
      <c r="H39" s="231"/>
      <c r="I39" s="233"/>
      <c r="J39" s="8"/>
      <c r="K39" s="8"/>
      <c r="L39" s="236"/>
      <c r="M39" s="8"/>
      <c r="N39" s="235"/>
      <c r="O39" s="16"/>
    </row>
    <row r="40" spans="1:15" ht="4.3499999999999996" customHeight="1">
      <c r="A40" s="16"/>
      <c r="B40" s="246"/>
      <c r="C40" s="247"/>
      <c r="D40" s="247"/>
      <c r="E40" s="248"/>
      <c r="F40" s="248"/>
      <c r="G40" s="249"/>
      <c r="H40" s="231"/>
      <c r="I40" s="246"/>
      <c r="J40" s="248"/>
      <c r="K40" s="248"/>
      <c r="L40" s="248"/>
      <c r="M40" s="248"/>
      <c r="N40" s="250"/>
      <c r="O40" s="16"/>
    </row>
    <row r="41" spans="1:15">
      <c r="A41" s="16"/>
      <c r="B41" s="16"/>
      <c r="C41" s="16"/>
      <c r="D41" s="16"/>
      <c r="E41" s="16"/>
      <c r="F41" s="16"/>
      <c r="G41" s="17"/>
      <c r="H41" s="17"/>
      <c r="I41" s="16"/>
      <c r="J41" s="17"/>
      <c r="K41" s="17"/>
      <c r="L41" s="16"/>
      <c r="M41" s="16"/>
      <c r="N41" s="16"/>
      <c r="O41" s="16"/>
    </row>
    <row r="42" spans="1:15" ht="21">
      <c r="A42" s="16"/>
      <c r="B42" s="251"/>
      <c r="C42" s="252" t="s">
        <v>41</v>
      </c>
      <c r="D42" s="252"/>
      <c r="E42" s="253"/>
      <c r="F42" s="254"/>
      <c r="G42" s="254"/>
      <c r="H42" s="254"/>
      <c r="I42" s="255"/>
      <c r="J42" s="254"/>
      <c r="K42" s="253"/>
      <c r="L42" s="253"/>
      <c r="M42" s="253"/>
      <c r="N42" s="256"/>
      <c r="O42" s="16"/>
    </row>
    <row r="43" spans="1:15">
      <c r="A43" s="16"/>
      <c r="B43" s="227"/>
      <c r="C43" s="228"/>
      <c r="D43" s="257"/>
      <c r="E43" s="257"/>
      <c r="F43" s="257"/>
      <c r="G43" s="258"/>
      <c r="H43" s="258"/>
      <c r="I43" s="257"/>
      <c r="J43" s="258"/>
      <c r="K43" s="258"/>
      <c r="L43" s="257"/>
      <c r="M43" s="257"/>
      <c r="N43" s="232"/>
      <c r="O43" s="16"/>
    </row>
    <row r="44" spans="1:15" ht="18.75">
      <c r="A44" s="16"/>
      <c r="B44" s="233"/>
      <c r="C44" s="10" t="s">
        <v>42</v>
      </c>
      <c r="D44" s="3"/>
      <c r="E44" s="3"/>
      <c r="F44" s="289"/>
      <c r="G44" s="259"/>
      <c r="H44" s="259"/>
      <c r="I44" s="260"/>
      <c r="J44" s="260"/>
      <c r="K44" s="260"/>
      <c r="L44" s="3"/>
      <c r="M44" s="3"/>
      <c r="N44" s="235"/>
      <c r="O44" s="16"/>
    </row>
    <row r="45" spans="1:15" ht="8.85" customHeight="1">
      <c r="A45" s="16"/>
      <c r="B45" s="233"/>
      <c r="C45" s="3"/>
      <c r="D45" s="3"/>
      <c r="E45" s="8"/>
      <c r="F45" s="8"/>
      <c r="G45" s="259"/>
      <c r="H45" s="259"/>
      <c r="I45" s="260"/>
      <c r="J45" s="260"/>
      <c r="K45" s="260"/>
      <c r="L45" s="8"/>
      <c r="M45" s="8"/>
      <c r="N45" s="235"/>
      <c r="O45" s="16"/>
    </row>
    <row r="46" spans="1:15" ht="18.75">
      <c r="A46" s="16"/>
      <c r="B46" s="233"/>
      <c r="C46" s="10" t="s">
        <v>43</v>
      </c>
      <c r="D46" s="3"/>
      <c r="E46" s="3"/>
      <c r="F46" s="289"/>
      <c r="G46" s="259"/>
      <c r="H46" s="259"/>
      <c r="I46" s="260"/>
      <c r="J46" s="8"/>
      <c r="K46" s="260"/>
      <c r="L46" s="3"/>
      <c r="M46" s="3"/>
      <c r="N46" s="235"/>
      <c r="O46" s="16"/>
    </row>
    <row r="47" spans="1:15" ht="8.85" customHeight="1">
      <c r="A47" s="16"/>
      <c r="B47" s="233"/>
      <c r="C47" s="3"/>
      <c r="D47" s="3"/>
      <c r="E47" s="8"/>
      <c r="F47" s="8"/>
      <c r="G47" s="259"/>
      <c r="H47" s="259"/>
      <c r="I47" s="260"/>
      <c r="J47" s="260"/>
      <c r="K47" s="260"/>
      <c r="L47" s="8"/>
      <c r="M47" s="8"/>
      <c r="N47" s="235"/>
      <c r="O47" s="16"/>
    </row>
    <row r="48" spans="1:15" ht="18.75">
      <c r="A48" s="16"/>
      <c r="B48" s="233"/>
      <c r="C48" s="10" t="s">
        <v>44</v>
      </c>
      <c r="D48" s="3"/>
      <c r="E48" s="3"/>
      <c r="F48" s="289"/>
      <c r="G48" s="259"/>
      <c r="H48" s="259"/>
      <c r="I48" s="260"/>
      <c r="J48" s="8" t="s">
        <v>45</v>
      </c>
      <c r="K48" s="260"/>
      <c r="L48" s="3"/>
      <c r="M48" s="3"/>
      <c r="N48" s="235"/>
      <c r="O48" s="16"/>
    </row>
    <row r="49" spans="1:15" ht="8.85" customHeight="1">
      <c r="A49" s="16"/>
      <c r="B49" s="233"/>
      <c r="C49" s="3"/>
      <c r="D49" s="3"/>
      <c r="E49" s="8"/>
      <c r="F49" s="8"/>
      <c r="G49" s="259"/>
      <c r="H49" s="259"/>
      <c r="I49" s="260"/>
      <c r="J49" s="260"/>
      <c r="K49" s="260"/>
      <c r="L49" s="8"/>
      <c r="M49" s="8"/>
      <c r="N49" s="235"/>
      <c r="O49" s="16"/>
    </row>
    <row r="50" spans="1:15" ht="18" customHeight="1">
      <c r="A50" s="16"/>
      <c r="B50" s="233"/>
      <c r="C50" s="236" t="str">
        <f>IF(F48="Other","If Other, please describe:","")</f>
        <v/>
      </c>
      <c r="D50" s="3"/>
      <c r="E50" s="3"/>
      <c r="F50" s="511"/>
      <c r="G50" s="259"/>
      <c r="H50" s="259"/>
      <c r="I50" s="260"/>
      <c r="J50" s="8"/>
      <c r="K50" s="260"/>
      <c r="L50" s="3"/>
      <c r="M50" s="3"/>
      <c r="N50" s="235"/>
      <c r="O50" s="16"/>
    </row>
    <row r="51" spans="1:15" ht="8.85" customHeight="1">
      <c r="A51" s="16"/>
      <c r="B51" s="233"/>
      <c r="C51" s="3"/>
      <c r="D51" s="3"/>
      <c r="E51" s="8"/>
      <c r="F51" s="8"/>
      <c r="G51" s="259"/>
      <c r="H51" s="259"/>
      <c r="I51" s="260"/>
      <c r="J51" s="260"/>
      <c r="K51" s="260"/>
      <c r="L51" s="8"/>
      <c r="M51" s="8"/>
      <c r="N51" s="235"/>
      <c r="O51" s="16"/>
    </row>
    <row r="52" spans="1:15" ht="30" customHeight="1">
      <c r="A52" s="16"/>
      <c r="B52" s="233"/>
      <c r="C52" s="552" t="str">
        <f>IF(ISBLANK(Location),"",IF(INDEX(VL_TAZ!O:O,MATCH(Location,VL_TAZ!A:A,0))="Land use intensity too low for application of VMT tool","STOP! This TAZ's land use intensity is too low for this tool to apply. Please see FAQ #12 for more information.",""))</f>
        <v/>
      </c>
      <c r="D52" s="553"/>
      <c r="E52" s="553"/>
      <c r="F52" s="553"/>
      <c r="G52" s="259"/>
      <c r="H52" s="259"/>
      <c r="I52" s="3"/>
      <c r="J52" s="71"/>
      <c r="K52" s="71"/>
      <c r="L52" s="71"/>
      <c r="M52" s="71"/>
      <c r="N52" s="235"/>
      <c r="O52" s="16"/>
    </row>
    <row r="53" spans="1:15" ht="18" customHeight="1">
      <c r="A53" s="16"/>
      <c r="B53" s="233"/>
      <c r="C53" s="10" t="s">
        <v>46</v>
      </c>
      <c r="D53" s="10"/>
      <c r="E53" s="10"/>
      <c r="F53" s="186"/>
      <c r="G53" s="259"/>
      <c r="H53" s="259"/>
      <c r="I53" s="3"/>
      <c r="J53" s="541" t="s">
        <v>47</v>
      </c>
      <c r="K53" s="541"/>
      <c r="L53" s="541"/>
      <c r="M53" s="541"/>
      <c r="N53" s="235"/>
    </row>
    <row r="54" spans="1:15" ht="30" customHeight="1">
      <c r="A54" s="16"/>
      <c r="B54" s="233"/>
      <c r="C54" s="3"/>
      <c r="D54" s="3"/>
      <c r="E54" s="3"/>
      <c r="F54" s="3"/>
      <c r="G54" s="259"/>
      <c r="H54" s="259"/>
      <c r="I54" s="3"/>
      <c r="J54" s="541"/>
      <c r="K54" s="541"/>
      <c r="L54" s="541"/>
      <c r="M54" s="541"/>
      <c r="N54" s="235"/>
    </row>
    <row r="55" spans="1:15" ht="18" customHeight="1">
      <c r="A55" s="16"/>
      <c r="B55" s="233"/>
      <c r="C55" s="10" t="s">
        <v>48</v>
      </c>
      <c r="D55" s="261"/>
      <c r="E55" s="261"/>
      <c r="F55" s="242" t="str">
        <f>IF(ISBLANK(Location),"",INDEX(VL_TAZ!B:B,MATCH(Location,VL_TAZ!A:A,0)))</f>
        <v/>
      </c>
      <c r="G55" s="259"/>
      <c r="H55" s="259"/>
      <c r="I55" s="3"/>
      <c r="J55" s="551"/>
      <c r="K55" s="551"/>
      <c r="L55" s="551"/>
      <c r="M55" s="551"/>
      <c r="N55" s="235"/>
      <c r="O55" s="16"/>
    </row>
    <row r="56" spans="1:15" ht="18" customHeight="1">
      <c r="A56" s="16"/>
      <c r="B56" s="262"/>
      <c r="C56" s="263"/>
      <c r="D56" s="263"/>
      <c r="E56" s="263"/>
      <c r="F56" s="263"/>
      <c r="G56" s="263"/>
      <c r="H56" s="263"/>
      <c r="I56" s="263"/>
      <c r="J56" s="264"/>
      <c r="K56" s="264"/>
      <c r="L56" s="264"/>
      <c r="M56" s="264"/>
      <c r="N56" s="265"/>
      <c r="O56" s="16"/>
    </row>
    <row r="57" spans="1:15">
      <c r="A57" s="16"/>
      <c r="B57" s="16"/>
      <c r="C57" s="16"/>
      <c r="D57" s="16"/>
      <c r="E57" s="16"/>
      <c r="F57" s="16"/>
      <c r="G57" s="266"/>
      <c r="H57" s="266"/>
      <c r="I57" s="16"/>
      <c r="J57" s="266"/>
      <c r="K57" s="266"/>
      <c r="L57" s="16"/>
      <c r="M57" s="16"/>
      <c r="N57" s="16"/>
      <c r="O57" s="16"/>
    </row>
    <row r="58" spans="1:15" ht="21">
      <c r="A58" s="16"/>
      <c r="B58" s="216"/>
      <c r="C58" s="217" t="s">
        <v>49</v>
      </c>
      <c r="D58" s="217"/>
      <c r="E58" s="218"/>
      <c r="F58" s="219"/>
      <c r="G58" s="219"/>
      <c r="H58" s="219"/>
      <c r="I58" s="220"/>
      <c r="J58" s="219"/>
      <c r="K58" s="218"/>
      <c r="L58" s="218"/>
      <c r="M58" s="218"/>
      <c r="N58" s="221"/>
      <c r="O58" s="16"/>
    </row>
    <row r="59" spans="1:15">
      <c r="A59" s="16"/>
      <c r="B59" s="267"/>
      <c r="C59" s="4"/>
      <c r="D59" s="4"/>
      <c r="E59" s="3"/>
      <c r="F59" s="3"/>
      <c r="G59" s="260"/>
      <c r="H59" s="260"/>
      <c r="I59" s="4"/>
      <c r="J59" s="260"/>
      <c r="K59" s="260"/>
      <c r="L59" s="3"/>
      <c r="M59" s="3"/>
      <c r="N59" s="268"/>
      <c r="O59" s="16"/>
    </row>
    <row r="60" spans="1:15" s="87" customFormat="1" ht="24.95" customHeight="1">
      <c r="A60" s="60"/>
      <c r="B60" s="267"/>
      <c r="C60" s="544" t="s">
        <v>50</v>
      </c>
      <c r="D60" s="545"/>
      <c r="E60" s="545"/>
      <c r="F60" s="546"/>
      <c r="G60" s="81"/>
      <c r="H60" s="81"/>
      <c r="I60" s="4"/>
      <c r="J60" s="534" t="s">
        <v>51</v>
      </c>
      <c r="K60" s="535"/>
      <c r="L60" s="535"/>
      <c r="M60" s="536"/>
      <c r="N60" s="268"/>
      <c r="O60" s="60"/>
    </row>
    <row r="61" spans="1:15" s="87" customFormat="1" ht="35.1" customHeight="1">
      <c r="A61" s="60"/>
      <c r="B61" s="267"/>
      <c r="C61" s="547" t="s">
        <v>52</v>
      </c>
      <c r="D61" s="548"/>
      <c r="E61" s="548"/>
      <c r="F61" s="549"/>
      <c r="G61" s="81"/>
      <c r="H61" s="81"/>
      <c r="I61" s="4"/>
      <c r="J61" s="537" t="s">
        <v>53</v>
      </c>
      <c r="K61" s="538"/>
      <c r="L61" s="538"/>
      <c r="M61" s="539"/>
      <c r="N61" s="268"/>
      <c r="O61" s="60"/>
    </row>
    <row r="62" spans="1:15" s="87" customFormat="1" ht="24.95" customHeight="1">
      <c r="A62" s="60"/>
      <c r="B62" s="267"/>
      <c r="C62" s="269" t="s">
        <v>54</v>
      </c>
      <c r="D62" s="516" t="s">
        <v>55</v>
      </c>
      <c r="E62" s="530"/>
      <c r="F62" s="531"/>
      <c r="G62" s="81"/>
      <c r="H62" s="81"/>
      <c r="I62" s="4"/>
      <c r="J62" s="270" t="s">
        <v>56</v>
      </c>
      <c r="K62" s="527" t="s">
        <v>57</v>
      </c>
      <c r="L62" s="532"/>
      <c r="M62" s="533"/>
      <c r="N62" s="268"/>
      <c r="O62" s="60"/>
    </row>
    <row r="63" spans="1:15" s="87" customFormat="1" ht="24.95" customHeight="1">
      <c r="A63" s="60"/>
      <c r="B63" s="267"/>
      <c r="C63" s="271" t="s">
        <v>58</v>
      </c>
      <c r="D63" s="516" t="s">
        <v>59</v>
      </c>
      <c r="E63" s="530"/>
      <c r="F63" s="531"/>
      <c r="G63" s="81"/>
      <c r="H63" s="81"/>
      <c r="I63" s="4"/>
      <c r="J63" s="272" t="s">
        <v>60</v>
      </c>
      <c r="K63" s="516" t="s">
        <v>61</v>
      </c>
      <c r="L63" s="517"/>
      <c r="M63" s="518"/>
      <c r="N63" s="268"/>
      <c r="O63" s="60"/>
    </row>
    <row r="64" spans="1:15" s="87" customFormat="1" ht="24.95" customHeight="1">
      <c r="A64" s="60"/>
      <c r="B64" s="267"/>
      <c r="C64" s="271" t="s">
        <v>62</v>
      </c>
      <c r="D64" s="516" t="s">
        <v>63</v>
      </c>
      <c r="E64" s="530"/>
      <c r="F64" s="531"/>
      <c r="G64" s="73"/>
      <c r="H64" s="73"/>
      <c r="I64" s="4"/>
      <c r="J64" s="272" t="s">
        <v>64</v>
      </c>
      <c r="K64" s="516" t="s">
        <v>65</v>
      </c>
      <c r="L64" s="517"/>
      <c r="M64" s="518"/>
      <c r="N64" s="268"/>
      <c r="O64" s="60"/>
    </row>
    <row r="65" spans="1:15" s="87" customFormat="1" ht="24.95" customHeight="1">
      <c r="A65" s="60"/>
      <c r="B65" s="267"/>
      <c r="C65" s="271" t="s">
        <v>66</v>
      </c>
      <c r="D65" s="516" t="s">
        <v>67</v>
      </c>
      <c r="E65" s="530"/>
      <c r="F65" s="531"/>
      <c r="G65" s="73"/>
      <c r="H65" s="73"/>
      <c r="I65" s="4"/>
      <c r="J65" s="272" t="s">
        <v>68</v>
      </c>
      <c r="K65" s="516" t="s">
        <v>69</v>
      </c>
      <c r="L65" s="517"/>
      <c r="M65" s="518"/>
      <c r="N65" s="268"/>
      <c r="O65" s="60"/>
    </row>
    <row r="66" spans="1:15" s="87" customFormat="1" ht="24.95" customHeight="1">
      <c r="A66" s="60"/>
      <c r="B66" s="267"/>
      <c r="C66" s="271" t="s">
        <v>70</v>
      </c>
      <c r="D66" s="516" t="s">
        <v>71</v>
      </c>
      <c r="E66" s="530"/>
      <c r="F66" s="531"/>
      <c r="G66" s="73"/>
      <c r="H66" s="73"/>
      <c r="I66" s="4"/>
      <c r="J66" s="272" t="s">
        <v>72</v>
      </c>
      <c r="K66" s="516" t="s">
        <v>73</v>
      </c>
      <c r="L66" s="517"/>
      <c r="M66" s="518"/>
      <c r="N66" s="268"/>
      <c r="O66" s="60"/>
    </row>
    <row r="67" spans="1:15" s="87" customFormat="1" ht="24.95" customHeight="1">
      <c r="A67" s="60"/>
      <c r="B67" s="267"/>
      <c r="C67" s="271" t="s">
        <v>74</v>
      </c>
      <c r="D67" s="516" t="s">
        <v>75</v>
      </c>
      <c r="E67" s="530"/>
      <c r="F67" s="531"/>
      <c r="G67" s="73"/>
      <c r="H67" s="73"/>
      <c r="I67" s="4"/>
      <c r="J67" s="272" t="s">
        <v>76</v>
      </c>
      <c r="K67" s="516" t="s">
        <v>77</v>
      </c>
      <c r="L67" s="517"/>
      <c r="M67" s="518"/>
      <c r="N67" s="268"/>
      <c r="O67" s="60"/>
    </row>
    <row r="68" spans="1:15" ht="24.95" customHeight="1">
      <c r="A68" s="16"/>
      <c r="B68" s="233"/>
      <c r="C68" s="273" t="s">
        <v>78</v>
      </c>
      <c r="D68" s="519" t="s">
        <v>79</v>
      </c>
      <c r="E68" s="560"/>
      <c r="F68" s="561"/>
      <c r="G68" s="260"/>
      <c r="H68" s="260"/>
      <c r="I68" s="3"/>
      <c r="J68" s="272" t="s">
        <v>80</v>
      </c>
      <c r="K68" s="516" t="s">
        <v>81</v>
      </c>
      <c r="L68" s="517"/>
      <c r="M68" s="518"/>
      <c r="N68" s="235"/>
      <c r="O68" s="16"/>
    </row>
    <row r="69" spans="1:15" ht="24.95" customHeight="1">
      <c r="A69" s="16"/>
      <c r="B69" s="233"/>
      <c r="C69" s="3"/>
      <c r="D69" s="3"/>
      <c r="E69" s="10"/>
      <c r="F69" s="3"/>
      <c r="G69" s="260"/>
      <c r="H69" s="260"/>
      <c r="I69" s="3"/>
      <c r="J69" s="274" t="s">
        <v>82</v>
      </c>
      <c r="K69" s="519" t="s">
        <v>83</v>
      </c>
      <c r="L69" s="520"/>
      <c r="M69" s="521"/>
      <c r="N69" s="235"/>
      <c r="O69" s="16"/>
    </row>
    <row r="70" spans="1:15" ht="24.95" customHeight="1">
      <c r="A70" s="16"/>
      <c r="B70" s="233"/>
      <c r="C70" s="554" t="s">
        <v>84</v>
      </c>
      <c r="D70" s="555"/>
      <c r="E70" s="555"/>
      <c r="F70" s="556"/>
      <c r="G70" s="260"/>
      <c r="H70" s="260"/>
      <c r="I70" s="3"/>
      <c r="J70" s="260"/>
      <c r="K70" s="260"/>
      <c r="L70" s="260"/>
      <c r="M70" s="260"/>
      <c r="N70" s="235"/>
      <c r="O70" s="16"/>
    </row>
    <row r="71" spans="1:15" s="87" customFormat="1" ht="35.1" customHeight="1">
      <c r="A71" s="60"/>
      <c r="B71" s="267"/>
      <c r="C71" s="557" t="s">
        <v>85</v>
      </c>
      <c r="D71" s="558"/>
      <c r="E71" s="558"/>
      <c r="F71" s="559"/>
      <c r="G71" s="73"/>
      <c r="H71" s="73"/>
      <c r="I71" s="4"/>
      <c r="J71" s="260"/>
      <c r="K71" s="260"/>
      <c r="L71" s="260"/>
      <c r="M71" s="260"/>
      <c r="N71" s="268"/>
      <c r="O71" s="60"/>
    </row>
    <row r="72" spans="1:15" s="87" customFormat="1" ht="24.95" customHeight="1">
      <c r="A72" s="60"/>
      <c r="B72" s="267"/>
      <c r="C72" s="275" t="s">
        <v>86</v>
      </c>
      <c r="D72" s="527" t="s">
        <v>87</v>
      </c>
      <c r="E72" s="528"/>
      <c r="F72" s="529"/>
      <c r="G72" s="73"/>
      <c r="H72" s="73"/>
      <c r="I72" s="4"/>
      <c r="J72" s="525" t="s">
        <v>88</v>
      </c>
      <c r="K72" s="525"/>
      <c r="L72" s="525"/>
      <c r="M72" s="525"/>
      <c r="N72" s="268"/>
      <c r="O72" s="60"/>
    </row>
    <row r="73" spans="1:15" s="87" customFormat="1" ht="24.95" customHeight="1">
      <c r="A73" s="60"/>
      <c r="B73" s="267"/>
      <c r="C73" s="276" t="s">
        <v>89</v>
      </c>
      <c r="D73" s="516" t="s">
        <v>90</v>
      </c>
      <c r="E73" s="530"/>
      <c r="F73" s="531"/>
      <c r="G73" s="73"/>
      <c r="H73" s="73"/>
      <c r="I73" s="4"/>
      <c r="J73" s="526" t="s">
        <v>91</v>
      </c>
      <c r="K73" s="526"/>
      <c r="L73" s="526"/>
      <c r="M73" s="526"/>
      <c r="N73" s="268"/>
      <c r="O73" s="60"/>
    </row>
    <row r="74" spans="1:15" ht="24.95" customHeight="1">
      <c r="A74" s="16"/>
      <c r="B74" s="233"/>
      <c r="C74" s="276" t="s">
        <v>92</v>
      </c>
      <c r="D74" s="516" t="s">
        <v>93</v>
      </c>
      <c r="E74" s="530"/>
      <c r="F74" s="531"/>
      <c r="G74" s="260"/>
      <c r="H74" s="260"/>
      <c r="I74" s="3"/>
      <c r="J74" s="277" t="s">
        <v>94</v>
      </c>
      <c r="K74" s="516" t="s">
        <v>95</v>
      </c>
      <c r="L74" s="517"/>
      <c r="M74" s="518"/>
      <c r="N74" s="235"/>
      <c r="O74" s="16"/>
    </row>
    <row r="75" spans="1:15" ht="24.95" customHeight="1">
      <c r="A75" s="16"/>
      <c r="B75" s="233"/>
      <c r="C75" s="278" t="s">
        <v>96</v>
      </c>
      <c r="D75" s="519" t="s">
        <v>97</v>
      </c>
      <c r="E75" s="560"/>
      <c r="F75" s="561"/>
      <c r="G75" s="260"/>
      <c r="H75" s="260"/>
      <c r="I75" s="3"/>
      <c r="J75" s="279" t="s">
        <v>98</v>
      </c>
      <c r="K75" s="516" t="s">
        <v>99</v>
      </c>
      <c r="L75" s="517"/>
      <c r="M75" s="518"/>
      <c r="N75" s="235"/>
      <c r="O75" s="16"/>
    </row>
    <row r="76" spans="1:15" s="87" customFormat="1" ht="24.95" customHeight="1">
      <c r="A76" s="60"/>
      <c r="B76" s="267"/>
      <c r="C76" s="3"/>
      <c r="D76" s="3"/>
      <c r="E76" s="3"/>
      <c r="F76" s="3"/>
      <c r="G76" s="73"/>
      <c r="H76" s="73"/>
      <c r="I76" s="4"/>
      <c r="J76" s="279" t="s">
        <v>100</v>
      </c>
      <c r="K76" s="516" t="s">
        <v>101</v>
      </c>
      <c r="L76" s="517"/>
      <c r="M76" s="518"/>
      <c r="N76" s="268"/>
      <c r="O76" s="60"/>
    </row>
    <row r="77" spans="1:15" s="87" customFormat="1" ht="24.95" customHeight="1">
      <c r="A77" s="60"/>
      <c r="B77" s="267"/>
      <c r="C77" s="562" t="s">
        <v>102</v>
      </c>
      <c r="D77" s="563"/>
      <c r="E77" s="563"/>
      <c r="F77" s="564"/>
      <c r="G77" s="73"/>
      <c r="H77" s="73"/>
      <c r="I77" s="4"/>
      <c r="J77" s="279" t="s">
        <v>103</v>
      </c>
      <c r="K77" s="516" t="s">
        <v>104</v>
      </c>
      <c r="L77" s="517"/>
      <c r="M77" s="518"/>
      <c r="N77" s="268"/>
      <c r="O77" s="60"/>
    </row>
    <row r="78" spans="1:15" ht="24.95" customHeight="1">
      <c r="A78" s="16"/>
      <c r="B78" s="233"/>
      <c r="C78" s="565" t="s">
        <v>105</v>
      </c>
      <c r="D78" s="566"/>
      <c r="E78" s="566"/>
      <c r="F78" s="567"/>
      <c r="G78" s="73"/>
      <c r="H78" s="73"/>
      <c r="I78" s="4"/>
      <c r="J78" s="280" t="s">
        <v>106</v>
      </c>
      <c r="K78" s="519" t="s">
        <v>107</v>
      </c>
      <c r="L78" s="520"/>
      <c r="M78" s="521"/>
      <c r="N78" s="268"/>
      <c r="O78" s="16"/>
    </row>
    <row r="79" spans="1:15" ht="24.95" customHeight="1">
      <c r="A79" s="16"/>
      <c r="B79" s="233"/>
      <c r="C79" s="281" t="s">
        <v>108</v>
      </c>
      <c r="D79" s="516" t="s">
        <v>109</v>
      </c>
      <c r="E79" s="530"/>
      <c r="F79" s="531"/>
      <c r="G79" s="73"/>
      <c r="H79" s="73"/>
      <c r="I79" s="4"/>
      <c r="J79" s="282"/>
      <c r="K79" s="282"/>
      <c r="L79" s="283"/>
      <c r="M79" s="71"/>
      <c r="N79" s="268"/>
      <c r="O79" s="16"/>
    </row>
    <row r="80" spans="1:15" ht="24.95" customHeight="1">
      <c r="A80" s="16"/>
      <c r="B80" s="267"/>
      <c r="C80" s="284" t="s">
        <v>110</v>
      </c>
      <c r="D80" s="516" t="s">
        <v>111</v>
      </c>
      <c r="E80" s="517"/>
      <c r="F80" s="518"/>
      <c r="G80" s="73"/>
      <c r="H80" s="73"/>
      <c r="I80" s="4"/>
      <c r="J80" s="522" t="s">
        <v>112</v>
      </c>
      <c r="K80" s="523"/>
      <c r="L80" s="523"/>
      <c r="M80" s="524"/>
      <c r="N80" s="268"/>
      <c r="O80" s="16"/>
    </row>
    <row r="81" spans="1:15" ht="24.95" customHeight="1">
      <c r="A81" s="16"/>
      <c r="B81" s="267"/>
      <c r="C81" s="284" t="s">
        <v>113</v>
      </c>
      <c r="D81" s="516" t="s">
        <v>114</v>
      </c>
      <c r="E81" s="530"/>
      <c r="F81" s="531"/>
      <c r="G81" s="73"/>
      <c r="H81" s="73"/>
      <c r="I81" s="4"/>
      <c r="J81" s="282"/>
      <c r="K81" s="282"/>
      <c r="L81" s="283"/>
      <c r="M81" s="71"/>
      <c r="N81" s="268"/>
      <c r="O81" s="16"/>
    </row>
    <row r="82" spans="1:15" ht="24.95" customHeight="1">
      <c r="A82" s="16"/>
      <c r="B82" s="267"/>
      <c r="C82" s="284" t="s">
        <v>115</v>
      </c>
      <c r="D82" s="501" t="s">
        <v>116</v>
      </c>
      <c r="E82" s="505"/>
      <c r="F82" s="506"/>
      <c r="G82" s="73"/>
      <c r="H82" s="73"/>
      <c r="I82" s="4"/>
      <c r="J82" s="282"/>
      <c r="K82" s="282"/>
      <c r="L82" s="283"/>
      <c r="M82" s="71"/>
      <c r="N82" s="268"/>
      <c r="O82" s="16"/>
    </row>
    <row r="83" spans="1:15" ht="24.95" customHeight="1">
      <c r="A83" s="16"/>
      <c r="B83" s="267"/>
      <c r="C83" s="285" t="s">
        <v>117</v>
      </c>
      <c r="D83" s="502" t="s">
        <v>118</v>
      </c>
      <c r="E83" s="507"/>
      <c r="F83" s="508"/>
      <c r="G83" s="73"/>
      <c r="H83" s="73"/>
      <c r="I83" s="4"/>
      <c r="J83" s="282"/>
      <c r="K83" s="282"/>
      <c r="L83" s="283"/>
      <c r="M83" s="71"/>
      <c r="N83" s="268"/>
      <c r="O83" s="16"/>
    </row>
    <row r="84" spans="1:15" ht="15" customHeight="1">
      <c r="A84" s="16"/>
      <c r="B84" s="286"/>
      <c r="C84" s="287"/>
      <c r="D84" s="287"/>
      <c r="E84" s="247"/>
      <c r="F84" s="247"/>
      <c r="G84" s="263"/>
      <c r="H84" s="263"/>
      <c r="I84" s="287"/>
      <c r="J84" s="263"/>
      <c r="K84" s="263"/>
      <c r="L84" s="247"/>
      <c r="M84" s="247"/>
      <c r="N84" s="288"/>
      <c r="O84" s="16"/>
    </row>
    <row r="85" spans="1:15">
      <c r="A85" s="16"/>
      <c r="B85" s="16"/>
      <c r="C85" s="16"/>
      <c r="D85" s="16"/>
      <c r="E85" s="16"/>
      <c r="F85" s="16"/>
      <c r="G85" s="16"/>
      <c r="H85" s="16"/>
      <c r="I85" s="16"/>
      <c r="J85" s="16"/>
      <c r="K85" s="16"/>
      <c r="L85" s="16"/>
      <c r="M85" s="16"/>
      <c r="N85" s="16"/>
      <c r="O85" s="16"/>
    </row>
    <row r="86" spans="1:15">
      <c r="A86" s="16"/>
      <c r="B86" s="16"/>
      <c r="C86" s="16"/>
      <c r="D86" s="16"/>
      <c r="E86" s="16"/>
      <c r="F86" s="16"/>
      <c r="G86" s="16"/>
      <c r="H86" s="16"/>
      <c r="I86" s="16"/>
      <c r="J86" s="16"/>
      <c r="K86" s="16"/>
      <c r="L86" s="16"/>
      <c r="M86" s="16"/>
      <c r="N86" s="16"/>
      <c r="O86" s="16"/>
    </row>
    <row r="87" spans="1:15">
      <c r="A87" s="16"/>
      <c r="B87" s="16"/>
      <c r="C87" s="16"/>
      <c r="D87" s="16"/>
      <c r="E87" s="16"/>
      <c r="F87" s="16"/>
      <c r="G87" s="16"/>
      <c r="H87" s="16"/>
      <c r="I87" s="16"/>
      <c r="J87" s="16"/>
      <c r="K87" s="16"/>
      <c r="L87" s="16"/>
      <c r="M87" s="16"/>
      <c r="N87" s="16"/>
      <c r="O87" s="16"/>
    </row>
    <row r="88" spans="1:15">
      <c r="A88" s="16"/>
      <c r="B88" s="16"/>
      <c r="C88" s="16"/>
      <c r="D88" s="16"/>
      <c r="E88" s="16"/>
      <c r="F88" s="16"/>
      <c r="G88" s="16"/>
      <c r="H88" s="16"/>
      <c r="I88" s="16"/>
      <c r="J88" s="16"/>
      <c r="K88" s="16"/>
      <c r="L88" s="16"/>
      <c r="M88" s="16"/>
      <c r="N88" s="16"/>
      <c r="O88" s="16"/>
    </row>
    <row r="89" spans="1:15">
      <c r="A89" s="16"/>
      <c r="B89" s="16"/>
      <c r="C89" s="16"/>
      <c r="D89" s="16"/>
      <c r="E89" s="16"/>
      <c r="F89" s="16"/>
      <c r="G89" s="16"/>
      <c r="H89" s="16"/>
      <c r="I89" s="16"/>
      <c r="J89" s="16"/>
      <c r="K89" s="16"/>
      <c r="L89" s="16"/>
      <c r="M89" s="16"/>
      <c r="N89" s="16"/>
      <c r="O89" s="16"/>
    </row>
    <row r="90" spans="1:15">
      <c r="A90" s="16"/>
      <c r="B90" s="16"/>
      <c r="C90" s="16"/>
      <c r="D90" s="16"/>
      <c r="E90" s="16"/>
      <c r="F90" s="16"/>
      <c r="G90" s="16"/>
      <c r="H90" s="16"/>
      <c r="I90" s="16"/>
      <c r="J90" s="16"/>
      <c r="K90" s="16"/>
      <c r="L90" s="16"/>
      <c r="M90" s="16"/>
      <c r="N90" s="16"/>
      <c r="O90" s="16"/>
    </row>
    <row r="91" spans="1:15">
      <c r="A91" s="16"/>
      <c r="B91" s="16"/>
      <c r="C91" s="16"/>
      <c r="D91" s="16"/>
      <c r="E91" s="16"/>
      <c r="F91" s="16"/>
      <c r="G91" s="16"/>
      <c r="H91" s="16"/>
      <c r="I91" s="16"/>
      <c r="J91" s="16"/>
      <c r="K91" s="16"/>
      <c r="L91" s="16"/>
      <c r="M91" s="16"/>
      <c r="N91" s="16"/>
      <c r="O91" s="16"/>
    </row>
    <row r="92" spans="1:15">
      <c r="A92" s="16"/>
      <c r="B92" s="16"/>
      <c r="C92" s="16"/>
      <c r="D92" s="16"/>
      <c r="E92" s="16"/>
      <c r="F92" s="16"/>
      <c r="G92" s="16"/>
      <c r="H92" s="16"/>
      <c r="I92" s="16"/>
      <c r="J92" s="16"/>
      <c r="K92" s="16"/>
      <c r="L92" s="16"/>
      <c r="M92" s="16"/>
      <c r="N92" s="16"/>
      <c r="O92" s="16"/>
    </row>
    <row r="93" spans="1:15">
      <c r="A93" s="16"/>
      <c r="B93" s="16"/>
      <c r="C93" s="16"/>
      <c r="D93" s="16"/>
      <c r="E93" s="16"/>
      <c r="F93" s="16"/>
      <c r="G93" s="16"/>
      <c r="H93" s="16"/>
      <c r="I93" s="16"/>
      <c r="J93" s="16"/>
      <c r="K93" s="16"/>
      <c r="L93" s="16"/>
      <c r="M93" s="16"/>
      <c r="N93" s="16"/>
      <c r="O93" s="16"/>
    </row>
    <row r="94" spans="1:15">
      <c r="A94" s="16"/>
      <c r="B94" s="16"/>
      <c r="C94" s="16"/>
      <c r="D94" s="16"/>
      <c r="E94" s="16"/>
      <c r="F94" s="16"/>
      <c r="G94" s="16"/>
      <c r="H94" s="16"/>
      <c r="I94" s="16"/>
      <c r="J94" s="16"/>
      <c r="K94" s="16"/>
      <c r="N94" s="16"/>
    </row>
  </sheetData>
  <sheetProtection algorithmName="SHA-512" hashValue="qDkYd2zR9gCM6Jy9DPbQPqVjYZK0jjGA2iFJHSqyYa6m5FGSN592m8YnJGzge3ZuzE4psuq7xqQ/1L98s9b92g==" saltValue="DurqiMoj+gKtl54NjgefbQ==" spinCount="100000" sheet="1" objects="1" scenarios="1" selectLockedCells="1"/>
  <sortState xmlns:xlrd2="http://schemas.microsoft.com/office/spreadsheetml/2017/richdata2" ref="F48">
    <sortCondition descending="1" ref="F48"/>
  </sortState>
  <dataConsolidate/>
  <mergeCells count="44">
    <mergeCell ref="C77:F77"/>
    <mergeCell ref="C78:F78"/>
    <mergeCell ref="D75:F75"/>
    <mergeCell ref="D79:F79"/>
    <mergeCell ref="D81:F81"/>
    <mergeCell ref="D80:F80"/>
    <mergeCell ref="C70:F70"/>
    <mergeCell ref="C71:F71"/>
    <mergeCell ref="D64:F64"/>
    <mergeCell ref="D65:F65"/>
    <mergeCell ref="D67:F67"/>
    <mergeCell ref="D66:F66"/>
    <mergeCell ref="D68:F68"/>
    <mergeCell ref="D63:F63"/>
    <mergeCell ref="J60:M60"/>
    <mergeCell ref="J61:M61"/>
    <mergeCell ref="D62:F62"/>
    <mergeCell ref="C5:M5"/>
    <mergeCell ref="J53:M54"/>
    <mergeCell ref="J9:M11"/>
    <mergeCell ref="C60:F60"/>
    <mergeCell ref="C61:F61"/>
    <mergeCell ref="C6:M6"/>
    <mergeCell ref="J55:M55"/>
    <mergeCell ref="C52:F52"/>
    <mergeCell ref="K69:M69"/>
    <mergeCell ref="K62:M62"/>
    <mergeCell ref="K63:M63"/>
    <mergeCell ref="K64:M64"/>
    <mergeCell ref="K65:M65"/>
    <mergeCell ref="K66:M66"/>
    <mergeCell ref="K67:M67"/>
    <mergeCell ref="K68:M68"/>
    <mergeCell ref="J72:M72"/>
    <mergeCell ref="J73:M73"/>
    <mergeCell ref="D72:F72"/>
    <mergeCell ref="D73:F73"/>
    <mergeCell ref="D74:F74"/>
    <mergeCell ref="K74:M74"/>
    <mergeCell ref="K75:M75"/>
    <mergeCell ref="K76:M76"/>
    <mergeCell ref="K77:M77"/>
    <mergeCell ref="K78:M78"/>
    <mergeCell ref="J80:M80"/>
  </mergeCells>
  <conditionalFormatting sqref="C62:C68">
    <cfRule type="expression" dxfId="99" priority="45">
      <formula>ScaleOfAnalysisIsCommunity</formula>
    </cfRule>
  </conditionalFormatting>
  <conditionalFormatting sqref="C72:C75">
    <cfRule type="expression" dxfId="98" priority="40">
      <formula>ScaleOfAnalysisIsCommunity</formula>
    </cfRule>
  </conditionalFormatting>
  <conditionalFormatting sqref="C79:C83">
    <cfRule type="expression" dxfId="97" priority="5">
      <formula>ScaleOfAnalysisIsCommunity</formula>
    </cfRule>
  </conditionalFormatting>
  <conditionalFormatting sqref="C60:F61 C70:C71 C77:C78">
    <cfRule type="expression" dxfId="96" priority="73">
      <formula>ScaleOfAnalysisIsCommunity</formula>
    </cfRule>
  </conditionalFormatting>
  <conditionalFormatting sqref="D62:D68">
    <cfRule type="expression" dxfId="95" priority="22">
      <formula>ScaleOfAnalysisIsCommunity</formula>
    </cfRule>
  </conditionalFormatting>
  <conditionalFormatting sqref="D72:D75">
    <cfRule type="expression" dxfId="94" priority="25">
      <formula>ScaleOfAnalysisIsCommunity</formula>
    </cfRule>
  </conditionalFormatting>
  <conditionalFormatting sqref="D79:D82">
    <cfRule type="expression" dxfId="93" priority="7">
      <formula>ScaleOfAnalysisIsCommunity</formula>
    </cfRule>
  </conditionalFormatting>
  <conditionalFormatting sqref="F50">
    <cfRule type="expression" dxfId="92" priority="48">
      <formula>$F$48&lt;&gt;"Other"</formula>
    </cfRule>
  </conditionalFormatting>
  <conditionalFormatting sqref="J62:J69">
    <cfRule type="expression" dxfId="91" priority="10">
      <formula>ScaleOfAnalysisIsProject</formula>
    </cfRule>
  </conditionalFormatting>
  <conditionalFormatting sqref="J72:J78">
    <cfRule type="expression" dxfId="90" priority="74">
      <formula>ScaleOfAnalysisIsProject</formula>
    </cfRule>
  </conditionalFormatting>
  <conditionalFormatting sqref="J73">
    <cfRule type="expression" dxfId="89" priority="37">
      <formula>ScaleOfAnalysisIsProject</formula>
    </cfRule>
  </conditionalFormatting>
  <conditionalFormatting sqref="J80">
    <cfRule type="expression" dxfId="88" priority="1">
      <formula>ScaleOfAnalysisIsProject</formula>
    </cfRule>
  </conditionalFormatting>
  <conditionalFormatting sqref="J60:M61">
    <cfRule type="expression" dxfId="87" priority="76">
      <formula>ScaleOfAnalysisIsProject</formula>
    </cfRule>
  </conditionalFormatting>
  <conditionalFormatting sqref="J70:M72">
    <cfRule type="expression" dxfId="86" priority="8">
      <formula>ScaleOfAnalysisIsProject</formula>
    </cfRule>
  </conditionalFormatting>
  <conditionalFormatting sqref="K62:M69">
    <cfRule type="expression" dxfId="85" priority="3">
      <formula>ScaleOfAnalysisIsProject</formula>
    </cfRule>
  </conditionalFormatting>
  <conditionalFormatting sqref="K72:M72 D83:F83">
    <cfRule type="expression" dxfId="84" priority="80">
      <formula>ScaleOfAnalysisIsProject</formula>
    </cfRule>
  </conditionalFormatting>
  <conditionalFormatting sqref="K74:M78">
    <cfRule type="expression" dxfId="83" priority="16">
      <formula>ScaleOfAnalysisIsProject</formula>
    </cfRule>
  </conditionalFormatting>
  <hyperlinks>
    <hyperlink ref="D64" location="Change_in_VMT_1C_Carpool" display="Employer carpool program" xr:uid="{00000000-0004-0000-0000-000002000000}"/>
    <hyperlink ref="D65" location="Change_in_VMT_1D_Transit_Subsidy" display="Employer transit subsidy" xr:uid="{00000000-0004-0000-0000-000003000000}"/>
    <hyperlink ref="D68" location="Change_in_VMT_1F_Telecommute" display="Employer telecommute program" xr:uid="{00000000-0004-0000-0000-000004000000}"/>
    <hyperlink ref="D67" location="Change_in_VMT_1E_Vanpool" display="Employer vanpool program" xr:uid="{00000000-0004-0000-0000-000005000000}"/>
    <hyperlink ref="D62" location="Change_In_VMT_1A_VCTR_Program" display="Employer voluntary commute trip reduction program" xr:uid="{00000000-0004-0000-0000-000006000000}"/>
    <hyperlink ref="D63" location="Change_In_VMT_1B_CTR_Program" display="Employer mandatory commute trip reduction program" xr:uid="{00000000-0004-0000-0000-000007000000}"/>
    <hyperlink ref="K62" location="Change_in_VMT_4A_Street_Connect" display="Street connectivity" xr:uid="{00000000-0004-0000-0000-000008000000}"/>
    <hyperlink ref="K66" location="Change_in_VMT_4E_Bikeshare" display="Bikeshare program expansion" xr:uid="{00000000-0004-0000-0000-000009000000}"/>
    <hyperlink ref="K67" location="Change_in_VMT_4F_Carshare" display="Carshare program expansion" xr:uid="{00000000-0004-0000-0000-00000A000000}"/>
    <hyperlink ref="K68" location="Change_in_VMT_4G_CBTP" display="Community-based travel planning" xr:uid="{00000000-0004-0000-0000-00000B000000}"/>
    <hyperlink ref="K63" location="Change_in_VMT_4B_Sidewalks" display="Sidewalk coverage improvement" xr:uid="{00000000-0004-0000-0000-00000C000000}"/>
    <hyperlink ref="K64" location="Change_in_VMT_4C_Bike_Networks" display="Bikeway network expansion" xr:uid="{00000000-0004-0000-0000-00000D000000}"/>
    <hyperlink ref="K65" location="Change_in_VMT_4D_Bike_Project" display="Bike lane addition" xr:uid="{00000000-0004-0000-0000-00000E000000}"/>
    <hyperlink ref="D79" location="Change_in_VMT_3A_Parking_Price" display="Parking pricing" xr:uid="{00000000-0004-0000-0000-000010000000}"/>
    <hyperlink ref="D81" location="Change_in_VMT_3B_Parking_Cashout" display="Parking cash-out program" xr:uid="{00000000-0004-0000-0000-000011000000}"/>
    <hyperlink ref="D72" location="Change_in_VMT_2A_TOD" display="Transit-oriented development" xr:uid="{00000000-0004-0000-0000-000018000000}"/>
    <hyperlink ref="D62:F62" location="'1A VCTR program'!A1" display="Voluntary Employer Commute Program" xr:uid="{00000000-0004-0000-0000-00001E000000}"/>
    <hyperlink ref="D63:F63" location="'1B CTR program'!A1" display="Mandatory Employer Commute Program" xr:uid="{00000000-0004-0000-0000-00001F000000}"/>
    <hyperlink ref="D64:F64" location="'1C carpool'!A1" display="Employer Carpool Program" xr:uid="{00000000-0004-0000-0000-000020000000}"/>
    <hyperlink ref="D65:F65" location="'1D1 transit subsidy (employees)'!A1" display="Implement Subsidized or Discounted Transit Program (for Employees)" xr:uid="{00000000-0004-0000-0000-000021000000}"/>
    <hyperlink ref="D67:F67" location="'1E vanpool'!A1" display="Employer Vanpool Program" xr:uid="{00000000-0004-0000-0000-000022000000}"/>
    <hyperlink ref="D68:F68" location="'1F telecommute'!A1" display="Employer Telework Program" xr:uid="{00000000-0004-0000-0000-000023000000}"/>
    <hyperlink ref="K62:M62" location="'4A street connect'!A1" display="Street Connectivity Improvement" xr:uid="{00000000-0004-0000-0000-000026000000}"/>
    <hyperlink ref="K63:M63" location="'4B sidewalks'!A1" display="Pedestrian Facility Improvement" xr:uid="{00000000-0004-0000-0000-000027000000}"/>
    <hyperlink ref="K64:M64" location="'4C bike network'!A1" display="Bikeway Network Expansion" xr:uid="{00000000-0004-0000-0000-000028000000}"/>
    <hyperlink ref="K65:M65" location="'4D bike project'!A1" display="Bike Facility Improvement" xr:uid="{00000000-0004-0000-0000-000029000000}"/>
    <hyperlink ref="K66:M66" location="'4E bikeshare'!A1" display="Bikeshare" xr:uid="{00000000-0004-0000-0000-00002A000000}"/>
    <hyperlink ref="K67:M67" location="'4F carshare'!A1" display="Carshare" xr:uid="{00000000-0004-0000-0000-00002B000000}"/>
    <hyperlink ref="K68:M68" location="'4G CBTP'!A1" display="Community-Based Travel Planning" xr:uid="{00000000-0004-0000-0000-00002C000000}"/>
    <hyperlink ref="C6:M6" r:id="rId1" display="For more information, visit https://www.alamedactc.org/planning/congestion-management-program/ ." xr:uid="{5D902CA6-A9E6-4430-B691-9042A639AFAC}"/>
    <hyperlink ref="D66" location="Change_in_VMT_1D_Transit_Subsidy" display="Employer transit subsidy" xr:uid="{28660894-5576-4414-BFD6-AF35AB155EE6}"/>
    <hyperlink ref="D66:F66" location="'1D2 transit subsidy (residents)'!A1" display="Implement Subsidized or Discounted Transit Program (for Residents)" xr:uid="{CD19A2A6-AE42-4473-B016-D297F5448748}"/>
    <hyperlink ref="D82" location="'3C limit parking'!A1" display="Limit Parking Supply" xr:uid="{55EB7C2A-9FED-4A05-8D99-990DE98B2A22}"/>
    <hyperlink ref="D73" location="'2B1 Inc Res Dens'!A1" display="Increase Residential Density" xr:uid="{3C3E4CF3-C3CE-4701-95C4-C675A0835DB2}"/>
    <hyperlink ref="D74" location="'2B2 Inc Emp Dens'!A1" display="Increase Employment Density" xr:uid="{8100458C-10B9-4D5D-90CB-B2A3B240F524}"/>
    <hyperlink ref="D75" location="'2C affordable housing'!A1" display="Integrate Affordable and Below Market Rate Housing" xr:uid="{8B588856-99D5-4911-A045-FF16DD1A7A72}"/>
    <hyperlink ref="K74:M74" location="Change_in_VMT_5A_T_Network_Exp" display="Transit Service Expansion" xr:uid="{0BC35CA4-E7E6-456D-8145-BF4E3F322FB9}"/>
    <hyperlink ref="K75:M75" location="Change_in_VMT_5B_T_Freq" display="Transit Frequency Improvements" xr:uid="{FA4A0C36-2965-4592-B3DA-10FC3B15543B}"/>
    <hyperlink ref="K76:M76" location="Change_in_VMT_5C_T_treatments" display="Transit-Supportive Treatments" xr:uid="{93FAF79C-BF46-4FF7-8782-EED1283A1994}"/>
    <hyperlink ref="K77:M77" location="Change_in_VMT_5D_Fare_Reduction" display="Transit Fare Reduction" xr:uid="{BE14A180-7B19-4C02-938C-A22E26E7657D}"/>
    <hyperlink ref="K78:M78" location="Change_in_VMT_5E_Microtransit" display="Microtransit NEV Shuttle" xr:uid="{7ECD5411-2516-434E-9AF9-FDD023BF65D8}"/>
    <hyperlink ref="D83" location="Change_in_VMT_4G_CBTP" display="Community-based travel planning" xr:uid="{23A424FA-2E6A-47D5-82D7-6EFF028EF8AB}"/>
    <hyperlink ref="D83:F83" location="'3D bike parking'!A1" display="Provide Bike Parking" xr:uid="{922C6312-9B65-4BCB-A206-A6C19120BD2C}"/>
    <hyperlink ref="D80" location="Change_in_VMT_3A_Parking_Price" display="Parking pricing" xr:uid="{49960576-0BD1-4EB9-819B-B21390D52109}"/>
    <hyperlink ref="D80:F80" location="'3A2 price res parking'!A1" display="Unbundle Parking Costs from Property Cost" xr:uid="{56A40167-4087-4D71-8B9A-8825DE7A935C}"/>
    <hyperlink ref="K69:M69" location="'4H traffic calming'!A1" display="Provide Neighborhood Traffic Calming Measures" xr:uid="{040AF833-A868-4559-A2BE-4F33692EA8C9}"/>
    <hyperlink ref="J80:M80" location="Results!A1" display="Go to Results" xr:uid="{2EF1789A-F454-423E-87DE-13B7272F2A98}"/>
    <hyperlink ref="J53:M54" r:id="rId2" display="Determine analysis location TAZ # (between 2079 and 3823) using Alameda County's online VMT Mapping Tool. Click on the project location to open a pop-up window. If the parcels layer is enabled, click on the right arrow at the top of the pop-up to show the TAZ number." xr:uid="{00000000-0004-0000-0000-000016000000}"/>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040" r:id="rId6" name="Check Box 16">
              <controlPr defaultSize="0" autoFill="0" autoLine="0" autoPict="0" altText="Exclude From Results Summary">
                <anchor moveWithCells="1">
                  <from>
                    <xdr:col>10</xdr:col>
                    <xdr:colOff>0</xdr:colOff>
                    <xdr:row>32</xdr:row>
                    <xdr:rowOff>0</xdr:rowOff>
                  </from>
                  <to>
                    <xdr:col>11</xdr:col>
                    <xdr:colOff>9525</xdr:colOff>
                    <xdr:row>33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ErrorMessage="1" error="Select value from drop-down list_x000a_" xr:uid="{00000000-0002-0000-0000-000001000000}">
          <x14:formula1>
            <xm:f>VL_REF!$BV$11:$BV$17</xm:f>
          </x14:formula1>
          <xm:sqref>F48</xm:sqref>
        </x14:dataValidation>
        <x14:dataValidation type="list" allowBlank="1" showDropDown="1" showErrorMessage="1" error="Please enter a TAZ number between 2079 and 3823" xr:uid="{00000000-0002-0000-0000-000002000000}">
          <x14:formula1>
            <xm:f>VL_TAZ!$A$11:$A$1755</xm:f>
          </x14:formula1>
          <xm:sqref>F53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rgb="FFCC00CC"/>
  </sheetPr>
  <dimension ref="A1:R29"/>
  <sheetViews>
    <sheetView showGridLines="0" showRowColHeaders="0" topLeftCell="A11" zoomScale="140" zoomScaleNormal="140" workbookViewId="0">
      <selection activeCell="F12" sqref="F12"/>
    </sheetView>
  </sheetViews>
  <sheetFormatPr defaultColWidth="0" defaultRowHeight="14.45" customHeight="1" zeroHeight="1"/>
  <cols>
    <col min="1" max="1" width="4.42578125" customWidth="1"/>
    <col min="2" max="2" width="8.85546875" customWidth="1"/>
    <col min="3" max="3" width="20" customWidth="1"/>
    <col min="4" max="4" width="42.85546875" customWidth="1"/>
    <col min="5" max="5" width="5.42578125" customWidth="1"/>
    <col min="6" max="6" width="10.5703125" customWidth="1"/>
    <col min="7" max="7" width="5.5703125" style="1" customWidth="1"/>
    <col min="8" max="8" width="21.42578125" customWidth="1"/>
    <col min="9" max="9" width="20.42578125" customWidth="1"/>
    <col min="10" max="10" width="8.85546875" customWidth="1"/>
    <col min="11" max="11" width="4.5703125" customWidth="1"/>
    <col min="12" max="13" width="43.140625" hidden="1" customWidth="1"/>
    <col min="14" max="16384" width="8.85546875" hidden="1"/>
  </cols>
  <sheetData>
    <row r="1" spans="1:18" ht="18.75" hidden="1">
      <c r="A1" s="60"/>
      <c r="B1" s="598"/>
      <c r="C1" s="598"/>
      <c r="D1" s="598"/>
      <c r="E1" s="598"/>
      <c r="F1" s="598"/>
      <c r="G1" s="598"/>
      <c r="H1" s="598"/>
      <c r="I1" s="598"/>
      <c r="J1" s="200"/>
      <c r="K1" s="60"/>
    </row>
    <row r="2" spans="1:18" ht="18.75" hidden="1">
      <c r="A2" s="60"/>
      <c r="B2" s="598">
        <v>2</v>
      </c>
      <c r="C2" s="598"/>
      <c r="D2" s="598"/>
      <c r="E2" s="598"/>
      <c r="F2" s="598"/>
      <c r="G2" s="598"/>
      <c r="H2" s="598"/>
      <c r="I2" s="598"/>
      <c r="J2" s="200"/>
      <c r="K2" s="60"/>
    </row>
    <row r="3" spans="1:18" ht="18.75">
      <c r="A3" s="60"/>
      <c r="B3" s="201"/>
      <c r="C3" s="62"/>
      <c r="D3" s="62"/>
      <c r="E3" s="62"/>
      <c r="F3" s="62"/>
      <c r="G3" s="63"/>
      <c r="H3" s="62"/>
      <c r="I3" s="62"/>
      <c r="J3" s="60"/>
      <c r="K3" s="60"/>
    </row>
    <row r="4" spans="1:18" ht="21.6" customHeight="1">
      <c r="A4" s="22" t="s">
        <v>54</v>
      </c>
      <c r="B4" s="599" t="str">
        <f>A4&amp;". "&amp;INDEX(VL_TDM!$E$11:$E$41,MATCH($A$4,VL_TDM!$B$11:$B$41,0),1)</f>
        <v>1A. Voluntary Employer Commute Program</v>
      </c>
      <c r="C4" s="600"/>
      <c r="D4" s="600"/>
      <c r="E4" s="600"/>
      <c r="F4" s="600"/>
      <c r="G4" s="600"/>
      <c r="H4" s="600"/>
      <c r="I4" s="600"/>
      <c r="J4" s="601"/>
      <c r="K4" s="16"/>
      <c r="R4" s="202"/>
    </row>
    <row r="5" spans="1:18" ht="15" customHeight="1">
      <c r="A5" s="16"/>
      <c r="B5" s="65"/>
      <c r="C5" s="71"/>
      <c r="D5" s="71"/>
      <c r="E5" s="71"/>
      <c r="F5" s="71"/>
      <c r="G5" s="71"/>
      <c r="H5" s="73"/>
      <c r="I5" s="73"/>
      <c r="J5" s="64"/>
      <c r="K5" s="16"/>
    </row>
    <row r="6" spans="1:18" ht="15" customHeight="1">
      <c r="A6" s="61"/>
      <c r="B6" s="65"/>
      <c r="C6" s="81" t="s">
        <v>723</v>
      </c>
      <c r="D6" s="82" t="str">
        <f>INDEX(VL_TDM!$AC$11:$AC$41,MATCH($A$4,VL_TDM!$B$11:$B$41,0),1)</f>
        <v>Project/Site</v>
      </c>
      <c r="E6" s="82"/>
      <c r="F6" s="83"/>
      <c r="G6" s="83"/>
      <c r="H6" s="83"/>
      <c r="I6" s="497" t="s">
        <v>120</v>
      </c>
      <c r="J6" s="64"/>
      <c r="K6" s="16"/>
    </row>
    <row r="7" spans="1:18" ht="15" customHeight="1">
      <c r="A7" s="61"/>
      <c r="B7" s="65"/>
      <c r="C7" s="81" t="s">
        <v>724</v>
      </c>
      <c r="D7" s="85" t="str">
        <f>INDEX(VL_TDM!$AD$11:$AD$41,MATCH($A$4,VL_TDM!$B$11:$B$41,0),1)</f>
        <v>Employee commute trips</v>
      </c>
      <c r="E7" s="85"/>
      <c r="F7" s="81"/>
      <c r="G7" s="82"/>
      <c r="H7" s="83"/>
      <c r="I7" s="497" t="s">
        <v>153</v>
      </c>
      <c r="J7" s="64"/>
      <c r="K7" s="16"/>
    </row>
    <row r="8" spans="1:18" ht="15" customHeight="1">
      <c r="A8" s="16"/>
      <c r="B8" s="65"/>
      <c r="C8" s="81" t="s">
        <v>725</v>
      </c>
      <c r="D8" s="86">
        <f>INDEX(VL_TDM!$AE$11:$AE$41,MATCH($A$4,VL_TDM!$B$11:$B$41,0),1)</f>
        <v>0.04</v>
      </c>
      <c r="E8" s="86"/>
      <c r="F8" s="71"/>
      <c r="G8" s="71"/>
      <c r="H8" s="73"/>
      <c r="I8" s="73"/>
      <c r="J8" s="64"/>
      <c r="K8" s="16"/>
    </row>
    <row r="9" spans="1:18" ht="15" customHeight="1">
      <c r="A9" s="61"/>
      <c r="B9" s="65"/>
      <c r="C9" s="85"/>
      <c r="D9" s="85"/>
      <c r="E9" s="85"/>
      <c r="F9" s="71"/>
      <c r="G9" s="73"/>
      <c r="H9" s="71"/>
      <c r="I9" s="71"/>
      <c r="J9" s="64"/>
      <c r="K9" s="16"/>
    </row>
    <row r="10" spans="1:18" ht="260.10000000000002" customHeight="1">
      <c r="A10" s="61"/>
      <c r="B10" s="65"/>
      <c r="C10" s="602" t="str">
        <f>INDEX(VL_TDM!$AF$11:$AF$41,MATCH($A$4,VL_TDM!$B$11:$B$41,0),1)</f>
        <v>This strategy will implement a voluntary commute trip reduction (CTR) program with employers. CTR programs discourage single-occupancy vehicle trips and encourage alternative modes of transportation such as carpooling, taking transit, walking, and biking, thereby reducing VMT and GHG emissions. Voluntary CTR programs do not include mandatory trip reduction requirements or monitoring and reporting. The CTR program must include all the following to apply the effectiveness reported by the literature: 
• Carpooling encouragement. 
• Ride-matching assistance. 
• Preferential carpool parking. 
• Flexible work schedules for carpools. 
• Half-time transportation coordinator. 
• Vanpool assistance. 
• Bicycle end-trip facilities (parking, showers, and lockers). 
Other elements may also be included as part of a voluntary CTR program, though they are not included in the VMT reduction estimation reported by the literature and thus are not incorporated in the estimated VMT reductions for this strategy. This program typically serves as a complement to the more effective workplace CTR strategies such as pricing parking (Strategy 3A1) or implementing employee parking “cash-out” (Strategy 3B).</v>
      </c>
      <c r="D10" s="594"/>
      <c r="E10" s="594"/>
      <c r="F10" s="594"/>
      <c r="G10" s="594"/>
      <c r="H10" s="594"/>
      <c r="I10" s="594"/>
      <c r="J10" s="64"/>
      <c r="K10" s="16"/>
    </row>
    <row r="11" spans="1:18" ht="15" customHeight="1">
      <c r="A11" s="61"/>
      <c r="B11" s="65"/>
      <c r="C11" s="71"/>
      <c r="D11" s="71"/>
      <c r="E11" s="71"/>
      <c r="F11" s="71"/>
      <c r="G11" s="73"/>
      <c r="H11" s="71"/>
      <c r="I11" s="71"/>
      <c r="J11" s="64"/>
      <c r="K11" s="16"/>
    </row>
    <row r="12" spans="1:18" ht="15" customHeight="1">
      <c r="A12" s="61"/>
      <c r="B12" s="65"/>
      <c r="C12" s="76" t="s">
        <v>726</v>
      </c>
      <c r="D12" s="203"/>
      <c r="E12" s="203"/>
      <c r="F12" s="38"/>
      <c r="G12" s="203"/>
      <c r="H12" s="204" t="s">
        <v>727</v>
      </c>
      <c r="I12" s="205"/>
      <c r="J12" s="64"/>
      <c r="K12" s="16"/>
    </row>
    <row r="13" spans="1:18" ht="15" customHeight="1">
      <c r="A13" s="61"/>
      <c r="B13" s="65"/>
      <c r="C13" s="76" t="s">
        <v>728</v>
      </c>
      <c r="D13" s="203"/>
      <c r="E13" s="203"/>
      <c r="F13" s="203"/>
      <c r="G13" s="203"/>
      <c r="H13" s="595" t="str">
        <f>IF(F12="yes","Program not voluntary. Use 1B, Mandatory Employer Commute Trip Reduction Program.","")</f>
        <v/>
      </c>
      <c r="I13" s="595"/>
      <c r="J13" s="64"/>
      <c r="K13" s="16"/>
    </row>
    <row r="14" spans="1:18" ht="15" customHeight="1">
      <c r="A14" s="61"/>
      <c r="B14" s="65"/>
      <c r="C14" s="76" t="s">
        <v>729</v>
      </c>
      <c r="D14" s="203"/>
      <c r="E14" s="203"/>
      <c r="F14" s="203"/>
      <c r="G14" s="203"/>
      <c r="H14" s="595"/>
      <c r="I14" s="595"/>
      <c r="J14" s="64"/>
      <c r="K14" s="16"/>
    </row>
    <row r="15" spans="1:18" ht="15" customHeight="1">
      <c r="A15" s="61"/>
      <c r="B15" s="65"/>
      <c r="C15" s="76"/>
      <c r="D15" s="203"/>
      <c r="E15" s="203"/>
      <c r="F15" s="203"/>
      <c r="G15" s="203"/>
      <c r="H15" s="595" t="str">
        <f>IF(AND(F12&lt;&gt;"",'1B CTR program'!E12&lt;&gt;"",'1B CTR program'!E12&lt;&gt;F12),"User input mismatches input for same question on strategy 1B page. Reconcile.","")</f>
        <v/>
      </c>
      <c r="I15" s="595"/>
      <c r="J15" s="64"/>
      <c r="K15" s="16"/>
    </row>
    <row r="16" spans="1:18" ht="15" customHeight="1">
      <c r="A16" s="61"/>
      <c r="B16" s="65"/>
      <c r="C16" s="76"/>
      <c r="D16" s="203"/>
      <c r="E16" s="203"/>
      <c r="F16" s="203"/>
      <c r="G16" s="203"/>
      <c r="H16" s="595"/>
      <c r="I16" s="595"/>
      <c r="J16" s="64"/>
      <c r="K16" s="16"/>
    </row>
    <row r="17" spans="1:11" ht="7.35" customHeight="1">
      <c r="A17" s="61"/>
      <c r="B17" s="65"/>
      <c r="C17" s="206"/>
      <c r="D17" s="81"/>
      <c r="E17" s="81"/>
      <c r="F17" s="71"/>
      <c r="G17" s="73"/>
      <c r="H17" s="205"/>
      <c r="I17" s="205"/>
      <c r="J17" s="64"/>
      <c r="K17" s="16"/>
    </row>
    <row r="18" spans="1:11" ht="15" customHeight="1">
      <c r="A18" s="61"/>
      <c r="B18" s="65"/>
      <c r="C18" s="76" t="s">
        <v>247</v>
      </c>
      <c r="D18" s="203"/>
      <c r="E18" s="203"/>
      <c r="F18" s="53"/>
      <c r="G18" s="73"/>
      <c r="H18" s="207" t="s">
        <v>17</v>
      </c>
      <c r="I18" s="204"/>
      <c r="J18" s="64"/>
      <c r="K18" s="16"/>
    </row>
    <row r="19" spans="1:11" ht="7.35" customHeight="1">
      <c r="A19" s="61"/>
      <c r="B19" s="65"/>
      <c r="C19" s="77"/>
      <c r="D19" s="81"/>
      <c r="E19" s="81"/>
      <c r="F19" s="71"/>
      <c r="G19" s="73"/>
      <c r="H19" s="205"/>
      <c r="I19" s="205"/>
      <c r="J19" s="64"/>
      <c r="K19" s="16"/>
    </row>
    <row r="20" spans="1:11" ht="15" customHeight="1">
      <c r="A20" s="61"/>
      <c r="B20" s="65"/>
      <c r="C20" s="76" t="s">
        <v>730</v>
      </c>
      <c r="D20" s="203"/>
      <c r="E20" s="203"/>
      <c r="F20" s="208">
        <v>-0.04</v>
      </c>
      <c r="G20" s="73"/>
      <c r="H20" s="80" t="s">
        <v>731</v>
      </c>
      <c r="I20" s="80"/>
      <c r="J20" s="64"/>
      <c r="K20" s="16"/>
    </row>
    <row r="21" spans="1:11" ht="7.35" customHeight="1">
      <c r="A21" s="61"/>
      <c r="B21" s="65"/>
      <c r="C21" s="206"/>
      <c r="D21" s="81"/>
      <c r="E21" s="81"/>
      <c r="F21" s="71"/>
      <c r="G21" s="73"/>
      <c r="H21" s="205"/>
      <c r="I21" s="205"/>
      <c r="J21" s="64"/>
      <c r="K21" s="16"/>
    </row>
    <row r="22" spans="1:11" ht="15" customHeight="1">
      <c r="A22" s="61"/>
      <c r="B22" s="65"/>
      <c r="C22" s="76" t="s">
        <v>147</v>
      </c>
      <c r="D22" s="203"/>
      <c r="E22" s="203"/>
      <c r="F22" s="98" t="str">
        <f>IF(F12="no",IF(NOT(ISBLANK(F18)),IFERROR(MAX(-D8,F18*F20),""),""),"")</f>
        <v/>
      </c>
      <c r="G22" s="209"/>
      <c r="H22" s="213" t="b">
        <v>0</v>
      </c>
      <c r="I22" s="204" t="str">
        <f>IF(OR(H22=TRUE,F22=""),"Not Active","Active")</f>
        <v>Not Active</v>
      </c>
      <c r="J22" s="64"/>
      <c r="K22" s="16"/>
    </row>
    <row r="23" spans="1:11" ht="15" customHeight="1">
      <c r="A23" s="61"/>
      <c r="B23" s="65"/>
      <c r="C23" s="71"/>
      <c r="D23" s="71"/>
      <c r="E23" s="71"/>
      <c r="F23" s="71"/>
      <c r="G23" s="73"/>
      <c r="H23" s="71"/>
      <c r="I23" s="71"/>
      <c r="J23" s="64"/>
      <c r="K23" s="16"/>
    </row>
    <row r="24" spans="1:11" ht="17.850000000000001" customHeight="1">
      <c r="A24" s="61"/>
      <c r="B24" s="65"/>
      <c r="C24" s="603" t="str">
        <f>"Formula:  % Change in VMT = " &amp; SUBSTITUTE(" " &amp; C18 &amp; " * " &amp; C20 &amp; " "," used for calculation","")</f>
        <v xml:space="preserve">Formula:  % Change in VMT =  % of employees eligible * % reduction in commute VMT </v>
      </c>
      <c r="D24" s="604"/>
      <c r="E24" s="604"/>
      <c r="F24" s="605"/>
      <c r="G24" s="605"/>
      <c r="H24" s="605"/>
      <c r="I24" s="606"/>
      <c r="J24" s="64"/>
      <c r="K24" s="16"/>
    </row>
    <row r="25" spans="1:11" ht="15" customHeight="1">
      <c r="A25" s="61"/>
      <c r="B25" s="65"/>
      <c r="C25" s="71"/>
      <c r="D25" s="71"/>
      <c r="E25" s="71"/>
      <c r="F25" s="71"/>
      <c r="G25" s="73"/>
      <c r="H25" s="71"/>
      <c r="I25" s="71"/>
      <c r="J25" s="64"/>
      <c r="K25" s="16"/>
    </row>
    <row r="26" spans="1:11" ht="15" customHeight="1">
      <c r="A26" s="61"/>
      <c r="B26" s="65"/>
      <c r="C26" s="81" t="s">
        <v>732</v>
      </c>
      <c r="D26" s="81"/>
      <c r="E26" s="81"/>
      <c r="F26" s="81"/>
      <c r="G26" s="81"/>
      <c r="H26" s="81"/>
      <c r="I26" s="81"/>
      <c r="J26" s="64"/>
      <c r="K26" s="16"/>
    </row>
    <row r="27" spans="1:11" ht="75" customHeight="1">
      <c r="A27" s="61"/>
      <c r="B27" s="65"/>
      <c r="C27" s="596" t="str">
        <f>INDEX(VL_TDM!$AG$11:$AG$41,MATCH($A$4,VL_TDM!$B$11:$B$41,0),1)</f>
        <v>(1) Boarnet, M., Hsu, H., Handy, S. 2014. Impacts of Employer-Based Trip Reduction Programs and Vanpools on Passenger Vehicle Use and Greenhouse Gas Emissions. September. Available: https://ww2.arb.ca.gov/sites/default/files/2020-06/Impacts_of_Employer- Based_Trip_Reduction_Programs_and_Vanpools_on_Passenger_Vehicle_Use_and_Greenhouse_Ga s_Emissions_Policy_Brief.pdf. Accessed: January 2021.</v>
      </c>
      <c r="D27" s="597"/>
      <c r="E27" s="597"/>
      <c r="F27" s="597"/>
      <c r="G27" s="597"/>
      <c r="H27" s="597"/>
      <c r="I27" s="597"/>
      <c r="J27" s="64"/>
      <c r="K27" s="16"/>
    </row>
    <row r="28" spans="1:11" ht="15" customHeight="1">
      <c r="A28" s="61"/>
      <c r="B28" s="15"/>
      <c r="C28" s="211"/>
      <c r="D28" s="211"/>
      <c r="E28" s="211"/>
      <c r="F28" s="212"/>
      <c r="G28" s="212"/>
      <c r="H28" s="212"/>
      <c r="I28" s="212"/>
      <c r="J28" s="13"/>
      <c r="K28" s="16"/>
    </row>
    <row r="29" spans="1:11" ht="22.35" customHeight="1">
      <c r="A29" s="16"/>
      <c r="B29" s="16"/>
      <c r="C29" s="16"/>
      <c r="D29" s="16"/>
      <c r="E29" s="16"/>
      <c r="F29" s="16"/>
      <c r="G29" s="17"/>
      <c r="H29" s="16"/>
      <c r="I29" s="16"/>
      <c r="J29" s="16"/>
      <c r="K29" s="16"/>
    </row>
  </sheetData>
  <sheetProtection algorithmName="SHA-512" hashValue="Fruk1Mz+gXbbn3oBr75zVJKJ7tBfNM6QNvPxUN3Z4AioHu5Q5wWmg8cOwQRqEjGjSNBQQKX1Cg1IybL6HibN1w==" saltValue="eE44nIkhLtQBdeuR/Mq7Ww==" spinCount="100000" sheet="1" objects="1" scenarios="1" selectLockedCells="1"/>
  <mergeCells count="8">
    <mergeCell ref="H13:I14"/>
    <mergeCell ref="C27:I27"/>
    <mergeCell ref="B2:I2"/>
    <mergeCell ref="B1:I1"/>
    <mergeCell ref="B4:J4"/>
    <mergeCell ref="C10:I10"/>
    <mergeCell ref="C24:I24"/>
    <mergeCell ref="H15:I16"/>
  </mergeCells>
  <conditionalFormatting sqref="F22">
    <cfRule type="expression" dxfId="59" priority="10">
      <formula>-ROUND($D$8,3)=ROUND($F$22,3)</formula>
    </cfRule>
    <cfRule type="expression" dxfId="58" priority="13">
      <formula>AND(F22&lt;&gt;"",F22&gt;0)</formula>
    </cfRule>
  </conditionalFormatting>
  <conditionalFormatting sqref="H13:I14">
    <cfRule type="expression" dxfId="57" priority="1">
      <formula>ScaleOfAnalysisIsCommunity</formula>
    </cfRule>
  </conditionalFormatting>
  <dataValidations count="1">
    <dataValidation type="decimal" allowBlank="1" showErrorMessage="1" errorTitle="Restriction" error="Value must be between 0% and 100%_x000a_" promptTitle="Restriction" prompt="Value must be between 0% and 100%_x000a_" sqref="F18" xr:uid="{00000000-0002-0000-0400-000000000000}">
      <formula1>0</formula1>
      <formula2>1</formula2>
    </dataValidation>
  </dataValidations>
  <hyperlinks>
    <hyperlink ref="I7" location="Results!A1" display="Results Summary" xr:uid="{76A65C37-4E8C-4CF2-BBE1-3DB2217370CB}"/>
    <hyperlink ref="I6" location="Main!E65" display="Return to Main É" xr:uid="{AEB17D05-FFF7-4CB3-A8D2-5D4F92AFD1D8}"/>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Check Box 1">
              <controlPr defaultSize="0" autoFill="0" autoLine="0" autoPict="0" altText="Exclude From Results Summary">
                <anchor moveWithCells="1">
                  <from>
                    <xdr:col>6</xdr:col>
                    <xdr:colOff>352425</xdr:colOff>
                    <xdr:row>20</xdr:row>
                    <xdr:rowOff>76200</xdr:rowOff>
                  </from>
                  <to>
                    <xdr:col>8</xdr:col>
                    <xdr:colOff>0</xdr:colOff>
                    <xdr:row>22</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error="Select value from drop-down list" promptTitle="Option" prompt="Choose the unit for which you will report density in the input cell below." xr:uid="{00000000-0002-0000-0400-000001000000}">
          <x14:formula1>
            <xm:f>VL_REF!$CB$11:$CB$13</xm:f>
          </x14:formula1>
          <xm:sqref>F12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00CC"/>
  </sheetPr>
  <dimension ref="A1:Q31"/>
  <sheetViews>
    <sheetView showGridLines="0" showRowColHeaders="0" topLeftCell="A3" zoomScaleNormal="100" workbookViewId="0">
      <selection activeCell="E12" sqref="E12"/>
    </sheetView>
  </sheetViews>
  <sheetFormatPr defaultColWidth="0" defaultRowHeight="15" zeroHeight="1"/>
  <cols>
    <col min="1" max="1" width="4.42578125" customWidth="1"/>
    <col min="2" max="2" width="8.85546875" customWidth="1"/>
    <col min="3" max="3" width="20" customWidth="1"/>
    <col min="4" max="4" width="47.5703125" customWidth="1"/>
    <col min="5" max="5" width="10.5703125" customWidth="1"/>
    <col min="6" max="6" width="5.5703125" style="1" customWidth="1"/>
    <col min="7" max="7" width="21.42578125" customWidth="1"/>
    <col min="8" max="8" width="20.140625" customWidth="1"/>
    <col min="9" max="9" width="8.85546875" customWidth="1"/>
    <col min="10" max="10" width="4.5703125" customWidth="1"/>
    <col min="11" max="12" width="32.5703125" hidden="1" customWidth="1"/>
    <col min="13" max="16384" width="8.85546875" hidden="1"/>
  </cols>
  <sheetData>
    <row r="1" spans="1:17" ht="18.75" hidden="1">
      <c r="A1" s="16"/>
      <c r="B1" s="598"/>
      <c r="C1" s="598"/>
      <c r="D1" s="598"/>
      <c r="E1" s="598"/>
      <c r="F1" s="598"/>
      <c r="G1" s="598"/>
      <c r="H1" s="598"/>
      <c r="I1" s="200"/>
      <c r="J1" s="16"/>
    </row>
    <row r="2" spans="1:17" ht="18.75" hidden="1">
      <c r="A2" s="16"/>
      <c r="B2" s="598"/>
      <c r="C2" s="598"/>
      <c r="D2" s="598"/>
      <c r="E2" s="598"/>
      <c r="F2" s="598"/>
      <c r="G2" s="598"/>
      <c r="H2" s="598"/>
      <c r="I2" s="200"/>
      <c r="J2" s="16"/>
    </row>
    <row r="3" spans="1:17" ht="18.75">
      <c r="A3" s="16"/>
      <c r="B3" s="360"/>
      <c r="C3" s="30"/>
      <c r="D3" s="30"/>
      <c r="E3" s="30"/>
      <c r="F3" s="31"/>
      <c r="G3" s="30"/>
      <c r="H3" s="30"/>
      <c r="I3" s="16"/>
      <c r="J3" s="16"/>
    </row>
    <row r="4" spans="1:17" ht="21.6" customHeight="1">
      <c r="A4" s="22" t="s">
        <v>58</v>
      </c>
      <c r="B4" s="599" t="str">
        <f>A4&amp;". "&amp;INDEX(VL_TDM!$E$11:$E$41,MATCH($A$4,VL_TDM!$B$11:$B$41,0),1)</f>
        <v>1B. Mandatory Employer Commute Program</v>
      </c>
      <c r="C4" s="600"/>
      <c r="D4" s="600"/>
      <c r="E4" s="600"/>
      <c r="F4" s="600"/>
      <c r="G4" s="600"/>
      <c r="H4" s="600"/>
      <c r="I4" s="601"/>
      <c r="J4" s="16"/>
      <c r="Q4" s="202"/>
    </row>
    <row r="5" spans="1:17" ht="15" customHeight="1">
      <c r="A5" s="16"/>
      <c r="B5" s="11"/>
      <c r="C5" s="3"/>
      <c r="D5" s="3"/>
      <c r="E5" s="3"/>
      <c r="F5" s="3"/>
      <c r="G5" s="4"/>
      <c r="H5" s="3"/>
      <c r="I5" s="5"/>
      <c r="J5" s="16"/>
    </row>
    <row r="6" spans="1:17" ht="15" customHeight="1">
      <c r="A6" s="61"/>
      <c r="B6" s="11"/>
      <c r="C6" s="8" t="s">
        <v>723</v>
      </c>
      <c r="D6" s="10" t="str">
        <f>INDEX(VL_TDM!$AC$11:$AC$41,MATCH($A$4,VL_TDM!$B$11:$B$41,0),1)</f>
        <v>Project/Site</v>
      </c>
      <c r="E6" s="361"/>
      <c r="F6" s="361"/>
      <c r="G6" s="361"/>
      <c r="H6" s="497" t="s">
        <v>120</v>
      </c>
      <c r="I6" s="5"/>
      <c r="J6" s="16"/>
    </row>
    <row r="7" spans="1:17" ht="15" customHeight="1">
      <c r="A7" s="61"/>
      <c r="B7" s="11"/>
      <c r="C7" s="8" t="s">
        <v>724</v>
      </c>
      <c r="D7" s="362" t="str">
        <f>INDEX(VL_TDM!$AD$11:$AD$41,MATCH($A$4,VL_TDM!$B$11:$B$41,0),1)</f>
        <v>Employee commute trips</v>
      </c>
      <c r="E7" s="8"/>
      <c r="F7" s="10"/>
      <c r="G7" s="361"/>
      <c r="H7" s="497" t="s">
        <v>153</v>
      </c>
      <c r="I7" s="5"/>
      <c r="J7" s="16"/>
    </row>
    <row r="8" spans="1:17" ht="15" customHeight="1">
      <c r="A8" s="16"/>
      <c r="B8" s="11"/>
      <c r="C8" s="8" t="s">
        <v>725</v>
      </c>
      <c r="D8" s="37">
        <f>INDEX(VL_TDM!$AE$11:$AE$41,MATCH($A$4,VL_TDM!$B$11:$B$41,0),1)</f>
        <v>0.26</v>
      </c>
      <c r="E8" s="3"/>
      <c r="F8" s="3"/>
      <c r="G8" s="4"/>
      <c r="H8" s="3"/>
      <c r="I8" s="5"/>
      <c r="J8" s="16"/>
    </row>
    <row r="9" spans="1:17" ht="15" customHeight="1">
      <c r="A9" s="61"/>
      <c r="B9" s="11"/>
      <c r="C9" s="362"/>
      <c r="D9" s="362"/>
      <c r="E9" s="3"/>
      <c r="F9" s="4"/>
      <c r="G9" s="3"/>
      <c r="H9" s="3"/>
      <c r="I9" s="5"/>
      <c r="J9" s="16"/>
    </row>
    <row r="10" spans="1:17" ht="150" customHeight="1">
      <c r="A10" s="61"/>
      <c r="B10" s="11"/>
      <c r="C10" s="602" t="str">
        <f>INDEX(VL_TDM!$AF$11:$AF$41,MATCH($A$4,VL_TDM!$B$11:$B$41,0),1)</f>
        <v>This strategy will implement a mandatory commute trip reduction (CTR) program with employers. CTR programs discourage single-occupancy vehicle trips and encourage alternative modes of transportation such as carpooling, taking transit, walking, and biking, thereby reducing VMT and GHG emissions. Mandatory CTR programs include mandatory trip reduction requirements (including penalties for non-compliance) and regular monitoring and reporting.
The mandatory CTR program will include all other elements described for the voluntary program (Strategy 1A). This strategy is most effective when paired with a transportation demand management or CTR ordinance. This program typically serves as a complement to the more effective workplace CTR strategies, such as pricing parking (Strategy 3A1) or implementing employee parking “cash-out” (Strategy 3B).</v>
      </c>
      <c r="D10" s="594"/>
      <c r="E10" s="594"/>
      <c r="F10" s="594"/>
      <c r="G10" s="594"/>
      <c r="H10" s="594"/>
      <c r="I10" s="5"/>
      <c r="J10" s="16"/>
    </row>
    <row r="11" spans="1:17" ht="15" customHeight="1">
      <c r="A11" s="61"/>
      <c r="B11" s="11"/>
      <c r="C11" s="3"/>
      <c r="D11" s="3"/>
      <c r="E11" s="3"/>
      <c r="F11" s="4"/>
      <c r="G11" s="3"/>
      <c r="H11" s="3"/>
      <c r="I11" s="5"/>
      <c r="J11" s="16"/>
    </row>
    <row r="12" spans="1:17" ht="15" customHeight="1">
      <c r="A12" s="61"/>
      <c r="B12" s="11"/>
      <c r="C12" s="6" t="s">
        <v>726</v>
      </c>
      <c r="D12" s="6"/>
      <c r="E12" s="24"/>
      <c r="F12" s="6"/>
      <c r="G12" s="683" t="s">
        <v>727</v>
      </c>
      <c r="H12" s="683"/>
      <c r="I12" s="5"/>
      <c r="J12" s="16"/>
    </row>
    <row r="13" spans="1:17" ht="15" customHeight="1">
      <c r="A13" s="61"/>
      <c r="B13" s="11"/>
      <c r="C13" s="6" t="s">
        <v>728</v>
      </c>
      <c r="D13" s="6"/>
      <c r="E13" s="6"/>
      <c r="F13" s="6"/>
      <c r="G13" s="595" t="str">
        <f>IF(E12="no", "Program not mandatory. Use 1A, Voluntary Employer Commute Trip Reduction Program.", "")</f>
        <v/>
      </c>
      <c r="H13" s="595"/>
      <c r="I13" s="5"/>
      <c r="J13" s="16"/>
    </row>
    <row r="14" spans="1:17" ht="15" customHeight="1">
      <c r="A14" s="61"/>
      <c r="B14" s="11"/>
      <c r="C14" s="6" t="s">
        <v>729</v>
      </c>
      <c r="D14" s="6"/>
      <c r="E14" s="6"/>
      <c r="F14" s="6"/>
      <c r="G14" s="595"/>
      <c r="H14" s="595"/>
      <c r="I14" s="5"/>
      <c r="J14" s="16"/>
    </row>
    <row r="15" spans="1:17" ht="15" customHeight="1">
      <c r="A15" s="61"/>
      <c r="B15" s="11"/>
      <c r="C15" s="6"/>
      <c r="D15" s="6"/>
      <c r="E15" s="6"/>
      <c r="F15" s="6"/>
      <c r="G15" s="608" t="str">
        <f>IF(AND(E12&lt;&gt;"",'1A VCTR program'!F12&lt;&gt;"",'1A VCTR program'!F12&lt;&gt;E12),"User input mismatches input for same question on strategy 1A page. Reconcile.","")</f>
        <v/>
      </c>
      <c r="H15" s="595"/>
      <c r="I15" s="5"/>
      <c r="J15" s="16"/>
    </row>
    <row r="16" spans="1:17" ht="15" customHeight="1">
      <c r="A16" s="61"/>
      <c r="B16" s="11"/>
      <c r="C16" s="6"/>
      <c r="D16" s="6"/>
      <c r="E16" s="6"/>
      <c r="F16" s="6"/>
      <c r="G16" s="595"/>
      <c r="H16" s="595"/>
      <c r="I16" s="5"/>
      <c r="J16" s="16"/>
    </row>
    <row r="17" spans="1:10" ht="7.35" customHeight="1">
      <c r="A17" s="61"/>
      <c r="B17" s="11"/>
      <c r="C17" s="7"/>
      <c r="D17" s="7"/>
      <c r="E17" s="3"/>
      <c r="F17" s="4"/>
      <c r="G17" s="9"/>
      <c r="H17" s="9"/>
      <c r="I17" s="5"/>
      <c r="J17" s="16"/>
    </row>
    <row r="18" spans="1:10" ht="15" customHeight="1">
      <c r="A18" s="61"/>
      <c r="B18" s="11"/>
      <c r="C18" s="6" t="s">
        <v>247</v>
      </c>
      <c r="D18" s="6"/>
      <c r="E18" s="55"/>
      <c r="F18" s="4"/>
      <c r="G18" s="28" t="s">
        <v>17</v>
      </c>
      <c r="H18" s="363"/>
      <c r="I18" s="5"/>
      <c r="J18" s="16"/>
    </row>
    <row r="19" spans="1:10" ht="7.35" customHeight="1">
      <c r="A19" s="61"/>
      <c r="B19" s="11"/>
      <c r="C19" s="7"/>
      <c r="D19" s="7"/>
      <c r="E19" s="3"/>
      <c r="F19" s="4"/>
      <c r="G19" s="9"/>
      <c r="H19" s="9"/>
      <c r="I19" s="5"/>
      <c r="J19" s="16"/>
    </row>
    <row r="20" spans="1:10" ht="15" customHeight="1">
      <c r="A20" s="61"/>
      <c r="B20" s="11"/>
      <c r="C20" s="6" t="s">
        <v>733</v>
      </c>
      <c r="D20" s="6"/>
      <c r="E20" s="208">
        <v>-0.26</v>
      </c>
      <c r="F20" s="73"/>
      <c r="G20" s="80" t="s">
        <v>731</v>
      </c>
      <c r="H20" s="27"/>
      <c r="I20" s="5"/>
      <c r="J20" s="16"/>
    </row>
    <row r="21" spans="1:10" ht="7.35" customHeight="1">
      <c r="A21" s="61"/>
      <c r="B21" s="11"/>
      <c r="C21" s="7"/>
      <c r="D21" s="7"/>
      <c r="E21" s="3"/>
      <c r="F21" s="4"/>
      <c r="G21" s="9"/>
      <c r="H21" s="9"/>
      <c r="I21" s="5"/>
      <c r="J21" s="16"/>
    </row>
    <row r="22" spans="1:10" ht="15" customHeight="1">
      <c r="A22" s="61"/>
      <c r="B22" s="11"/>
      <c r="C22" s="6" t="s">
        <v>734</v>
      </c>
      <c r="D22" s="7"/>
      <c r="E22" s="364">
        <v>1</v>
      </c>
      <c r="F22" s="73"/>
      <c r="G22" s="80" t="s">
        <v>731</v>
      </c>
      <c r="H22" s="9"/>
      <c r="I22" s="5"/>
      <c r="J22" s="16"/>
    </row>
    <row r="23" spans="1:10" ht="7.35" customHeight="1">
      <c r="A23" s="61"/>
      <c r="B23" s="11"/>
      <c r="C23" s="7"/>
      <c r="D23" s="7"/>
      <c r="E23" s="3"/>
      <c r="F23" s="4"/>
      <c r="G23" s="9"/>
      <c r="H23" s="9"/>
      <c r="I23" s="5"/>
      <c r="J23" s="16"/>
    </row>
    <row r="24" spans="1:10" ht="15" customHeight="1">
      <c r="A24" s="61"/>
      <c r="B24" s="11"/>
      <c r="C24" s="76" t="s">
        <v>147</v>
      </c>
      <c r="D24" s="6"/>
      <c r="E24" s="35" t="str">
        <f>IF(E12="yes",IF(NOT(ISBLANK(E18)),IFERROR(MAX(-D8,(E18*E20*E22)), ""),""),"")</f>
        <v/>
      </c>
      <c r="F24" s="365"/>
      <c r="G24" s="368" t="b">
        <v>0</v>
      </c>
      <c r="H24" s="204" t="str">
        <f>IF(OR(G24=TRUE,E24=""),"Not Active","Active")</f>
        <v>Not Active</v>
      </c>
      <c r="I24" s="5"/>
      <c r="J24" s="16"/>
    </row>
    <row r="25" spans="1:10" ht="15" customHeight="1">
      <c r="A25" s="61"/>
      <c r="B25" s="11"/>
      <c r="C25" s="3"/>
      <c r="D25" s="3"/>
      <c r="E25" s="3"/>
      <c r="F25" s="4"/>
      <c r="G25" s="3"/>
      <c r="H25" s="3"/>
      <c r="I25" s="5"/>
      <c r="J25" s="16"/>
    </row>
    <row r="26" spans="1:10" ht="35.450000000000003" customHeight="1">
      <c r="A26" s="61"/>
      <c r="B26" s="11"/>
      <c r="C26" s="603" t="str">
        <f>"Formula:  % Change in VMT =  " &amp; SUBSTITUTE("( " &amp; C18 &amp; " * " &amp; C20 &amp; " * " &amp; C22 &amp; " )"," used for calculation","")</f>
        <v>Formula:  % Change in VMT =  ( % of employees eligible * % reduction in vehicle mode share of employee commute trips * Adjustment from vehicle mode share to commute VMT )</v>
      </c>
      <c r="D26" s="604"/>
      <c r="E26" s="604"/>
      <c r="F26" s="604"/>
      <c r="G26" s="604"/>
      <c r="H26" s="607"/>
      <c r="I26" s="5"/>
      <c r="J26" s="16"/>
    </row>
    <row r="27" spans="1:10" ht="15" customHeight="1">
      <c r="A27" s="61"/>
      <c r="B27" s="11"/>
      <c r="C27" s="3"/>
      <c r="D27" s="3"/>
      <c r="E27" s="3"/>
      <c r="F27" s="4"/>
      <c r="G27" s="3"/>
      <c r="H27" s="3"/>
      <c r="I27" s="5"/>
      <c r="J27" s="16"/>
    </row>
    <row r="28" spans="1:10" ht="15" customHeight="1">
      <c r="A28" s="61"/>
      <c r="B28" s="11"/>
      <c r="C28" s="8" t="s">
        <v>732</v>
      </c>
      <c r="D28" s="8"/>
      <c r="E28" s="8"/>
      <c r="F28" s="8"/>
      <c r="G28" s="8"/>
      <c r="H28" s="8"/>
      <c r="I28" s="5"/>
      <c r="J28" s="16"/>
    </row>
    <row r="29" spans="1:10" ht="50.1" customHeight="1">
      <c r="A29" s="16"/>
      <c r="B29" s="11"/>
      <c r="C29" s="596" t="str">
        <f>INDEX(VL_TDM!$AG$11:$AG$41,MATCH($A$4,VL_TDM!$B$11:$B$41,0),1)</f>
        <v>(1) Nelson/Nygaard Consulting Associates. 2015. Genentech – South San Francisco Campus TDM and Parking Report. June. Available: http://ci-ssfca. granicus.com/MetaViewer.php?view_id=2&amp;clip_id=859&amp;meta_id=62028. Accessed: January 2021.</v>
      </c>
      <c r="D29" s="597"/>
      <c r="E29" s="597"/>
      <c r="F29" s="597"/>
      <c r="G29" s="597"/>
      <c r="H29" s="597"/>
      <c r="I29" s="5"/>
      <c r="J29" s="16"/>
    </row>
    <row r="30" spans="1:10" ht="15" customHeight="1">
      <c r="A30" s="61"/>
      <c r="B30" s="15"/>
      <c r="C30" s="366"/>
      <c r="D30" s="366"/>
      <c r="E30" s="367"/>
      <c r="F30" s="367"/>
      <c r="G30" s="367"/>
      <c r="H30" s="367"/>
      <c r="I30" s="13"/>
      <c r="J30" s="16"/>
    </row>
    <row r="31" spans="1:10" ht="22.35" customHeight="1">
      <c r="A31" s="16"/>
      <c r="B31" s="16"/>
      <c r="C31" s="16"/>
      <c r="D31" s="16"/>
      <c r="E31" s="16"/>
      <c r="F31" s="17"/>
      <c r="G31" s="16"/>
      <c r="H31" s="16"/>
      <c r="I31" s="16"/>
      <c r="J31" s="16"/>
    </row>
  </sheetData>
  <sheetProtection algorithmName="SHA-512" hashValue="3NwszS/zE9YK/LaoVTmUobNg87YgN9wFe6CNsh+dsr7eG/TyL0iUYDnPAe9+D3A+VEVuGHEK9lT36kv0/hlS7A==" saltValue="Ib4XtCARo6hLBymVzX/d3Q==" spinCount="100000" sheet="1" objects="1" scenarios="1" selectLockedCells="1"/>
  <mergeCells count="9">
    <mergeCell ref="B1:H1"/>
    <mergeCell ref="C10:H10"/>
    <mergeCell ref="C26:H26"/>
    <mergeCell ref="C29:H29"/>
    <mergeCell ref="G12:H12"/>
    <mergeCell ref="G15:H16"/>
    <mergeCell ref="G13:H14"/>
    <mergeCell ref="B2:H2"/>
    <mergeCell ref="B4:I4"/>
  </mergeCells>
  <conditionalFormatting sqref="E24">
    <cfRule type="expression" dxfId="56" priority="11">
      <formula>-ROUND($D$8,3)=ROUND($E$24,3)</formula>
    </cfRule>
    <cfRule type="expression" dxfId="55" priority="15">
      <formula>AND(E24&lt;&gt;"",E24&gt;0)</formula>
    </cfRule>
  </conditionalFormatting>
  <conditionalFormatting sqref="G13:H14">
    <cfRule type="expression" dxfId="54" priority="1">
      <formula>ScaleOfAnalysisIsCommunity</formula>
    </cfRule>
  </conditionalFormatting>
  <dataValidations count="1">
    <dataValidation type="decimal" allowBlank="1" showErrorMessage="1" errorTitle="Restriction" error="Value must be between 0% and 100%_x000a_" promptTitle="Restriction" prompt="Value must be between 0% and 100%_x000a_" sqref="E18" xr:uid="{00000000-0002-0000-0500-000000000000}">
      <formula1>0</formula1>
      <formula2>1</formula2>
    </dataValidation>
  </dataValidations>
  <hyperlinks>
    <hyperlink ref="H7" location="Results!A1" display="Results Summary" xr:uid="{00000000-0004-0000-0500-000000000000}"/>
    <hyperlink ref="H6" location="Main!E65" display="Return to Main É" xr:uid="{00000000-0004-0000-05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defaultSize="0" autoFill="0" autoLine="0" autoPict="0" altText="Exclude From Results Summary">
                <anchor moveWithCells="1">
                  <from>
                    <xdr:col>6</xdr:col>
                    <xdr:colOff>28575</xdr:colOff>
                    <xdr:row>23</xdr:row>
                    <xdr:rowOff>0</xdr:rowOff>
                  </from>
                  <to>
                    <xdr:col>7</xdr:col>
                    <xdr:colOff>0</xdr:colOff>
                    <xdr:row>24</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error="Select value from drop-down list" promptTitle="Option" prompt="Choose the unit for which you will report density in the input cell below." xr:uid="{00000000-0002-0000-0500-000001000000}">
          <x14:formula1>
            <xm:f>VL_REF!$CB$11:$CB$13</xm:f>
          </x14:formula1>
          <xm:sqref>E12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CC00CC"/>
  </sheetPr>
  <dimension ref="A1:K24"/>
  <sheetViews>
    <sheetView showGridLines="0" showRowColHeaders="0" topLeftCell="A2" zoomScaleNormal="100" workbookViewId="0">
      <selection activeCell="F13" sqref="F13"/>
    </sheetView>
  </sheetViews>
  <sheetFormatPr defaultColWidth="0" defaultRowHeight="15" zeroHeight="1"/>
  <cols>
    <col min="1" max="1" width="4.42578125" customWidth="1"/>
    <col min="2" max="2" width="8.85546875" customWidth="1"/>
    <col min="3" max="3" width="20" customWidth="1"/>
    <col min="4" max="4" width="20.5703125" customWidth="1"/>
    <col min="5" max="5" width="8.42578125" customWidth="1"/>
    <col min="6" max="6" width="10.5703125" style="1" customWidth="1"/>
    <col min="7" max="7" width="5.5703125" customWidth="1"/>
    <col min="8" max="8" width="22.5703125" customWidth="1"/>
    <col min="9" max="9" width="17.5703125" customWidth="1"/>
    <col min="10" max="10" width="8.85546875" customWidth="1"/>
    <col min="11" max="11" width="4.42578125" customWidth="1"/>
    <col min="12" max="16384" width="8.85546875" hidden="1"/>
  </cols>
  <sheetData>
    <row r="1" spans="1:11" ht="18.75" hidden="1">
      <c r="A1" s="16"/>
      <c r="B1" s="609"/>
      <c r="C1" s="609"/>
      <c r="D1" s="609"/>
      <c r="E1" s="609"/>
      <c r="F1" s="609"/>
      <c r="G1" s="609"/>
      <c r="H1" s="609"/>
      <c r="I1" s="609"/>
      <c r="J1" s="16"/>
      <c r="K1" s="16"/>
    </row>
    <row r="2" spans="1:11" ht="18.75">
      <c r="A2" s="16"/>
      <c r="B2" s="32"/>
      <c r="C2" s="30"/>
      <c r="D2" s="30"/>
      <c r="E2" s="30"/>
      <c r="F2" s="31"/>
      <c r="G2" s="30"/>
      <c r="H2" s="30"/>
      <c r="I2" s="30"/>
      <c r="J2" s="16"/>
      <c r="K2" s="16"/>
    </row>
    <row r="3" spans="1:11" ht="21.6" customHeight="1">
      <c r="A3" s="22" t="s">
        <v>62</v>
      </c>
      <c r="B3" s="599" t="s">
        <v>735</v>
      </c>
      <c r="C3" s="610"/>
      <c r="D3" s="610"/>
      <c r="E3" s="610"/>
      <c r="F3" s="610"/>
      <c r="G3" s="610"/>
      <c r="H3" s="610"/>
      <c r="I3" s="610"/>
      <c r="J3" s="611"/>
      <c r="K3" s="16"/>
    </row>
    <row r="4" spans="1:11" s="2" customFormat="1" ht="15" customHeight="1">
      <c r="A4" s="16"/>
      <c r="B4" s="11"/>
      <c r="C4" s="3"/>
      <c r="D4" s="3"/>
      <c r="E4" s="3"/>
      <c r="F4" s="3"/>
      <c r="G4" s="4"/>
      <c r="H4" s="3"/>
      <c r="I4" s="3"/>
      <c r="J4" s="5"/>
      <c r="K4"/>
    </row>
    <row r="5" spans="1:11" ht="15" customHeight="1">
      <c r="A5" s="16"/>
      <c r="B5" s="11"/>
      <c r="C5" s="8" t="s">
        <v>723</v>
      </c>
      <c r="D5" s="10" t="s">
        <v>226</v>
      </c>
      <c r="E5" s="18"/>
      <c r="F5" s="8"/>
      <c r="G5" s="8"/>
      <c r="H5" s="8"/>
      <c r="I5" s="497" t="s">
        <v>120</v>
      </c>
      <c r="J5" s="5"/>
      <c r="K5" s="16"/>
    </row>
    <row r="6" spans="1:11" ht="15" customHeight="1">
      <c r="A6" s="16"/>
      <c r="B6" s="11"/>
      <c r="C6" s="8" t="s">
        <v>724</v>
      </c>
      <c r="D6" s="18" t="s">
        <v>227</v>
      </c>
      <c r="E6" s="8"/>
      <c r="F6" s="19"/>
      <c r="G6" s="8"/>
      <c r="H6" s="8"/>
      <c r="I6" s="497" t="s">
        <v>153</v>
      </c>
      <c r="J6" s="5"/>
      <c r="K6" s="16"/>
    </row>
    <row r="7" spans="1:11" s="2" customFormat="1" ht="15" customHeight="1">
      <c r="A7" s="16"/>
      <c r="B7" s="11"/>
      <c r="C7" s="8" t="s">
        <v>725</v>
      </c>
      <c r="D7" s="37">
        <v>0.08</v>
      </c>
      <c r="E7" s="3"/>
      <c r="F7" s="3"/>
      <c r="G7" s="4"/>
      <c r="H7" s="3"/>
      <c r="I7" s="3"/>
      <c r="J7" s="5"/>
      <c r="K7"/>
    </row>
    <row r="8" spans="1:11" ht="15" customHeight="1">
      <c r="A8" s="16"/>
      <c r="B8" s="11"/>
      <c r="C8" s="8"/>
      <c r="D8" s="8"/>
      <c r="E8" s="8"/>
      <c r="F8" s="8"/>
      <c r="G8" s="8"/>
      <c r="H8" s="8"/>
      <c r="I8" s="19"/>
      <c r="J8" s="5"/>
      <c r="K8" s="16"/>
    </row>
    <row r="9" spans="1:11" ht="139.5" customHeight="1">
      <c r="A9" s="16"/>
      <c r="B9" s="11"/>
      <c r="C9" s="551" t="str">
        <f>INDEX(VL_TDM!$AF$11:$AF$41,MATCH($A$3,VL_TDM!$B$11:$B$41,0),1)</f>
        <v>This strategy will implement a ridesharing program and establish a permanent transportation management association with funding requirements for employers. Ridesharing encourages carpooled vehicle trips in place of single-occupied vehicle trips, thereby reducing the number of trips, VMT, and GHG emissions. When providing a ridesharing program, a best practice is to establish funding by a non-revocable funding mechanism. Ridesharing must be promoted through a multi-faceted approach, such as:
• Designating a certain percentage of parking spaces for ridesharing vehicles.
• Designating adequate passenger loading and unloading and waiting areas for ridesharing vehicles.
• Providing an app or website for coordinating rides.</v>
      </c>
      <c r="D9" s="551"/>
      <c r="E9" s="551"/>
      <c r="F9" s="551"/>
      <c r="G9" s="551"/>
      <c r="H9" s="594"/>
      <c r="I9" s="594"/>
      <c r="J9" s="5"/>
      <c r="K9" s="16"/>
    </row>
    <row r="10" spans="1:11" ht="15" customHeight="1">
      <c r="A10" s="16"/>
      <c r="B10" s="11"/>
      <c r="C10" s="3"/>
      <c r="D10" s="3"/>
      <c r="E10" s="3"/>
      <c r="F10" s="4"/>
      <c r="G10" s="3"/>
      <c r="H10" s="3"/>
      <c r="I10" s="10"/>
      <c r="J10" s="5"/>
      <c r="K10" s="16"/>
    </row>
    <row r="11" spans="1:11" ht="15" customHeight="1">
      <c r="A11" s="16"/>
      <c r="B11" s="11"/>
      <c r="C11" s="6" t="s">
        <v>670</v>
      </c>
      <c r="D11" s="3"/>
      <c r="E11" s="617" t="e">
        <f>IF(VL_TAZ!$O$9="Land use intensity too low for application of VMT tool","N/A",INDEX(VL_TAZ!$O$9:$AD$9,1,MATCH($C11,VL_TAZ!$O$10:$AD$10,0)))</f>
        <v>#N/A</v>
      </c>
      <c r="F11" s="618"/>
      <c r="G11" s="3"/>
      <c r="H11" s="28" t="s">
        <v>736</v>
      </c>
      <c r="I11" s="3"/>
      <c r="J11" s="5"/>
      <c r="K11" s="16"/>
    </row>
    <row r="12" spans="1:11" ht="7.35" customHeight="1">
      <c r="A12" s="16"/>
      <c r="B12" s="11"/>
      <c r="C12" s="7"/>
      <c r="D12" s="3"/>
      <c r="E12" s="3"/>
      <c r="F12" s="3"/>
      <c r="G12" s="3"/>
      <c r="H12" s="9"/>
      <c r="I12" s="3"/>
      <c r="J12" s="5"/>
      <c r="K12" s="16"/>
    </row>
    <row r="13" spans="1:11" ht="15" customHeight="1">
      <c r="A13" s="16"/>
      <c r="B13" s="11"/>
      <c r="C13" s="6" t="s">
        <v>247</v>
      </c>
      <c r="D13" s="3"/>
      <c r="E13" s="3"/>
      <c r="F13" s="55"/>
      <c r="G13" s="3"/>
      <c r="H13" s="28" t="s">
        <v>17</v>
      </c>
      <c r="I13" s="3"/>
      <c r="J13" s="5"/>
      <c r="K13" s="16"/>
    </row>
    <row r="14" spans="1:11" ht="7.35" customHeight="1">
      <c r="A14" s="16"/>
      <c r="B14" s="11"/>
      <c r="C14" s="7"/>
      <c r="D14" s="3"/>
      <c r="E14" s="3"/>
      <c r="F14" s="3"/>
      <c r="G14" s="3"/>
      <c r="H14" s="9"/>
      <c r="I14" s="3"/>
      <c r="J14" s="5"/>
      <c r="K14" s="16"/>
    </row>
    <row r="15" spans="1:11" ht="15" customHeight="1">
      <c r="A15" s="16"/>
      <c r="B15" s="11"/>
      <c r="C15" s="6" t="s">
        <v>737</v>
      </c>
      <c r="D15" s="3"/>
      <c r="E15" s="3"/>
      <c r="F15" s="57" t="e">
        <f>VL_REF!C3</f>
        <v>#N/A</v>
      </c>
      <c r="G15" s="3"/>
      <c r="H15" s="27" t="s">
        <v>731</v>
      </c>
      <c r="I15" s="3"/>
      <c r="J15" s="5"/>
      <c r="K15" s="16"/>
    </row>
    <row r="16" spans="1:11" ht="7.35" customHeight="1">
      <c r="A16" s="16"/>
      <c r="B16" s="11"/>
      <c r="C16" s="7"/>
      <c r="D16" s="3"/>
      <c r="E16" s="3"/>
      <c r="F16" s="3"/>
      <c r="G16" s="3"/>
      <c r="H16" s="9"/>
      <c r="I16" s="3"/>
      <c r="J16" s="5"/>
      <c r="K16" s="16"/>
    </row>
    <row r="17" spans="1:11" ht="15" customHeight="1">
      <c r="A17" s="16"/>
      <c r="B17" s="11"/>
      <c r="C17" s="6" t="s">
        <v>147</v>
      </c>
      <c r="D17" s="3"/>
      <c r="E17" s="3"/>
      <c r="F17" s="35" t="str">
        <f>IF(OR(ISBLANK(E11),ISBLANK(F13)),"",IFERROR(F13*F15, ""))</f>
        <v/>
      </c>
      <c r="G17" s="20"/>
      <c r="H17" s="14" t="b">
        <v>0</v>
      </c>
      <c r="I17" s="170" t="str">
        <f>IF(OR(H17=TRUE,F17=""),"Not Active","Active")</f>
        <v>Not Active</v>
      </c>
      <c r="J17" s="5"/>
      <c r="K17" s="16"/>
    </row>
    <row r="18" spans="1:11" ht="15" customHeight="1">
      <c r="A18" s="16"/>
      <c r="B18" s="11"/>
      <c r="C18" s="9"/>
      <c r="D18" s="3"/>
      <c r="E18" s="3"/>
      <c r="F18" s="4"/>
      <c r="G18" s="3"/>
      <c r="H18" s="3"/>
      <c r="I18" s="3"/>
      <c r="J18" s="5"/>
      <c r="K18" s="16"/>
    </row>
    <row r="19" spans="1:11" ht="17.850000000000001" customHeight="1">
      <c r="A19" s="16"/>
      <c r="B19" s="11"/>
      <c r="C19" s="613" t="str">
        <f>CONCATENATE("Formula:  % Change in VMT = ",C13," * ",C15)</f>
        <v>Formula:  % Change in VMT = % of employees eligible * % reduction in employee commute VMT</v>
      </c>
      <c r="D19" s="614"/>
      <c r="E19" s="614"/>
      <c r="F19" s="614"/>
      <c r="G19" s="614"/>
      <c r="H19" s="614"/>
      <c r="I19" s="615"/>
      <c r="J19" s="5"/>
      <c r="K19" s="16"/>
    </row>
    <row r="20" spans="1:11" ht="15" customHeight="1">
      <c r="A20" s="16"/>
      <c r="B20" s="11"/>
      <c r="C20" s="3"/>
      <c r="D20" s="3"/>
      <c r="E20" s="3"/>
      <c r="F20" s="4"/>
      <c r="G20" s="3"/>
      <c r="H20" s="3"/>
      <c r="I20" s="3"/>
      <c r="J20" s="5"/>
      <c r="K20" s="16"/>
    </row>
    <row r="21" spans="1:11" ht="15" customHeight="1">
      <c r="A21" s="16"/>
      <c r="B21" s="11"/>
      <c r="C21" s="8" t="s">
        <v>732</v>
      </c>
      <c r="D21" s="8"/>
      <c r="E21" s="8"/>
      <c r="F21" s="8"/>
      <c r="G21" s="8"/>
      <c r="H21" s="8"/>
      <c r="I21" s="8"/>
      <c r="J21" s="5"/>
      <c r="K21" s="16"/>
    </row>
    <row r="22" spans="1:11" ht="61.5" customHeight="1">
      <c r="A22" s="16"/>
      <c r="B22" s="11"/>
      <c r="C22" s="616" t="str">
        <f>INDEX(VL_TDM!$AG$11:$AG$41,MATCH($A$3,VL_TDM!$B$11:$B$41,0),1)</f>
        <v>(1) San Diego Association of Governments (SANDAG). 2019. Mobility Management VMT Reduction
Calculator Tool – Design Document. June. Available:
https://www.icommutesd.com/docs/default-source/planning/tool-design-document_final_7-
17-19.pdf?sfvrsn=ec39eb3b_2. Accessed: January 2021.</v>
      </c>
      <c r="D22" s="616"/>
      <c r="E22" s="616"/>
      <c r="F22" s="616"/>
      <c r="G22" s="616"/>
      <c r="H22" s="616"/>
      <c r="I22" s="616"/>
      <c r="J22" s="5"/>
      <c r="K22" s="16"/>
    </row>
    <row r="23" spans="1:11" ht="15" customHeight="1">
      <c r="A23" s="16"/>
      <c r="B23" s="15"/>
      <c r="C23" s="612"/>
      <c r="D23" s="612"/>
      <c r="E23" s="612"/>
      <c r="F23" s="612"/>
      <c r="G23" s="612"/>
      <c r="H23" s="12"/>
      <c r="I23" s="12"/>
      <c r="J23" s="13"/>
      <c r="K23" s="16"/>
    </row>
    <row r="24" spans="1:11" ht="22.35" customHeight="1">
      <c r="A24" s="16"/>
      <c r="B24" s="16"/>
      <c r="C24" s="16"/>
      <c r="D24" s="16"/>
      <c r="E24" s="16"/>
      <c r="F24" s="17"/>
      <c r="G24" s="16"/>
      <c r="H24" s="16"/>
      <c r="I24" s="16"/>
      <c r="J24" s="16"/>
      <c r="K24" s="16"/>
    </row>
  </sheetData>
  <sheetProtection algorithmName="SHA-512" hashValue="j1HmmndRJ2qRk+ZkL1L9H3I+Y9gugqxfnMmW9dES0Q2rifXj0q44ZR02gNEYLWVSc8+SudL1lH4qIco+clky9A==" saltValue="xo5z4tuTDdFAr2s6Q2/rjg==" spinCount="100000" sheet="1" objects="1" scenarios="1" selectLockedCells="1"/>
  <mergeCells count="7">
    <mergeCell ref="B1:I1"/>
    <mergeCell ref="B3:J3"/>
    <mergeCell ref="C23:G23"/>
    <mergeCell ref="C19:I19"/>
    <mergeCell ref="C22:I22"/>
    <mergeCell ref="C9:I9"/>
    <mergeCell ref="E11:F11"/>
  </mergeCells>
  <conditionalFormatting sqref="F17">
    <cfRule type="expression" dxfId="53" priority="12">
      <formula>-ROUND($D$7,3)=ROUND($F$17,3)</formula>
    </cfRule>
    <cfRule type="expression" dxfId="52" priority="13">
      <formula>AND(F17&lt;&gt;"",F17&gt;0)</formula>
    </cfRule>
  </conditionalFormatting>
  <dataValidations count="1">
    <dataValidation type="decimal" allowBlank="1" showErrorMessage="1" errorTitle="Restriction" error="Value must be between 0% and 100%_x000a_" promptTitle="Restriction" prompt="Value must be between 0% and 100%_x000a_" sqref="F13" xr:uid="{00000000-0002-0000-0600-000000000000}">
      <formula1>0</formula1>
      <formula2>1</formula2>
    </dataValidation>
  </dataValidations>
  <hyperlinks>
    <hyperlink ref="I6" location="Results!A1" display="Results Summary" xr:uid="{00000000-0004-0000-0600-000000000000}"/>
    <hyperlink ref="I5" location="Main!E65" display="Return to Main É" xr:uid="{00000000-0004-0000-06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ltText="Exclude From Results Summary">
                <anchor moveWithCells="1">
                  <from>
                    <xdr:col>7</xdr:col>
                    <xdr:colOff>0</xdr:colOff>
                    <xdr:row>15</xdr:row>
                    <xdr:rowOff>66675</xdr:rowOff>
                  </from>
                  <to>
                    <xdr:col>8</xdr:col>
                    <xdr:colOff>0</xdr:colOff>
                    <xdr:row>17</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D696E-315C-48B6-A7FB-77268205A973}">
  <sheetPr codeName="Sheet33">
    <tabColor rgb="FFCC00CC"/>
  </sheetPr>
  <dimension ref="A1:J40"/>
  <sheetViews>
    <sheetView showGridLines="0" showRowColHeaders="0" topLeftCell="A3" zoomScaleNormal="100" workbookViewId="0">
      <selection activeCell="E12" sqref="E12"/>
    </sheetView>
  </sheetViews>
  <sheetFormatPr defaultColWidth="0" defaultRowHeight="15" customHeight="1" zeroHeight="1"/>
  <cols>
    <col min="1" max="1" width="4.42578125" style="87" customWidth="1"/>
    <col min="2" max="2" width="8.85546875" style="87" customWidth="1"/>
    <col min="3" max="3" width="20" style="87" customWidth="1"/>
    <col min="4" max="4" width="52.42578125" style="87" customWidth="1"/>
    <col min="5" max="5" width="15.140625" style="87" bestFit="1" customWidth="1"/>
    <col min="6" max="6" width="5.5703125" style="87" customWidth="1"/>
    <col min="7" max="7" width="19" style="88" customWidth="1"/>
    <col min="8" max="8" width="17.5703125" style="87" customWidth="1"/>
    <col min="9" max="9" width="8.85546875" style="87" customWidth="1"/>
    <col min="10" max="10" width="4.5703125" style="87" customWidth="1"/>
    <col min="11" max="16384" width="8.85546875" style="87" hidden="1"/>
  </cols>
  <sheetData>
    <row r="1" spans="1:10" hidden="1">
      <c r="A1" s="60"/>
      <c r="B1" s="60"/>
      <c r="C1" s="60"/>
      <c r="D1" s="60"/>
      <c r="E1" s="60"/>
      <c r="F1" s="60"/>
      <c r="G1" s="75"/>
      <c r="H1" s="60"/>
      <c r="I1" s="60"/>
      <c r="J1" s="60"/>
    </row>
    <row r="2" spans="1:10" ht="18.75" hidden="1">
      <c r="A2" s="60"/>
      <c r="B2" s="609"/>
      <c r="C2" s="619"/>
      <c r="D2" s="619"/>
      <c r="E2" s="619"/>
      <c r="F2" s="619"/>
      <c r="G2" s="619"/>
      <c r="H2" s="619"/>
      <c r="I2" s="619"/>
      <c r="J2" s="369"/>
    </row>
    <row r="3" spans="1:10" ht="18.75">
      <c r="A3" s="60"/>
      <c r="B3" s="39"/>
      <c r="C3" s="60"/>
      <c r="D3" s="60"/>
      <c r="E3" s="60"/>
      <c r="F3" s="60"/>
      <c r="G3" s="75"/>
      <c r="H3" s="60"/>
      <c r="I3" s="60"/>
      <c r="J3" s="60"/>
    </row>
    <row r="4" spans="1:10" ht="18.75">
      <c r="A4" s="187" t="s">
        <v>66</v>
      </c>
      <c r="B4" s="599" t="str">
        <f>A4&amp;". "&amp;INDEX(VL_TDM!$E$11:$E$41,MATCH($A$4,VL_TDM!$B$11:$B$41,0),1)</f>
        <v>1D1. Implement Subsidized or Discounted Transit Program (for Employees)</v>
      </c>
      <c r="C4" s="600"/>
      <c r="D4" s="600"/>
      <c r="E4" s="600"/>
      <c r="F4" s="600"/>
      <c r="G4" s="600"/>
      <c r="H4" s="600"/>
      <c r="I4" s="601"/>
      <c r="J4" s="60"/>
    </row>
    <row r="5" spans="1:10" ht="15" customHeight="1">
      <c r="A5" s="60"/>
      <c r="B5" s="65"/>
      <c r="C5" s="82"/>
      <c r="D5" s="82"/>
      <c r="E5" s="82"/>
      <c r="F5" s="71"/>
      <c r="G5" s="73"/>
      <c r="H5" s="71"/>
      <c r="I5" s="64"/>
      <c r="J5" s="60"/>
    </row>
    <row r="6" spans="1:10" ht="15" customHeight="1">
      <c r="A6" s="60"/>
      <c r="B6" s="65"/>
      <c r="C6" s="71" t="s">
        <v>723</v>
      </c>
      <c r="D6" s="370" t="str">
        <f>INDEX(VL_TDM!$AC$11:$AC$41,MATCH($A$4,VL_TDM!$B$11:$B$41,0),1)</f>
        <v>Project/Site</v>
      </c>
      <c r="E6" s="73"/>
      <c r="F6" s="73"/>
      <c r="G6" s="73"/>
      <c r="H6" s="500" t="s">
        <v>120</v>
      </c>
      <c r="I6" s="64"/>
      <c r="J6" s="60"/>
    </row>
    <row r="7" spans="1:10" ht="15" customHeight="1">
      <c r="A7" s="60"/>
      <c r="B7" s="65"/>
      <c r="C7" s="81" t="s">
        <v>724</v>
      </c>
      <c r="D7" s="85" t="str">
        <f>INDEX(VL_TDM!$AD$11:$AD$41,MATCH($A$4,VL_TDM!$B$11:$B$41,0),1)</f>
        <v>Employee commute trips</v>
      </c>
      <c r="E7" s="73"/>
      <c r="F7" s="73"/>
      <c r="G7" s="71"/>
      <c r="H7" s="500" t="s">
        <v>153</v>
      </c>
      <c r="I7" s="64"/>
      <c r="J7" s="60"/>
    </row>
    <row r="8" spans="1:10" ht="15" customHeight="1">
      <c r="A8" s="60"/>
      <c r="B8" s="65"/>
      <c r="C8" s="81" t="s">
        <v>725</v>
      </c>
      <c r="D8" s="86">
        <f>INDEX(VL_TDM!$AE$11:$AE$41,MATCH($A$4,VL_TDM!$B$11:$B$41,0),1)</f>
        <v>5.5E-2</v>
      </c>
      <c r="E8" s="82"/>
      <c r="F8" s="71"/>
      <c r="G8" s="73"/>
      <c r="H8" s="71"/>
      <c r="I8" s="64"/>
      <c r="J8" s="60"/>
    </row>
    <row r="9" spans="1:10" ht="15" customHeight="1">
      <c r="A9" s="60"/>
      <c r="B9" s="65"/>
      <c r="C9" s="71"/>
      <c r="D9" s="71"/>
      <c r="E9" s="71"/>
      <c r="F9" s="71"/>
      <c r="G9" s="73"/>
      <c r="H9" s="71"/>
      <c r="I9" s="64"/>
      <c r="J9" s="60"/>
    </row>
    <row r="10" spans="1:10" ht="172.5" customHeight="1">
      <c r="A10" s="60"/>
      <c r="B10" s="65"/>
      <c r="C10" s="602" t="str">
        <f>INDEX(VL_TDM!$AF$11:$AF$41,MATCH($A$4,VL_TDM!$B$11:$B$41,0),1)</f>
        <v xml:space="preserve">This strategy will provide subsidized, discounted, or free transit passes for employees. Reducing the out-of-pocket cost for choosing transit improves the competitiveness of transit against driving, increasing the total number of transit trips and decreasing vehicle trips. This decrease in vehicle trips results in reduced VMT and thus a reduction in GHG emissions. When implementing transit discounts or subsidies, projects should adhere to the following guidance: 
• Project should be located either within one mile of high-quality transit service (either rail, or bus with headways of no more than 15 minutes), one-half mile of local or less frequent transit service, or along a designated shuttle route providing last-mile connections to rail service. As an alternative to shuttle service, if bikeshare service (Strategy 4E) is available, the site may be located up to two miles from a high-quality transit service. 
• If more than one transit agency serves the site, subsidies should be provided that can be applied to each of the services available. If subsidies are applied for only one service, all variable inputs below should also pertain only to the service which is subsidized. </v>
      </c>
      <c r="D10" s="594"/>
      <c r="E10" s="594"/>
      <c r="F10" s="594"/>
      <c r="G10" s="594"/>
      <c r="H10" s="594"/>
      <c r="I10" s="64"/>
      <c r="J10" s="60"/>
    </row>
    <row r="11" spans="1:10" ht="15" customHeight="1">
      <c r="A11" s="60"/>
      <c r="B11" s="65"/>
      <c r="C11" s="371"/>
      <c r="D11" s="199"/>
      <c r="E11" s="199"/>
      <c r="F11" s="199"/>
      <c r="G11" s="199"/>
      <c r="H11" s="199"/>
      <c r="I11" s="64"/>
      <c r="J11" s="60"/>
    </row>
    <row r="12" spans="1:10" ht="15" customHeight="1">
      <c r="A12" s="60"/>
      <c r="B12" s="65"/>
      <c r="C12" s="76" t="s">
        <v>738</v>
      </c>
      <c r="D12" s="204"/>
      <c r="E12" s="54"/>
      <c r="F12" s="73"/>
      <c r="G12" s="204" t="s">
        <v>17</v>
      </c>
      <c r="H12" s="71"/>
      <c r="I12" s="64"/>
      <c r="J12" s="60"/>
    </row>
    <row r="13" spans="1:10" ht="4.3499999999999996" customHeight="1">
      <c r="A13" s="60"/>
      <c r="B13" s="65"/>
      <c r="C13" s="76"/>
      <c r="D13" s="71"/>
      <c r="E13" s="372"/>
      <c r="F13" s="73"/>
      <c r="G13" s="205"/>
      <c r="H13" s="71"/>
      <c r="I13" s="64"/>
      <c r="J13" s="60"/>
    </row>
    <row r="14" spans="1:10" ht="15" customHeight="1">
      <c r="A14" s="60"/>
      <c r="B14" s="65"/>
      <c r="C14" s="76" t="s">
        <v>739</v>
      </c>
      <c r="D14" s="204"/>
      <c r="E14" s="54"/>
      <c r="F14" s="73"/>
      <c r="G14" s="204" t="s">
        <v>17</v>
      </c>
      <c r="H14" s="71"/>
      <c r="I14" s="64"/>
      <c r="J14" s="16"/>
    </row>
    <row r="15" spans="1:10" ht="4.3499999999999996" customHeight="1">
      <c r="A15" s="60"/>
      <c r="B15" s="65"/>
      <c r="C15" s="76"/>
      <c r="D15" s="71"/>
      <c r="E15" s="372"/>
      <c r="F15" s="73"/>
      <c r="G15" s="205"/>
      <c r="H15" s="71"/>
      <c r="I15" s="64"/>
      <c r="J15" s="60"/>
    </row>
    <row r="16" spans="1:10" ht="15" customHeight="1">
      <c r="A16" s="60"/>
      <c r="B16" s="65"/>
      <c r="C16" s="76" t="s">
        <v>740</v>
      </c>
      <c r="D16" s="204"/>
      <c r="E16" s="54"/>
      <c r="F16" s="73"/>
      <c r="G16" s="204" t="s">
        <v>17</v>
      </c>
      <c r="H16" s="71"/>
      <c r="I16" s="64"/>
      <c r="J16" s="16"/>
    </row>
    <row r="17" spans="1:10" ht="4.3499999999999996" customHeight="1">
      <c r="A17" s="60"/>
      <c r="B17" s="65"/>
      <c r="C17" s="76"/>
      <c r="D17" s="71"/>
      <c r="E17" s="71"/>
      <c r="F17" s="73"/>
      <c r="G17" s="205"/>
      <c r="H17" s="71"/>
      <c r="I17" s="64"/>
      <c r="J17" s="60"/>
    </row>
    <row r="18" spans="1:10" ht="15" customHeight="1">
      <c r="A18" s="60"/>
      <c r="B18" s="65"/>
      <c r="C18" s="76" t="s">
        <v>741</v>
      </c>
      <c r="D18" s="204"/>
      <c r="E18" s="56"/>
      <c r="F18" s="73"/>
      <c r="G18" s="207" t="s">
        <v>17</v>
      </c>
      <c r="H18" s="71"/>
      <c r="I18" s="64"/>
      <c r="J18" s="16"/>
    </row>
    <row r="19" spans="1:10" ht="4.3499999999999996" customHeight="1">
      <c r="A19" s="60"/>
      <c r="B19" s="65"/>
      <c r="C19" s="76"/>
      <c r="D19" s="71"/>
      <c r="E19" s="71"/>
      <c r="F19" s="73"/>
      <c r="G19" s="205"/>
      <c r="H19" s="71"/>
      <c r="I19" s="64"/>
      <c r="J19" s="60"/>
    </row>
    <row r="20" spans="1:10" ht="15" customHeight="1">
      <c r="A20" s="60"/>
      <c r="B20" s="65"/>
      <c r="C20" s="76" t="s">
        <v>641</v>
      </c>
      <c r="D20" s="373"/>
      <c r="E20" s="208" t="e">
        <f>INDEX(VL_TAZ!$O$9:$AD$9,1,MATCH($C20,VL_TAZ!$O$10:$AD$10,0))</f>
        <v>#N/A</v>
      </c>
      <c r="F20" s="73"/>
      <c r="G20" s="71" t="str">
        <f>CONCATENATE("Alameda CTC model",IF(NOT(ISBLANK(E22)),", overridden",""))</f>
        <v>Alameda CTC model</v>
      </c>
      <c r="H20" s="71"/>
      <c r="I20" s="64"/>
      <c r="J20" s="60"/>
    </row>
    <row r="21" spans="1:10" ht="4.3499999999999996" customHeight="1">
      <c r="A21" s="60"/>
      <c r="B21" s="65"/>
      <c r="C21" s="76"/>
      <c r="D21" s="71"/>
      <c r="E21" s="71"/>
      <c r="F21" s="73"/>
      <c r="G21" s="205"/>
      <c r="H21" s="71"/>
      <c r="I21" s="64"/>
      <c r="J21" s="60"/>
    </row>
    <row r="22" spans="1:10" ht="15" customHeight="1">
      <c r="A22" s="60"/>
      <c r="B22" s="65"/>
      <c r="C22" s="76" t="s">
        <v>742</v>
      </c>
      <c r="D22" s="373"/>
      <c r="E22" s="58"/>
      <c r="F22" s="73"/>
      <c r="G22" s="207" t="s">
        <v>20</v>
      </c>
      <c r="H22" s="71"/>
      <c r="I22" s="64"/>
      <c r="J22" s="60"/>
    </row>
    <row r="23" spans="1:10" ht="4.3499999999999996" customHeight="1">
      <c r="A23" s="60"/>
      <c r="B23" s="65"/>
      <c r="C23" s="76"/>
      <c r="D23" s="373"/>
      <c r="E23" s="374"/>
      <c r="F23" s="73"/>
      <c r="G23" s="204"/>
      <c r="H23" s="71"/>
      <c r="I23" s="64"/>
      <c r="J23" s="60"/>
    </row>
    <row r="24" spans="1:10">
      <c r="A24" s="60"/>
      <c r="B24" s="65"/>
      <c r="C24" s="76" t="s">
        <v>743</v>
      </c>
      <c r="D24" s="373"/>
      <c r="E24" s="375" t="str">
        <f>IFERROR(IF(ISBLANK(E22),E20,E22),"")</f>
        <v/>
      </c>
      <c r="F24" s="73"/>
      <c r="G24" s="204" t="s">
        <v>744</v>
      </c>
      <c r="H24" s="71"/>
      <c r="I24" s="64"/>
      <c r="J24" s="16"/>
    </row>
    <row r="25" spans="1:10" ht="7.35" customHeight="1">
      <c r="A25" s="60"/>
      <c r="B25" s="65"/>
      <c r="C25" s="76"/>
      <c r="D25" s="373"/>
      <c r="E25" s="373"/>
      <c r="F25" s="373"/>
      <c r="G25" s="204"/>
      <c r="H25" s="71"/>
      <c r="I25" s="64"/>
      <c r="J25" s="60"/>
    </row>
    <row r="26" spans="1:10">
      <c r="A26" s="60"/>
      <c r="B26" s="65"/>
      <c r="C26" s="76" t="s">
        <v>745</v>
      </c>
      <c r="D26" s="373"/>
      <c r="E26" s="376">
        <v>-0.43</v>
      </c>
      <c r="F26" s="73"/>
      <c r="G26" s="80" t="s">
        <v>746</v>
      </c>
      <c r="H26" s="71"/>
      <c r="I26" s="64"/>
      <c r="J26" s="16"/>
    </row>
    <row r="27" spans="1:10" ht="4.3499999999999996" customHeight="1">
      <c r="A27" s="60"/>
      <c r="B27" s="65"/>
      <c r="C27" s="76"/>
      <c r="D27" s="71"/>
      <c r="E27" s="71"/>
      <c r="F27" s="73"/>
      <c r="G27" s="205"/>
      <c r="H27" s="71"/>
      <c r="I27" s="64"/>
      <c r="J27" s="60"/>
    </row>
    <row r="28" spans="1:10" ht="15" customHeight="1">
      <c r="A28" s="60"/>
      <c r="B28" s="65"/>
      <c r="C28" s="76" t="s">
        <v>747</v>
      </c>
      <c r="D28" s="373"/>
      <c r="E28" s="377">
        <v>0.5</v>
      </c>
      <c r="F28" s="73"/>
      <c r="G28" s="80" t="s">
        <v>748</v>
      </c>
      <c r="H28" s="71"/>
      <c r="I28" s="64"/>
      <c r="J28" s="16"/>
    </row>
    <row r="29" spans="1:10" ht="4.3499999999999996" customHeight="1">
      <c r="A29" s="60"/>
      <c r="B29" s="65"/>
      <c r="C29" s="76"/>
      <c r="D29" s="71"/>
      <c r="E29" s="71"/>
      <c r="F29" s="73"/>
      <c r="G29" s="205"/>
      <c r="H29" s="71"/>
      <c r="I29" s="64"/>
      <c r="J29" s="60"/>
    </row>
    <row r="30" spans="1:10" ht="15" customHeight="1">
      <c r="A30" s="60"/>
      <c r="B30" s="65"/>
      <c r="C30" s="76" t="s">
        <v>749</v>
      </c>
      <c r="D30" s="204"/>
      <c r="E30" s="376">
        <v>1</v>
      </c>
      <c r="F30" s="73"/>
      <c r="G30" s="80" t="s">
        <v>750</v>
      </c>
      <c r="H30" s="71"/>
      <c r="I30" s="64"/>
      <c r="J30" s="16"/>
    </row>
    <row r="31" spans="1:10" ht="4.3499999999999996" customHeight="1">
      <c r="A31" s="60"/>
      <c r="B31" s="65"/>
      <c r="C31" s="76"/>
      <c r="D31" s="71"/>
      <c r="E31" s="71"/>
      <c r="F31" s="73"/>
      <c r="G31" s="205"/>
      <c r="H31" s="71"/>
      <c r="I31" s="64"/>
      <c r="J31" s="60"/>
    </row>
    <row r="32" spans="1:10" ht="15" customHeight="1">
      <c r="A32" s="60"/>
      <c r="B32" s="65"/>
      <c r="C32" s="76" t="s">
        <v>147</v>
      </c>
      <c r="D32" s="204"/>
      <c r="E32" s="98" t="str">
        <f>IF(OR(ISBLANK(E14),ISBLANK(E16)),"",IFERROR(MAX(-D8,(MIN(E16/E14,1)*E26)*E18*E24*E28*E30),""))</f>
        <v/>
      </c>
      <c r="F32" s="378"/>
      <c r="G32" s="41" t="b">
        <v>0</v>
      </c>
      <c r="H32" s="170" t="str">
        <f>IF(OR(G32=TRUE,E32=""),"Not Active","Active")</f>
        <v>Not Active</v>
      </c>
      <c r="I32" s="64"/>
      <c r="J32" s="60"/>
    </row>
    <row r="33" spans="1:10" ht="15" customHeight="1">
      <c r="A33" s="60"/>
      <c r="B33" s="65"/>
      <c r="C33" s="71"/>
      <c r="D33" s="71"/>
      <c r="E33" s="71"/>
      <c r="F33" s="71"/>
      <c r="G33" s="73"/>
      <c r="H33" s="71"/>
      <c r="I33" s="64"/>
      <c r="J33" s="60"/>
    </row>
    <row r="34" spans="1:10" ht="69.95" customHeight="1">
      <c r="A34" s="60"/>
      <c r="B34" s="65"/>
      <c r="C34" s="621" t="str">
        <f>"Formula:  % Change in VMT =   " &amp; SUBSTITUTE("(( " &amp; C16 &amp; " / " &amp; C14 &amp; " )* " &amp; C26 &amp; " ) * " &amp; C18 &amp; " * " &amp; C24 &amp; " * " &amp; C28 &amp; " * " &amp; C30 &amp; " "," used for calculation","")</f>
        <v xml:space="preserve">Formula:  % Change in VMT =   (( Subsidy amount / Average transit fare without subsidy )* Elasticity of transit boardings with respect to transit fare price ) * Percent of employees eligible for subsidy * Transit mode share of work trips * Percent of transit trips that would otherwise be made in a vehicle * Conversion factor of vehicle trips to VMT </v>
      </c>
      <c r="D34" s="622"/>
      <c r="E34" s="622"/>
      <c r="F34" s="622"/>
      <c r="G34" s="622"/>
      <c r="H34" s="623"/>
      <c r="I34" s="64"/>
      <c r="J34" s="60"/>
    </row>
    <row r="35" spans="1:10" ht="22.5" customHeight="1">
      <c r="A35" s="60"/>
      <c r="B35" s="65"/>
      <c r="C35" s="624" t="s">
        <v>751</v>
      </c>
      <c r="D35" s="625"/>
      <c r="E35" s="625"/>
      <c r="F35" s="625"/>
      <c r="G35" s="625"/>
      <c r="H35" s="626"/>
      <c r="I35" s="64"/>
      <c r="J35" s="60"/>
    </row>
    <row r="36" spans="1:10" ht="15" customHeight="1">
      <c r="A36" s="60"/>
      <c r="B36" s="65"/>
      <c r="C36" s="71"/>
      <c r="D36" s="70"/>
      <c r="E36" s="70"/>
      <c r="F36" s="70"/>
      <c r="G36" s="70"/>
      <c r="H36" s="70"/>
      <c r="I36" s="64"/>
      <c r="J36" s="60"/>
    </row>
    <row r="37" spans="1:10" ht="15" customHeight="1">
      <c r="A37" s="60"/>
      <c r="B37" s="65"/>
      <c r="C37" s="71" t="s">
        <v>732</v>
      </c>
      <c r="D37" s="71"/>
      <c r="E37" s="71"/>
      <c r="F37" s="71"/>
      <c r="G37" s="73"/>
      <c r="H37" s="71"/>
      <c r="I37" s="64"/>
      <c r="J37" s="60"/>
    </row>
    <row r="38" spans="1:10" ht="200.1" customHeight="1">
      <c r="A38" s="60"/>
      <c r="B38" s="65"/>
      <c r="C38" s="620" t="str">
        <f>INDEX(VL_TDM!$AG$11:$AG$41,MATCH($A$4,VL_TDM!$B$11:$B$41,0),1)</f>
        <v>(1) Federal Highway Administration (FHWA). 2017. National Household Travel Survey – 2017 Table Designer. Travel Day PMT by TRPTRANS by HH_CBSA, Workers by WRKTRANS by HH_CBSA. Available: https://nhts.ornl.gov/. Accessed: January 2021. 
(2) Handy, L., Boarnet, S. 2013. Impacts of Transit Service Strategies on Passenger Vehicle Use and Greenhouse Gas Emissions. Available: http://www.arb.ca.gov/cc/sb375/policies/transitservice/transit_brief.pdf. Accessed: January 2021. 
(3) Litman, T. 2020a. Transit Price Elasticities and Cross-elasticities. Victoria Transport Policy Institute. April. Available: https://www.vtpi.org/tranelas.pdf. Accessed: January 2021. 
(4) Taylor, B., Miller, D., Iseki, H., &amp; Fink, C. 2008. Nature and/or Nurture? Analyzing the Determinants of Transit Ridership Across US Urbanized Areas. Transportation Research Part A: Policy and Practice, 43(1), 60-77. Available: https://citeseerx.ist.psu.edu/viewdoc/download?doi=10.1.1.367.5311&amp;rep=rep1&amp;type=pdf. Accessed: January 2021.</v>
      </c>
      <c r="D38" s="597"/>
      <c r="E38" s="597"/>
      <c r="F38" s="597"/>
      <c r="G38" s="597"/>
      <c r="H38" s="597"/>
      <c r="I38" s="64"/>
      <c r="J38" s="60"/>
    </row>
    <row r="39" spans="1:10" ht="15" customHeight="1">
      <c r="A39" s="60"/>
      <c r="B39" s="74"/>
      <c r="C39" s="177"/>
      <c r="D39" s="177"/>
      <c r="E39" s="177"/>
      <c r="F39" s="177"/>
      <c r="G39" s="379"/>
      <c r="H39" s="177"/>
      <c r="I39" s="380"/>
      <c r="J39" s="60"/>
    </row>
    <row r="40" spans="1:10" ht="22.35" customHeight="1">
      <c r="A40" s="60"/>
      <c r="B40" s="16"/>
      <c r="C40" s="16"/>
      <c r="D40" s="60"/>
      <c r="E40" s="60"/>
      <c r="F40" s="60"/>
      <c r="G40" s="75"/>
      <c r="H40" s="60"/>
      <c r="I40" s="60"/>
      <c r="J40" s="60"/>
    </row>
  </sheetData>
  <sheetProtection algorithmName="SHA-512" hashValue="x1aaTQC+Ppu69BooPwmMHYKOzajiNvIjNOt/zshCU3NMhM99GctaQaMeSS9aalSqZzZne864lx7JHq1xP3BeaA==" saltValue="iYhjxjfBAAlrkw3HV1ehVQ==" spinCount="100000" sheet="1" objects="1" scenarios="1" selectLockedCells="1"/>
  <mergeCells count="6">
    <mergeCell ref="B2:I2"/>
    <mergeCell ref="C38:H38"/>
    <mergeCell ref="B4:I4"/>
    <mergeCell ref="C10:H10"/>
    <mergeCell ref="C34:H34"/>
    <mergeCell ref="C35:H35"/>
  </mergeCells>
  <conditionalFormatting sqref="E32">
    <cfRule type="expression" dxfId="51" priority="8">
      <formula>-ROUND($D$8,3)=ROUND($E$32,3)</formula>
    </cfRule>
    <cfRule type="expression" dxfId="50" priority="9">
      <formula>AND(E32&lt;&gt;"",E32&gt;0)</formula>
    </cfRule>
  </conditionalFormatting>
  <dataValidations count="2">
    <dataValidation type="decimal" operator="greaterThanOrEqual" allowBlank="1" showErrorMessage="1" error="Value must not be negative" sqref="E14 E16 E18" xr:uid="{3A7EE8AF-D981-48A3-A6BA-0A0D669A981F}">
      <formula1>0</formula1>
    </dataValidation>
    <dataValidation type="decimal" allowBlank="1" showErrorMessage="1" errorTitle="Restriction" error="Value must be between 0% and 100%_x000a_" promptTitle="Restriction" prompt="If value exceeds maximum of 25%, default value will be used below." sqref="E22" xr:uid="{0C911ADC-2EFD-44E7-8CEA-763B1F8DA99A}">
      <formula1>0</formula1>
      <formula2>1</formula2>
    </dataValidation>
  </dataValidations>
  <hyperlinks>
    <hyperlink ref="H7" location="Results!A1" display="Results Summary" xr:uid="{60E86CFA-A910-4CC9-A48A-4A23C3D3C6EF}"/>
    <hyperlink ref="H6" location="Main!L65" display="Return to Main É" xr:uid="{2349F5A3-FB96-4B22-B5B1-C42A7D63CF5C}"/>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7569" r:id="rId4" name="Check Box 1">
              <controlPr defaultSize="0" autoFill="0" autoLine="0" autoPict="0" altText="Exclude From Results Summary">
                <anchor moveWithCells="1">
                  <from>
                    <xdr:col>6</xdr:col>
                    <xdr:colOff>0</xdr:colOff>
                    <xdr:row>30</xdr:row>
                    <xdr:rowOff>66675</xdr:rowOff>
                  </from>
                  <to>
                    <xdr:col>7</xdr:col>
                    <xdr:colOff>28575</xdr:colOff>
                    <xdr:row>32</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operator="greaterThanOrEqual" allowBlank="1" showErrorMessage="1" error="Select value from drop-down list" xr:uid="{C1073DF0-AC9C-430E-B2CE-5C06ECC5342B}">
          <x14:formula1>
            <xm:f>VL_REF!$CE$11:$CE$16</xm:f>
          </x14:formula1>
          <xm:sqref>E12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5401C-A59E-4C36-9181-8AB8EDACC50B}">
  <sheetPr codeName="Sheet43">
    <tabColor rgb="FFCC00CC"/>
  </sheetPr>
  <dimension ref="A1:J42"/>
  <sheetViews>
    <sheetView showGridLines="0" showRowColHeaders="0" topLeftCell="A3" zoomScaleNormal="100" workbookViewId="0">
      <selection activeCell="E12" sqref="E12"/>
    </sheetView>
  </sheetViews>
  <sheetFormatPr defaultColWidth="0" defaultRowHeight="15" customHeight="1" zeroHeight="1"/>
  <cols>
    <col min="1" max="1" width="4.42578125" style="87" customWidth="1"/>
    <col min="2" max="2" width="8.85546875" style="87" customWidth="1"/>
    <col min="3" max="3" width="20" style="87" customWidth="1"/>
    <col min="4" max="4" width="52.42578125" style="87" customWidth="1"/>
    <col min="5" max="5" width="15.140625" style="87" bestFit="1" customWidth="1"/>
    <col min="6" max="6" width="5.5703125" style="87" customWidth="1"/>
    <col min="7" max="7" width="19" style="88" customWidth="1"/>
    <col min="8" max="8" width="17.5703125" style="87" customWidth="1"/>
    <col min="9" max="9" width="8.85546875" style="87" customWidth="1"/>
    <col min="10" max="10" width="4.5703125" style="87" customWidth="1"/>
    <col min="11" max="16384" width="8.85546875" style="87" hidden="1"/>
  </cols>
  <sheetData>
    <row r="1" spans="1:10" hidden="1">
      <c r="A1" s="60"/>
      <c r="B1" s="60"/>
      <c r="C1" s="60"/>
      <c r="D1" s="60"/>
      <c r="E1" s="60"/>
      <c r="F1" s="60"/>
      <c r="G1" s="75"/>
      <c r="H1" s="60"/>
      <c r="I1" s="60"/>
      <c r="J1" s="60"/>
    </row>
    <row r="2" spans="1:10" ht="18.75" hidden="1">
      <c r="A2" s="60"/>
      <c r="B2" s="609"/>
      <c r="C2" s="619"/>
      <c r="D2" s="619"/>
      <c r="E2" s="619"/>
      <c r="F2" s="619"/>
      <c r="G2" s="619"/>
      <c r="H2" s="619"/>
      <c r="I2" s="619"/>
      <c r="J2" s="369"/>
    </row>
    <row r="3" spans="1:10" ht="18.75">
      <c r="A3" s="60"/>
      <c r="B3" s="39"/>
      <c r="C3" s="60"/>
      <c r="D3" s="60"/>
      <c r="E3" s="60"/>
      <c r="F3" s="60"/>
      <c r="G3" s="75"/>
      <c r="H3" s="60"/>
      <c r="I3" s="60"/>
      <c r="J3" s="60"/>
    </row>
    <row r="4" spans="1:10" ht="18.75">
      <c r="A4" s="187" t="s">
        <v>70</v>
      </c>
      <c r="B4" s="599" t="str">
        <f>A4&amp;". "&amp;INDEX(VL_TDM!$E$11:$E$41,MATCH($A$4,VL_TDM!$B$11:$B$41,0),1)</f>
        <v>1D2. Implement Subsidized or Discounted Transit Program (for Residents)</v>
      </c>
      <c r="C4" s="600"/>
      <c r="D4" s="600"/>
      <c r="E4" s="600"/>
      <c r="F4" s="600"/>
      <c r="G4" s="600"/>
      <c r="H4" s="600"/>
      <c r="I4" s="601"/>
      <c r="J4" s="60"/>
    </row>
    <row r="5" spans="1:10" ht="15" customHeight="1">
      <c r="A5" s="60"/>
      <c r="B5" s="65"/>
      <c r="C5" s="82"/>
      <c r="D5" s="82"/>
      <c r="E5" s="82"/>
      <c r="F5" s="71"/>
      <c r="G5" s="73"/>
      <c r="H5" s="71"/>
      <c r="I5" s="64"/>
      <c r="J5" s="60"/>
    </row>
    <row r="6" spans="1:10" ht="15" customHeight="1">
      <c r="A6" s="60"/>
      <c r="B6" s="65"/>
      <c r="C6" s="71" t="s">
        <v>723</v>
      </c>
      <c r="D6" s="370" t="str">
        <f>INDEX(VL_TDM!$AC$11:$AC$41,MATCH($A$4,VL_TDM!$B$11:$B$41,0),1)</f>
        <v>Project/Site</v>
      </c>
      <c r="E6" s="73"/>
      <c r="F6" s="73"/>
      <c r="G6" s="73"/>
      <c r="H6" s="500" t="s">
        <v>120</v>
      </c>
      <c r="I6" s="64"/>
      <c r="J6" s="60"/>
    </row>
    <row r="7" spans="1:10" ht="15" customHeight="1">
      <c r="A7" s="60"/>
      <c r="B7" s="65"/>
      <c r="C7" s="81" t="s">
        <v>724</v>
      </c>
      <c r="D7" s="85" t="str">
        <f>INDEX(VL_TDM!$AD$11:$AD$41,MATCH($A$4,VL_TDM!$B$11:$B$41,0),1)</f>
        <v>Project-generated trips</v>
      </c>
      <c r="E7" s="73"/>
      <c r="F7" s="73"/>
      <c r="G7" s="71"/>
      <c r="H7" s="500" t="s">
        <v>153</v>
      </c>
      <c r="I7" s="64"/>
      <c r="J7" s="60"/>
    </row>
    <row r="8" spans="1:10" ht="15" customHeight="1">
      <c r="A8" s="60"/>
      <c r="B8" s="65"/>
      <c r="C8" s="81" t="s">
        <v>725</v>
      </c>
      <c r="D8" s="86">
        <f>INDEX(VL_TDM!$AE$11:$AE$41,MATCH($A$4,VL_TDM!$B$11:$B$41,0),1)</f>
        <v>5.5E-2</v>
      </c>
      <c r="E8" s="82"/>
      <c r="F8" s="71"/>
      <c r="G8" s="73"/>
      <c r="H8" s="71"/>
      <c r="I8" s="64"/>
      <c r="J8" s="60"/>
    </row>
    <row r="9" spans="1:10" ht="15" customHeight="1">
      <c r="A9" s="60"/>
      <c r="B9" s="65"/>
      <c r="C9" s="71"/>
      <c r="D9" s="71"/>
      <c r="E9" s="71"/>
      <c r="F9" s="71"/>
      <c r="G9" s="73"/>
      <c r="H9" s="71"/>
      <c r="I9" s="64"/>
      <c r="J9" s="60"/>
    </row>
    <row r="10" spans="1:10" ht="228.75" customHeight="1">
      <c r="A10" s="60"/>
      <c r="B10" s="65"/>
      <c r="C10" s="602" t="str">
        <f>INDEX(VL_TDM!$AF$11:$AF$41,MATCH($A$4,VL_TDM!$B$11:$B$41,0),1)</f>
        <v>This strategy will provide subsidized, discounted, or free transit passes for residents. Reducing the out-of-pocket cost for choosing transit improves the competitiveness of transit against driving, increasing the total number of transit trips and decreasing vehicle trips. This decrease in vehicle trips results in reduced VMT and thus a reduction in GHG emissions. When implementing transit discounts or subsidies, projects should adhere to the following guidance: 
• Project should be located either within one mile of high-quality transit service (either rail, or bus with headways of no more than 15 minutes), one-half mile of local or less frequent transit service, or along a designated shuttle route providing last-mile connections to rail service. As an alternative to shuttle service, if bikeshare service (Strategy 4E) is available, the site may be located up to two miles from a high-quality transit service. 
• If more than one transit agency serves the site, subsidies should be provided that can be applied to each of the services available. If subsidies are applied for only one service, all variable inputs below should also pertain only to the service which is subsidized. 
Note: please carefully specify the "Percent of project-generated VMT from residents" input, especially for projects with a high proportion of non-resident trips (e.g. schools, hotels, shopping centers). One way to estimate this value is to look at the trip generation calculations for the project and determine what proportion of the total trips comes from the residential portion of the project.</v>
      </c>
      <c r="D10" s="594"/>
      <c r="E10" s="594"/>
      <c r="F10" s="594"/>
      <c r="G10" s="594"/>
      <c r="H10" s="594"/>
      <c r="I10" s="64"/>
      <c r="J10" s="60"/>
    </row>
    <row r="11" spans="1:10" ht="15" customHeight="1">
      <c r="A11" s="60"/>
      <c r="B11" s="65"/>
      <c r="C11" s="371"/>
      <c r="D11" s="199"/>
      <c r="E11" s="199"/>
      <c r="F11" s="199"/>
      <c r="G11" s="199"/>
      <c r="H11" s="199"/>
      <c r="I11" s="64"/>
      <c r="J11" s="60"/>
    </row>
    <row r="12" spans="1:10" ht="15" customHeight="1">
      <c r="A12" s="60"/>
      <c r="B12" s="65"/>
      <c r="C12" s="76" t="s">
        <v>738</v>
      </c>
      <c r="D12" s="204"/>
      <c r="E12" s="54"/>
      <c r="F12" s="73"/>
      <c r="G12" s="204" t="s">
        <v>17</v>
      </c>
      <c r="H12" s="71"/>
      <c r="I12" s="64"/>
      <c r="J12" s="60"/>
    </row>
    <row r="13" spans="1:10" ht="4.3499999999999996" customHeight="1">
      <c r="A13" s="60"/>
      <c r="B13" s="65"/>
      <c r="C13" s="76"/>
      <c r="D13" s="71"/>
      <c r="E13" s="372"/>
      <c r="F13" s="73"/>
      <c r="G13" s="205"/>
      <c r="H13" s="71"/>
      <c r="I13" s="64"/>
      <c r="J13" s="60"/>
    </row>
    <row r="14" spans="1:10" ht="15" customHeight="1">
      <c r="A14" s="60"/>
      <c r="B14" s="65"/>
      <c r="C14" s="76" t="s">
        <v>739</v>
      </c>
      <c r="D14" s="204"/>
      <c r="E14" s="54"/>
      <c r="F14" s="73"/>
      <c r="G14" s="204" t="s">
        <v>17</v>
      </c>
      <c r="H14" s="71"/>
      <c r="I14" s="64"/>
      <c r="J14" s="16"/>
    </row>
    <row r="15" spans="1:10" ht="4.3499999999999996" customHeight="1">
      <c r="A15" s="60"/>
      <c r="B15" s="65"/>
      <c r="C15" s="76"/>
      <c r="D15" s="71"/>
      <c r="E15" s="372"/>
      <c r="F15" s="73"/>
      <c r="G15" s="205"/>
      <c r="H15" s="71"/>
      <c r="I15" s="64"/>
      <c r="J15" s="60"/>
    </row>
    <row r="16" spans="1:10" ht="15" customHeight="1">
      <c r="A16" s="60"/>
      <c r="B16" s="65"/>
      <c r="C16" s="76" t="s">
        <v>740</v>
      </c>
      <c r="D16" s="204"/>
      <c r="E16" s="54"/>
      <c r="F16" s="73"/>
      <c r="G16" s="204" t="s">
        <v>17</v>
      </c>
      <c r="H16" s="71"/>
      <c r="I16" s="64"/>
      <c r="J16" s="16"/>
    </row>
    <row r="17" spans="1:10" ht="4.3499999999999996" customHeight="1">
      <c r="A17" s="60"/>
      <c r="B17" s="65"/>
      <c r="C17" s="76"/>
      <c r="D17" s="71"/>
      <c r="E17" s="71"/>
      <c r="F17" s="73"/>
      <c r="G17" s="205"/>
      <c r="H17" s="71"/>
      <c r="I17" s="64"/>
      <c r="J17" s="60"/>
    </row>
    <row r="18" spans="1:10" ht="15" customHeight="1">
      <c r="A18" s="60"/>
      <c r="B18" s="65"/>
      <c r="C18" s="76" t="s">
        <v>752</v>
      </c>
      <c r="D18" s="204"/>
      <c r="E18" s="56"/>
      <c r="F18" s="73"/>
      <c r="G18" s="204" t="s">
        <v>17</v>
      </c>
      <c r="H18" s="71"/>
      <c r="I18" s="64"/>
      <c r="J18" s="16"/>
    </row>
    <row r="19" spans="1:10" ht="4.3499999999999996" customHeight="1">
      <c r="A19" s="60"/>
      <c r="B19" s="65"/>
      <c r="C19" s="76"/>
      <c r="D19" s="71"/>
      <c r="E19" s="71"/>
      <c r="F19" s="73"/>
      <c r="G19" s="205"/>
      <c r="H19" s="71"/>
      <c r="I19" s="64"/>
      <c r="J19" s="60"/>
    </row>
    <row r="20" spans="1:10" ht="15" customHeight="1">
      <c r="A20" s="60"/>
      <c r="B20" s="65"/>
      <c r="C20" s="76" t="s">
        <v>753</v>
      </c>
      <c r="D20" s="71"/>
      <c r="E20" s="56"/>
      <c r="F20" s="73"/>
      <c r="G20" s="204" t="s">
        <v>17</v>
      </c>
      <c r="H20" s="71"/>
      <c r="I20" s="64"/>
      <c r="J20" s="16"/>
    </row>
    <row r="21" spans="1:10" ht="4.3499999999999996" customHeight="1">
      <c r="A21" s="60"/>
      <c r="B21" s="65"/>
      <c r="C21" s="76"/>
      <c r="D21" s="71"/>
      <c r="E21" s="71"/>
      <c r="F21" s="73"/>
      <c r="G21" s="205"/>
      <c r="H21" s="71"/>
      <c r="I21" s="64"/>
      <c r="J21" s="60"/>
    </row>
    <row r="22" spans="1:10" ht="15" customHeight="1">
      <c r="A22" s="60"/>
      <c r="B22" s="65"/>
      <c r="C22" s="76" t="s">
        <v>672</v>
      </c>
      <c r="D22" s="373"/>
      <c r="E22" s="208" t="e">
        <f>INDEX(VL_TAZ!$O$9:$AD$9,1,MATCH($C22,VL_TAZ!$O$10:$AD$10,0))</f>
        <v>#N/A</v>
      </c>
      <c r="F22" s="73"/>
      <c r="G22" s="71" t="str">
        <f>CONCATENATE("Alameda CTC model",IF(NOT(ISBLANK(E24)),", overridden",""))</f>
        <v>Alameda CTC model</v>
      </c>
      <c r="H22" s="71"/>
      <c r="I22" s="64"/>
      <c r="J22" s="60"/>
    </row>
    <row r="23" spans="1:10" ht="4.3499999999999996" customHeight="1">
      <c r="A23" s="60"/>
      <c r="B23" s="65"/>
      <c r="C23" s="76"/>
      <c r="D23" s="71"/>
      <c r="E23" s="71"/>
      <c r="F23" s="73"/>
      <c r="G23" s="205"/>
      <c r="H23" s="71"/>
      <c r="I23" s="64"/>
      <c r="J23" s="60"/>
    </row>
    <row r="24" spans="1:10" ht="15" customHeight="1">
      <c r="A24" s="60"/>
      <c r="B24" s="65"/>
      <c r="C24" s="76" t="s">
        <v>754</v>
      </c>
      <c r="D24" s="373"/>
      <c r="E24" s="58"/>
      <c r="F24" s="73"/>
      <c r="G24" s="207" t="s">
        <v>20</v>
      </c>
      <c r="H24" s="71"/>
      <c r="I24" s="64"/>
      <c r="J24" s="60"/>
    </row>
    <row r="25" spans="1:10" ht="4.3499999999999996" customHeight="1">
      <c r="A25" s="60"/>
      <c r="B25" s="65"/>
      <c r="C25" s="76"/>
      <c r="D25" s="373"/>
      <c r="E25" s="374"/>
      <c r="F25" s="73"/>
      <c r="G25" s="204"/>
      <c r="H25" s="71"/>
      <c r="I25" s="64"/>
      <c r="J25" s="60"/>
    </row>
    <row r="26" spans="1:10">
      <c r="A26" s="60"/>
      <c r="B26" s="65"/>
      <c r="C26" s="76" t="s">
        <v>755</v>
      </c>
      <c r="D26" s="373"/>
      <c r="E26" s="375" t="str">
        <f>IFERROR(IF(ISBLANK(E24),E22,E24),"")</f>
        <v/>
      </c>
      <c r="F26" s="73"/>
      <c r="G26" s="204" t="s">
        <v>744</v>
      </c>
      <c r="H26" s="71"/>
      <c r="I26" s="64"/>
      <c r="J26" s="16"/>
    </row>
    <row r="27" spans="1:10" ht="7.35" customHeight="1">
      <c r="A27" s="60"/>
      <c r="B27" s="65"/>
      <c r="C27" s="76"/>
      <c r="D27" s="373"/>
      <c r="E27" s="373"/>
      <c r="F27" s="373"/>
      <c r="G27" s="204"/>
      <c r="H27" s="71"/>
      <c r="I27" s="64"/>
      <c r="J27" s="60"/>
    </row>
    <row r="28" spans="1:10">
      <c r="A28" s="60"/>
      <c r="B28" s="65"/>
      <c r="C28" s="76" t="s">
        <v>745</v>
      </c>
      <c r="D28" s="373"/>
      <c r="E28" s="376">
        <v>-0.43</v>
      </c>
      <c r="F28" s="73"/>
      <c r="G28" s="80" t="s">
        <v>746</v>
      </c>
      <c r="H28" s="71"/>
      <c r="I28" s="64"/>
      <c r="J28" s="16"/>
    </row>
    <row r="29" spans="1:10" ht="4.3499999999999996" customHeight="1">
      <c r="A29" s="60"/>
      <c r="B29" s="65"/>
      <c r="C29" s="76"/>
      <c r="D29" s="71"/>
      <c r="E29" s="71"/>
      <c r="F29" s="73"/>
      <c r="G29" s="205"/>
      <c r="H29" s="71"/>
      <c r="I29" s="64"/>
      <c r="J29" s="60"/>
    </row>
    <row r="30" spans="1:10" ht="15" customHeight="1">
      <c r="A30" s="60"/>
      <c r="B30" s="65"/>
      <c r="C30" s="76" t="s">
        <v>747</v>
      </c>
      <c r="D30" s="373"/>
      <c r="E30" s="377">
        <v>0.5</v>
      </c>
      <c r="F30" s="73"/>
      <c r="G30" s="80" t="s">
        <v>748</v>
      </c>
      <c r="H30" s="71"/>
      <c r="I30" s="64"/>
      <c r="J30" s="16"/>
    </row>
    <row r="31" spans="1:10" ht="4.3499999999999996" customHeight="1">
      <c r="A31" s="60"/>
      <c r="B31" s="65"/>
      <c r="C31" s="76"/>
      <c r="D31" s="71"/>
      <c r="E31" s="71"/>
      <c r="F31" s="73"/>
      <c r="G31" s="205"/>
      <c r="H31" s="71"/>
      <c r="I31" s="64"/>
      <c r="J31" s="60"/>
    </row>
    <row r="32" spans="1:10" ht="15" customHeight="1">
      <c r="A32" s="60"/>
      <c r="B32" s="65"/>
      <c r="C32" s="76" t="s">
        <v>749</v>
      </c>
      <c r="D32" s="204"/>
      <c r="E32" s="376">
        <v>1</v>
      </c>
      <c r="F32" s="73"/>
      <c r="G32" s="80" t="s">
        <v>750</v>
      </c>
      <c r="H32" s="71"/>
      <c r="I32" s="64"/>
      <c r="J32" s="16"/>
    </row>
    <row r="33" spans="1:10" ht="4.3499999999999996" customHeight="1">
      <c r="A33" s="60"/>
      <c r="B33" s="65"/>
      <c r="C33" s="76"/>
      <c r="D33" s="71"/>
      <c r="E33" s="71"/>
      <c r="F33" s="73"/>
      <c r="G33" s="205"/>
      <c r="H33" s="71"/>
      <c r="I33" s="64"/>
      <c r="J33" s="60"/>
    </row>
    <row r="34" spans="1:10" ht="15" customHeight="1">
      <c r="A34" s="60"/>
      <c r="B34" s="65"/>
      <c r="C34" s="76" t="s">
        <v>147</v>
      </c>
      <c r="D34" s="204"/>
      <c r="E34" s="98" t="str">
        <f>IF(OR(ISBLANK(E14),ISBLANK(E16)),"",IFERROR(MAX(-D8,(MIN(E16/E14,1)*E28)*E18*E20*E26*E30*E32),""))</f>
        <v/>
      </c>
      <c r="F34" s="378"/>
      <c r="G34" s="41" t="b">
        <v>0</v>
      </c>
      <c r="H34" s="170" t="str">
        <f>IF(OR(G34=TRUE,E34=""),"Not Active","Active")</f>
        <v>Not Active</v>
      </c>
      <c r="I34" s="64"/>
      <c r="J34" s="60"/>
    </row>
    <row r="35" spans="1:10" ht="15" customHeight="1">
      <c r="A35" s="60"/>
      <c r="B35" s="65"/>
      <c r="C35" s="71"/>
      <c r="D35" s="71"/>
      <c r="E35" s="71"/>
      <c r="F35" s="71"/>
      <c r="G35" s="73"/>
      <c r="H35" s="71"/>
      <c r="I35" s="64"/>
      <c r="J35" s="60"/>
    </row>
    <row r="36" spans="1:10" ht="69.95" customHeight="1">
      <c r="A36" s="60"/>
      <c r="B36" s="65"/>
      <c r="C36" s="621" t="str">
        <f>"Formula:  % Change in VMT =   " &amp; SUBSTITUTE("(( " &amp; C16 &amp; " / " &amp; C14 &amp; " )* " &amp; C28 &amp; " ) * " &amp; C18 &amp; " * " &amp; C20 &amp; " * " &amp; C26 &amp; " * " &amp; C30 &amp; " * " &amp; C32 &amp; " "," used for calculation","")</f>
        <v xml:space="preserve">Formula:  % Change in VMT =   (( Subsidy amount / Average transit fare without subsidy )* Elasticity of transit boardings with respect to transit fare price ) * Percent of residents eligible for subsidy * Percent of project-generated VMT from residents * Transit mode share in neighborhood/city * Percent of transit trips that would otherwise be made in a vehicle * Conversion factor of vehicle trips to VMT </v>
      </c>
      <c r="D36" s="622"/>
      <c r="E36" s="622"/>
      <c r="F36" s="622"/>
      <c r="G36" s="622"/>
      <c r="H36" s="623"/>
      <c r="I36" s="64"/>
      <c r="J36" s="60"/>
    </row>
    <row r="37" spans="1:10" ht="22.5" customHeight="1">
      <c r="A37" s="60"/>
      <c r="B37" s="65"/>
      <c r="C37" s="627" t="s">
        <v>751</v>
      </c>
      <c r="D37" s="628"/>
      <c r="E37" s="628"/>
      <c r="F37" s="628"/>
      <c r="G37" s="628"/>
      <c r="H37" s="629"/>
      <c r="I37" s="64"/>
      <c r="J37" s="60"/>
    </row>
    <row r="38" spans="1:10" ht="15" customHeight="1">
      <c r="A38" s="60"/>
      <c r="B38" s="65"/>
      <c r="C38" s="71"/>
      <c r="D38" s="70"/>
      <c r="E38" s="70"/>
      <c r="F38" s="70"/>
      <c r="G38" s="70"/>
      <c r="H38" s="70"/>
      <c r="I38" s="64"/>
      <c r="J38" s="60"/>
    </row>
    <row r="39" spans="1:10" ht="15" customHeight="1">
      <c r="A39" s="60"/>
      <c r="B39" s="65"/>
      <c r="C39" s="71" t="s">
        <v>732</v>
      </c>
      <c r="D39" s="71"/>
      <c r="E39" s="71"/>
      <c r="F39" s="71"/>
      <c r="G39" s="73"/>
      <c r="H39" s="71"/>
      <c r="I39" s="64"/>
      <c r="J39" s="60"/>
    </row>
    <row r="40" spans="1:10" ht="200.1" customHeight="1">
      <c r="A40" s="60"/>
      <c r="B40" s="65"/>
      <c r="C40" s="620" t="str">
        <f>INDEX(VL_TDM!$AG$11:$AG$41,MATCH($A$4,VL_TDM!$B$11:$B$41,0),1)</f>
        <v>(1) Federal Highway Administration (FHWA). 2017. National Household Travel Survey – 2017 Table Designer. Travel Day PMT by TRPTRANS by HH_CBSA, Workers by WRKTRANS by HH_CBSA. Available: https://nhts.ornl.gov/. Accessed: January 2021. 
(2) Handy, L., Boarnet, S. 2013. Impacts of Transit Service Strategies on Passenger Vehicle Use and Greenhouse Gas Emissions. Available: http://www.arb.ca.gov/cc/sb375/policies/transitservice/transit_brief.pdf. Accessed: January 2021. 
(3) Litman, T. 2020a. Transit Price Elasticities and Cross-elasticities. Victoria Transport Policy Institute. April. Available: https://www.vtpi.org/tranelas.pdf. Accessed: January 2021. 
(4) Taylor, B., Miller, D., Iseki, H., &amp; Fink, C. 2008. Nature and/or Nurture? Analyzing the Determinants of Transit Ridership Across US Urbanized Areas. Transportation Research Part A: Policy and Practice, 43(1), 60-77. Available: https://citeseerx.ist.psu.edu/viewdoc/download?doi=10.1.1.367.5311&amp;rep=rep1&amp;type=pdf. Accessed: January 2021.</v>
      </c>
      <c r="D40" s="597"/>
      <c r="E40" s="597"/>
      <c r="F40" s="597"/>
      <c r="G40" s="597"/>
      <c r="H40" s="597"/>
      <c r="I40" s="64"/>
      <c r="J40" s="60"/>
    </row>
    <row r="41" spans="1:10" ht="15" customHeight="1">
      <c r="A41" s="60"/>
      <c r="B41" s="74"/>
      <c r="C41" s="177"/>
      <c r="D41" s="177"/>
      <c r="E41" s="177"/>
      <c r="F41" s="177"/>
      <c r="G41" s="379"/>
      <c r="H41" s="177"/>
      <c r="I41" s="380"/>
      <c r="J41" s="60"/>
    </row>
    <row r="42" spans="1:10" ht="22.35" customHeight="1">
      <c r="A42" s="60"/>
      <c r="B42" s="16"/>
      <c r="C42" s="16"/>
      <c r="D42" s="60"/>
      <c r="E42" s="60"/>
      <c r="F42" s="60"/>
      <c r="G42" s="75"/>
      <c r="H42" s="60"/>
      <c r="I42" s="60"/>
      <c r="J42" s="60"/>
    </row>
  </sheetData>
  <sheetProtection algorithmName="SHA-512" hashValue="8BefrUIPdZsQ802nvo4BggNj7c1nq8iCYEbsExlwiE6NqjUKwCitH5T9R6rZEGk8zsRJ7Az/ggbWfTReRKMOmg==" saltValue="49QV24tMbpvP1OBl/ABgJg==" spinCount="100000" sheet="1" objects="1" scenarios="1" selectLockedCells="1"/>
  <mergeCells count="6">
    <mergeCell ref="B2:I2"/>
    <mergeCell ref="B4:I4"/>
    <mergeCell ref="C10:H10"/>
    <mergeCell ref="C36:H36"/>
    <mergeCell ref="C40:H40"/>
    <mergeCell ref="C37:H37"/>
  </mergeCells>
  <conditionalFormatting sqref="E34">
    <cfRule type="expression" dxfId="49" priority="1">
      <formula>-ROUND($D$8,3)=ROUND($E$34,3)</formula>
    </cfRule>
    <cfRule type="expression" dxfId="48" priority="2">
      <formula>AND(E34&lt;&gt;"",E34&gt;0)</formula>
    </cfRule>
  </conditionalFormatting>
  <dataValidations count="2">
    <dataValidation type="decimal" allowBlank="1" showErrorMessage="1" errorTitle="Restriction" error="Value must be between 0% and 100%_x000a_" promptTitle="Restriction" prompt="If value exceeds maximum of 25%, default value will be used below." sqref="E24" xr:uid="{30232BB1-80A1-45AC-8DE6-7401820F4378}">
      <formula1>0</formula1>
      <formula2>1</formula2>
    </dataValidation>
    <dataValidation type="decimal" operator="greaterThanOrEqual" allowBlank="1" showErrorMessage="1" error="Value must not be negative" sqref="E14 E16 E20 E18" xr:uid="{7427B53F-E2FA-48AE-94EA-E15205A1BD2C}">
      <formula1>0</formula1>
    </dataValidation>
  </dataValidations>
  <hyperlinks>
    <hyperlink ref="H7" location="Results!A1" display="Results Summary" xr:uid="{62836D87-A04A-4FC1-AA38-D9B57382C2CF}"/>
    <hyperlink ref="H6" location="Main!L65" display="Return to Main É" xr:uid="{BA7EB384-A59C-4638-9AA6-58ACC824975B}"/>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3105" r:id="rId4" name="Check Box 1">
              <controlPr defaultSize="0" autoFill="0" autoLine="0" autoPict="0" altText="Exclude From Results Summary">
                <anchor moveWithCells="1">
                  <from>
                    <xdr:col>6</xdr:col>
                    <xdr:colOff>0</xdr:colOff>
                    <xdr:row>32</xdr:row>
                    <xdr:rowOff>66675</xdr:rowOff>
                  </from>
                  <to>
                    <xdr:col>7</xdr:col>
                    <xdr:colOff>28575</xdr:colOff>
                    <xdr:row>34</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operator="greaterThanOrEqual" allowBlank="1" showErrorMessage="1" error="Select value from drop-down list" xr:uid="{E5B03626-BFBE-4848-A57D-54D79EEA2140}">
          <x14:formula1>
            <xm:f>VL_REF!$CE$11:$CE$16</xm:f>
          </x14:formula1>
          <xm:sqref>E12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CC00CC"/>
  </sheetPr>
  <dimension ref="A1:N70"/>
  <sheetViews>
    <sheetView showGridLines="0" showRowColHeaders="0" topLeftCell="A14" zoomScaleNormal="100" workbookViewId="0">
      <selection activeCell="H6" sqref="H6"/>
    </sheetView>
  </sheetViews>
  <sheetFormatPr defaultColWidth="0" defaultRowHeight="15" zeroHeight="1"/>
  <cols>
    <col min="1" max="1" width="4.42578125" style="87" customWidth="1"/>
    <col min="2" max="2" width="8.85546875" style="87" customWidth="1"/>
    <col min="3" max="3" width="20" style="87" customWidth="1"/>
    <col min="4" max="4" width="55.5703125" style="87" customWidth="1"/>
    <col min="5" max="5" width="10.5703125" style="88" customWidth="1"/>
    <col min="6" max="6" width="5.5703125" style="87" customWidth="1"/>
    <col min="7" max="7" width="19" style="87" customWidth="1"/>
    <col min="8" max="8" width="17.5703125" style="87" customWidth="1"/>
    <col min="9" max="9" width="8.85546875" style="87" customWidth="1"/>
    <col min="10" max="10" width="4.5703125" style="87" customWidth="1"/>
    <col min="11" max="12" width="24.5703125" hidden="1" customWidth="1"/>
    <col min="13" max="16384" width="8.85546875" hidden="1"/>
  </cols>
  <sheetData>
    <row r="1" spans="1:11" s="16" customFormat="1" ht="18.75" hidden="1">
      <c r="A1" s="60"/>
      <c r="B1" s="598"/>
      <c r="C1" s="598"/>
      <c r="D1" s="598"/>
      <c r="E1" s="598"/>
      <c r="F1" s="598"/>
      <c r="G1" s="598"/>
      <c r="H1" s="598"/>
      <c r="I1" s="598"/>
      <c r="J1" s="60"/>
      <c r="K1"/>
    </row>
    <row r="2" spans="1:11" ht="18.75" hidden="1">
      <c r="A2" s="60"/>
      <c r="B2" s="598"/>
      <c r="C2" s="598"/>
      <c r="D2" s="598"/>
      <c r="E2" s="598"/>
      <c r="F2" s="598"/>
      <c r="G2" s="598"/>
      <c r="H2" s="598"/>
      <c r="I2" s="598"/>
      <c r="J2" s="60"/>
    </row>
    <row r="3" spans="1:11" ht="18.75">
      <c r="A3" s="60"/>
      <c r="B3" s="39"/>
      <c r="C3" s="62"/>
      <c r="D3" s="62"/>
      <c r="E3" s="63"/>
      <c r="F3" s="62"/>
      <c r="G3" s="62"/>
      <c r="H3" s="62"/>
      <c r="I3" s="62"/>
      <c r="J3" s="60"/>
    </row>
    <row r="4" spans="1:11" ht="21.6" customHeight="1">
      <c r="A4" s="187" t="s">
        <v>74</v>
      </c>
      <c r="B4" s="599" t="str">
        <f>A4&amp;". "&amp;INDEX(VL_TDM!$E$11:$E$41,MATCH($A$4,VL_TDM!$B$11:$B$41,0),1)</f>
        <v>1E. Employer Vanpool Program</v>
      </c>
      <c r="C4" s="600"/>
      <c r="D4" s="600"/>
      <c r="E4" s="600"/>
      <c r="F4" s="600"/>
      <c r="G4" s="600"/>
      <c r="H4" s="600"/>
      <c r="I4" s="601"/>
      <c r="J4" s="60"/>
    </row>
    <row r="5" spans="1:11" ht="15" customHeight="1">
      <c r="A5" s="60"/>
      <c r="B5" s="65"/>
      <c r="C5" s="71"/>
      <c r="D5" s="71"/>
      <c r="E5" s="71"/>
      <c r="F5" s="71"/>
      <c r="G5" s="73"/>
      <c r="H5" s="71"/>
      <c r="I5" s="64"/>
      <c r="J5" s="60"/>
    </row>
    <row r="6" spans="1:11" ht="15" customHeight="1">
      <c r="A6" s="60"/>
      <c r="B6" s="65"/>
      <c r="C6" s="81" t="s">
        <v>723</v>
      </c>
      <c r="D6" s="82" t="str">
        <f>INDEX(VL_TDM!$AC$11:$AC$41,MATCH($A$4,VL_TDM!$B$11:$B$41,0),1)</f>
        <v>Project/Site</v>
      </c>
      <c r="E6" s="83"/>
      <c r="F6" s="83"/>
      <c r="G6" s="83"/>
      <c r="H6" s="500" t="s">
        <v>120</v>
      </c>
      <c r="I6" s="64"/>
      <c r="J6" s="60"/>
    </row>
    <row r="7" spans="1:11" ht="15" customHeight="1">
      <c r="A7" s="60"/>
      <c r="B7" s="65"/>
      <c r="C7" s="81" t="s">
        <v>724</v>
      </c>
      <c r="D7" s="85" t="str">
        <f>INDEX(VL_TDM!$AD$11:$AD$41,MATCH($A$4,VL_TDM!$B$11:$B$41,0),1)</f>
        <v>Employee commute trips</v>
      </c>
      <c r="E7" s="81"/>
      <c r="F7" s="82"/>
      <c r="G7" s="83"/>
      <c r="H7" s="500" t="s">
        <v>153</v>
      </c>
      <c r="I7" s="64"/>
      <c r="J7" s="60"/>
    </row>
    <row r="8" spans="1:11" ht="15" customHeight="1">
      <c r="A8" s="60"/>
      <c r="B8" s="65"/>
      <c r="C8" s="81" t="s">
        <v>725</v>
      </c>
      <c r="D8" s="86">
        <f>INDEX(VL_TDM!$AE$11:$AE$41,MATCH($A$4,VL_TDM!$B$11:$B$41,0),1)</f>
        <v>0.104</v>
      </c>
      <c r="E8" s="71"/>
      <c r="F8" s="71"/>
      <c r="G8" s="73"/>
      <c r="H8" s="71"/>
      <c r="I8" s="64"/>
      <c r="J8" s="60"/>
    </row>
    <row r="9" spans="1:11" ht="15" customHeight="1">
      <c r="A9" s="60"/>
      <c r="B9" s="65"/>
      <c r="C9" s="71"/>
      <c r="D9" s="71"/>
      <c r="E9" s="73"/>
      <c r="F9" s="71"/>
      <c r="G9" s="71"/>
      <c r="H9" s="82"/>
      <c r="I9" s="64"/>
      <c r="J9" s="78"/>
    </row>
    <row r="10" spans="1:11" ht="90" customHeight="1">
      <c r="A10" s="60"/>
      <c r="B10" s="65"/>
      <c r="C10" s="551" t="str">
        <f>INDEX(VL_TDM!$AF$11:$AF$41,MATCH($A$4,VL_TDM!$B$11:$B$41,0),1)</f>
        <v>This strategy will implement an employer-sponsored vanpool service. Vanpooling is a flexible form of public transportation that provides groups of 5 to 15 people with a cost-effective and convenient rideshare option for commuting. The mode shift from long-distance, single-occupied vehicles to shared vehicles reduces overall commute VMT, thereby reducing GHG emissions. When implementing a vanpool service, best practice is to subsidize the cost for employees that have a similar origin and destination and provide priority parking for employees that vanpool.</v>
      </c>
      <c r="D10" s="597"/>
      <c r="E10" s="597"/>
      <c r="F10" s="597"/>
      <c r="G10" s="597"/>
      <c r="H10" s="597"/>
      <c r="I10" s="64"/>
      <c r="J10" s="78"/>
    </row>
    <row r="11" spans="1:11" ht="15" customHeight="1">
      <c r="A11" s="60"/>
      <c r="B11" s="65"/>
      <c r="C11" s="71"/>
      <c r="D11" s="71"/>
      <c r="E11" s="73"/>
      <c r="F11" s="71"/>
      <c r="G11" s="71"/>
      <c r="H11" s="71"/>
      <c r="I11" s="64"/>
      <c r="J11" s="60"/>
    </row>
    <row r="12" spans="1:11" ht="15" customHeight="1">
      <c r="A12" s="60"/>
      <c r="B12" s="65"/>
      <c r="C12" s="76" t="s">
        <v>756</v>
      </c>
      <c r="D12" s="71"/>
      <c r="E12" s="38"/>
      <c r="F12" s="71"/>
      <c r="G12" s="204" t="s">
        <v>17</v>
      </c>
      <c r="H12" s="71"/>
      <c r="I12" s="64"/>
      <c r="J12" s="60"/>
    </row>
    <row r="13" spans="1:11" ht="30" customHeight="1">
      <c r="A13" s="60"/>
      <c r="B13" s="65"/>
      <c r="C13" s="77"/>
      <c r="D13" s="71"/>
      <c r="E13" s="71"/>
      <c r="F13" s="71"/>
      <c r="G13" s="595" t="str">
        <f>IF(E12="no","Strategy does not apply to project. No change in VMT.","")</f>
        <v/>
      </c>
      <c r="H13" s="595"/>
      <c r="I13" s="64"/>
      <c r="J13" s="60"/>
    </row>
    <row r="14" spans="1:11" ht="7.35" customHeight="1">
      <c r="A14" s="60"/>
      <c r="B14" s="65"/>
      <c r="C14" s="77"/>
      <c r="D14" s="71"/>
      <c r="E14" s="71"/>
      <c r="F14" s="71"/>
      <c r="G14" s="381"/>
      <c r="H14" s="71"/>
      <c r="I14" s="64"/>
      <c r="J14" s="60"/>
    </row>
    <row r="15" spans="1:11" ht="15" customHeight="1">
      <c r="A15" s="60"/>
      <c r="B15" s="65"/>
      <c r="C15" s="76" t="s">
        <v>757</v>
      </c>
      <c r="D15" s="71"/>
      <c r="E15" s="208">
        <v>2.7E-2</v>
      </c>
      <c r="F15" s="71"/>
      <c r="G15" s="80" t="s">
        <v>748</v>
      </c>
      <c r="H15" s="71"/>
      <c r="I15" s="64"/>
      <c r="J15" s="60"/>
    </row>
    <row r="16" spans="1:11" ht="7.35" customHeight="1">
      <c r="A16" s="60"/>
      <c r="B16" s="65"/>
      <c r="C16" s="76"/>
      <c r="D16" s="71"/>
      <c r="E16" s="382"/>
      <c r="F16" s="71"/>
      <c r="G16" s="204"/>
      <c r="H16" s="71"/>
      <c r="I16" s="64"/>
      <c r="J16" s="60"/>
    </row>
    <row r="17" spans="1:10" ht="15" customHeight="1">
      <c r="A17" s="60"/>
      <c r="B17" s="65"/>
      <c r="C17" s="76" t="s">
        <v>758</v>
      </c>
      <c r="D17" s="71"/>
      <c r="E17" s="58"/>
      <c r="F17" s="71"/>
      <c r="G17" s="207" t="s">
        <v>20</v>
      </c>
      <c r="H17" s="79"/>
      <c r="I17" s="64"/>
      <c r="J17" s="60"/>
    </row>
    <row r="18" spans="1:10" ht="7.35" customHeight="1">
      <c r="A18" s="60"/>
      <c r="B18" s="65"/>
      <c r="C18" s="77"/>
      <c r="D18" s="71"/>
      <c r="E18" s="71"/>
      <c r="F18" s="71"/>
      <c r="G18" s="205"/>
      <c r="H18" s="71"/>
      <c r="I18" s="64"/>
      <c r="J18" s="60"/>
    </row>
    <row r="19" spans="1:10">
      <c r="A19" s="60"/>
      <c r="B19" s="65"/>
      <c r="C19" s="76" t="s">
        <v>759</v>
      </c>
      <c r="D19" s="71"/>
      <c r="E19" s="48">
        <f>IFERROR(IF(ISBLANK(E17),E15,IF(E17&gt;0.15,E15,IF(E17&gt;=0,E17,E15))),"")</f>
        <v>2.7E-2</v>
      </c>
      <c r="F19" s="71"/>
      <c r="G19" s="204" t="s">
        <v>744</v>
      </c>
      <c r="H19" s="71"/>
      <c r="I19" s="64"/>
      <c r="J19" s="16"/>
    </row>
    <row r="20" spans="1:10" ht="7.35" customHeight="1">
      <c r="A20" s="60"/>
      <c r="B20" s="65"/>
      <c r="C20" s="77"/>
      <c r="D20" s="71"/>
      <c r="E20" s="378"/>
      <c r="F20" s="71"/>
      <c r="G20" s="205"/>
      <c r="H20" s="71"/>
      <c r="I20" s="64"/>
      <c r="J20" s="60"/>
    </row>
    <row r="21" spans="1:10" ht="15" customHeight="1">
      <c r="A21" s="60"/>
      <c r="B21" s="65"/>
      <c r="C21" s="76" t="s">
        <v>671</v>
      </c>
      <c r="D21" s="71"/>
      <c r="E21" s="383" t="e">
        <f>IF(J21="Use Capcoa 2021",VL_REF!$P$3,INDEX(VL_TAZ!$O$9:$AD$9,1,MATCH($C21,VL_TAZ!$O$10:$AD$10,0)))</f>
        <v>#N/A</v>
      </c>
      <c r="F21" s="71"/>
      <c r="G21" s="71" t="str">
        <f>CONCATENATE("Alameda CTC model",IF(NOT(ISBLANK(E23)),", overridden",""))</f>
        <v>Alameda CTC model</v>
      </c>
      <c r="H21" s="80"/>
      <c r="I21" s="64"/>
      <c r="J21" s="187" t="s">
        <v>760</v>
      </c>
    </row>
    <row r="22" spans="1:10" ht="7.35" customHeight="1">
      <c r="A22" s="60"/>
      <c r="B22" s="65"/>
      <c r="C22" s="77"/>
      <c r="D22" s="71"/>
      <c r="E22" s="378"/>
      <c r="F22" s="71"/>
      <c r="G22" s="205"/>
      <c r="H22" s="71"/>
      <c r="I22" s="64"/>
      <c r="J22" s="60"/>
    </row>
    <row r="23" spans="1:10" ht="15" customHeight="1">
      <c r="A23" s="60"/>
      <c r="B23" s="65"/>
      <c r="C23" s="76" t="s">
        <v>761</v>
      </c>
      <c r="D23" s="71"/>
      <c r="E23" s="40"/>
      <c r="F23" s="71"/>
      <c r="G23" s="207" t="s">
        <v>20</v>
      </c>
      <c r="H23" s="79"/>
      <c r="I23" s="64"/>
      <c r="J23" s="60"/>
    </row>
    <row r="24" spans="1:10" ht="7.35" customHeight="1">
      <c r="A24" s="60"/>
      <c r="B24" s="65"/>
      <c r="C24" s="77"/>
      <c r="D24" s="71"/>
      <c r="E24" s="71"/>
      <c r="F24" s="71"/>
      <c r="G24" s="205"/>
      <c r="H24" s="71"/>
      <c r="I24" s="64"/>
      <c r="J24" s="60"/>
    </row>
    <row r="25" spans="1:10">
      <c r="A25" s="60"/>
      <c r="B25" s="65"/>
      <c r="C25" s="76" t="s">
        <v>762</v>
      </c>
      <c r="D25" s="71"/>
      <c r="E25" s="384" t="str">
        <f>IFERROR(IF(ISBLANK(E23),E21,E23),"")</f>
        <v/>
      </c>
      <c r="F25" s="71"/>
      <c r="G25" s="204" t="s">
        <v>744</v>
      </c>
      <c r="H25" s="71"/>
      <c r="I25" s="64"/>
      <c r="J25" s="16"/>
    </row>
    <row r="26" spans="1:10" ht="7.35" customHeight="1">
      <c r="A26" s="60"/>
      <c r="B26" s="65"/>
      <c r="C26" s="77"/>
      <c r="D26" s="71"/>
      <c r="E26" s="378"/>
      <c r="F26" s="71"/>
      <c r="G26" s="205"/>
      <c r="H26" s="71"/>
      <c r="I26" s="64"/>
      <c r="J26" s="60"/>
    </row>
    <row r="27" spans="1:10" ht="15" customHeight="1">
      <c r="A27" s="60"/>
      <c r="B27" s="65"/>
      <c r="C27" s="76" t="s">
        <v>763</v>
      </c>
      <c r="D27" s="71"/>
      <c r="E27" s="383">
        <v>42</v>
      </c>
      <c r="F27" s="71"/>
      <c r="G27" s="80" t="s">
        <v>748</v>
      </c>
      <c r="H27" s="71"/>
      <c r="I27" s="64"/>
      <c r="J27" s="60"/>
    </row>
    <row r="28" spans="1:10" ht="7.35" customHeight="1">
      <c r="A28" s="60"/>
      <c r="B28" s="65"/>
      <c r="C28" s="77"/>
      <c r="D28" s="71"/>
      <c r="E28" s="71"/>
      <c r="F28" s="71"/>
      <c r="G28" s="205"/>
      <c r="H28" s="71"/>
      <c r="I28" s="64"/>
      <c r="J28" s="60"/>
    </row>
    <row r="29" spans="1:10" ht="15" customHeight="1">
      <c r="A29" s="60"/>
      <c r="B29" s="65"/>
      <c r="C29" s="76" t="s">
        <v>764</v>
      </c>
      <c r="D29" s="71"/>
      <c r="E29" s="40"/>
      <c r="F29" s="71"/>
      <c r="G29" s="207" t="s">
        <v>20</v>
      </c>
      <c r="H29" s="79"/>
      <c r="I29" s="64"/>
      <c r="J29" s="60"/>
    </row>
    <row r="30" spans="1:10" ht="7.35" customHeight="1">
      <c r="A30" s="60"/>
      <c r="B30" s="65"/>
      <c r="C30" s="77"/>
      <c r="D30" s="71"/>
      <c r="E30" s="71"/>
      <c r="F30" s="71"/>
      <c r="G30" s="205"/>
      <c r="H30" s="71"/>
      <c r="I30" s="64"/>
      <c r="J30" s="60"/>
    </row>
    <row r="31" spans="1:10">
      <c r="A31" s="60"/>
      <c r="B31" s="65"/>
      <c r="C31" s="76" t="s">
        <v>765</v>
      </c>
      <c r="D31" s="71"/>
      <c r="E31" s="384">
        <f>IFERROR(IF(ISBLANK(E29),E27,E29),"")</f>
        <v>42</v>
      </c>
      <c r="F31" s="71"/>
      <c r="G31" s="204" t="s">
        <v>744</v>
      </c>
      <c r="H31" s="71"/>
      <c r="I31" s="64"/>
      <c r="J31" s="16"/>
    </row>
    <row r="32" spans="1:10" ht="7.35" customHeight="1">
      <c r="A32" s="60"/>
      <c r="B32" s="65"/>
      <c r="C32" s="77"/>
      <c r="D32" s="71"/>
      <c r="E32" s="71"/>
      <c r="F32" s="71"/>
      <c r="G32" s="205"/>
      <c r="H32" s="71"/>
      <c r="I32" s="64"/>
      <c r="J32" s="60"/>
    </row>
    <row r="33" spans="1:10" ht="15" customHeight="1">
      <c r="A33" s="60"/>
      <c r="B33" s="65"/>
      <c r="C33" s="76" t="s">
        <v>766</v>
      </c>
      <c r="D33" s="71"/>
      <c r="E33" s="385">
        <v>6.25</v>
      </c>
      <c r="F33" s="71"/>
      <c r="G33" s="80" t="s">
        <v>748</v>
      </c>
      <c r="H33" s="71"/>
      <c r="I33" s="64"/>
      <c r="J33" s="16"/>
    </row>
    <row r="34" spans="1:10" ht="7.35" customHeight="1">
      <c r="A34" s="60"/>
      <c r="B34" s="65"/>
      <c r="C34" s="77"/>
      <c r="D34" s="71"/>
      <c r="E34" s="71"/>
      <c r="F34" s="71"/>
      <c r="G34" s="205"/>
      <c r="H34" s="71"/>
      <c r="I34" s="64"/>
      <c r="J34" s="60"/>
    </row>
    <row r="35" spans="1:10" ht="15" customHeight="1">
      <c r="A35" s="60"/>
      <c r="B35" s="65"/>
      <c r="C35" s="76" t="s">
        <v>147</v>
      </c>
      <c r="D35" s="73"/>
      <c r="E35" s="98" t="str">
        <f>IF(E12="yes",IFERROR(MAX(-D8,((((1-E19)*E25+E19*(E31/E33))/((1-E19)*E25+E19*E31))-1)),""),"")</f>
        <v/>
      </c>
      <c r="F35" s="378"/>
      <c r="G35" s="41" t="b">
        <v>0</v>
      </c>
      <c r="H35" s="170" t="str">
        <f>IF(OR(G35=TRUE,E35=""),"Not Active","Active")</f>
        <v>Not Active</v>
      </c>
      <c r="I35" s="64"/>
      <c r="J35" s="60"/>
    </row>
    <row r="36" spans="1:10" ht="15" customHeight="1">
      <c r="A36" s="60"/>
      <c r="B36" s="65"/>
      <c r="C36" s="204"/>
      <c r="D36" s="71"/>
      <c r="E36" s="386"/>
      <c r="F36" s="71"/>
      <c r="G36" s="71"/>
      <c r="H36" s="71"/>
      <c r="I36" s="64"/>
      <c r="J36" s="60"/>
    </row>
    <row r="37" spans="1:10" s="388" customFormat="1" ht="51.95" customHeight="1">
      <c r="A37" s="66"/>
      <c r="B37" s="67"/>
      <c r="C37" s="621" t="str">
        <f>"Formula:  % Change in VMT =  " &amp; SUBSTITUTE("((((1- " &amp; C19 &amp; " )* " &amp; C25 &amp; " + " &amp; C19 &amp; " *( " &amp; C31 &amp; " / " &amp; C33 &amp; " ))/((1- " &amp; C19 &amp; " )* " &amp; C25 &amp; " + " &amp; C19 &amp; " * " &amp; C31 &amp; " ))-1)"," used for calculation","")</f>
        <v>Formula:  % Change in VMT =  ((((1- Vanpool participation rate )* Length of one-way vehicle commute trip in region + Vanpool participation rate *( Length of one-way vanpool commute trip / Average vanpool occupancy (including driver) ))/((1- Vanpool participation rate )* Length of one-way vehicle commute trip in region + Vanpool participation rate * Length of one-way vanpool commute trip ))-1)</v>
      </c>
      <c r="D37" s="622"/>
      <c r="E37" s="622"/>
      <c r="F37" s="623"/>
      <c r="G37" s="622"/>
      <c r="H37" s="623"/>
      <c r="I37" s="387"/>
      <c r="J37" s="66"/>
    </row>
    <row r="38" spans="1:10" ht="15" customHeight="1">
      <c r="A38" s="60"/>
      <c r="B38" s="68"/>
      <c r="C38" s="69"/>
      <c r="D38" s="177" t="s">
        <v>767</v>
      </c>
      <c r="E38" s="178"/>
      <c r="F38" s="178"/>
      <c r="G38" s="178"/>
      <c r="H38" s="176"/>
      <c r="I38" s="64"/>
      <c r="J38" s="60"/>
    </row>
    <row r="39" spans="1:10" ht="15" customHeight="1">
      <c r="A39" s="60"/>
      <c r="B39" s="65"/>
      <c r="C39" s="70"/>
      <c r="D39" s="70"/>
      <c r="E39" s="70"/>
      <c r="F39" s="70"/>
      <c r="G39" s="70"/>
      <c r="H39" s="70"/>
      <c r="I39" s="64"/>
      <c r="J39" s="60"/>
    </row>
    <row r="40" spans="1:10" ht="15" customHeight="1">
      <c r="A40" s="60"/>
      <c r="B40" s="65"/>
      <c r="C40" s="71" t="s">
        <v>732</v>
      </c>
      <c r="D40" s="72"/>
      <c r="E40" s="73"/>
      <c r="F40" s="71"/>
      <c r="G40" s="71"/>
      <c r="H40" s="71"/>
      <c r="I40" s="64"/>
      <c r="J40" s="60"/>
    </row>
    <row r="41" spans="1:10" ht="99.95" customHeight="1">
      <c r="A41" s="60"/>
      <c r="B41" s="65"/>
      <c r="C41" s="620" t="str">
        <f>INDEX(VL_TDM!$AG$11:$AG$41,MATCH($A$4,VL_TDM!$B$11:$B$41,0),1)</f>
        <v>(1) Federal Highway Administration (FHWA). 2017. National Household Travel Survey – 2017 Table Designer. Travel Day VT by HH_CBSA by TRPTRANS by TRIPPURP. Available: https://nhts.ornl.gov/. Accessed: January 2021. 
(2) San Diego Association of Governments (SANDAG). 2019. Mobility Management VMT Reduction Calculator Tool – Design Document. June. Available: https://www.icommutesd.com/docs/default-source/planning/tool-design-document_final_7- 17-19.pdf?sfvrsn=ec39eb3b_2. Accessed: January 2021.</v>
      </c>
      <c r="D41" s="597"/>
      <c r="E41" s="597"/>
      <c r="F41" s="597"/>
      <c r="G41" s="597"/>
      <c r="H41" s="597"/>
      <c r="I41" s="64"/>
      <c r="J41" s="60"/>
    </row>
    <row r="42" spans="1:10" ht="15" customHeight="1">
      <c r="A42" s="60"/>
      <c r="B42" s="74"/>
      <c r="C42" s="12"/>
      <c r="D42" s="12"/>
      <c r="E42" s="12"/>
      <c r="F42" s="12"/>
      <c r="G42" s="12"/>
      <c r="H42" s="12"/>
      <c r="I42" s="380"/>
      <c r="J42" s="60"/>
    </row>
    <row r="43" spans="1:10" ht="22.35" customHeight="1">
      <c r="A43" s="60"/>
      <c r="B43" s="60"/>
      <c r="C43" s="60"/>
      <c r="D43" s="60"/>
      <c r="E43" s="75"/>
      <c r="F43" s="60"/>
      <c r="G43" s="60"/>
      <c r="H43" s="60"/>
      <c r="I43" s="60"/>
      <c r="J43" s="60"/>
    </row>
    <row r="50" spans="8:14" hidden="1">
      <c r="I50" s="389"/>
      <c r="J50" s="390"/>
      <c r="K50" s="390"/>
      <c r="L50" s="391"/>
      <c r="M50" s="391"/>
      <c r="N50" s="392"/>
    </row>
    <row r="51" spans="8:14" hidden="1">
      <c r="I51" s="389"/>
      <c r="J51" s="390"/>
      <c r="K51" s="389"/>
      <c r="L51" s="391"/>
      <c r="M51" s="391"/>
      <c r="N51" s="392"/>
    </row>
    <row r="52" spans="8:14" hidden="1">
      <c r="I52" s="389"/>
      <c r="J52" s="390"/>
      <c r="K52" s="390"/>
      <c r="L52" s="391"/>
      <c r="M52" s="391"/>
      <c r="N52" s="392"/>
    </row>
    <row r="53" spans="8:14" hidden="1">
      <c r="I53" s="389"/>
      <c r="J53" s="390"/>
      <c r="K53" s="390"/>
      <c r="L53" s="391"/>
      <c r="M53" s="391"/>
      <c r="N53" s="392"/>
    </row>
    <row r="54" spans="8:14" hidden="1">
      <c r="I54" s="389"/>
      <c r="J54" s="390"/>
      <c r="K54" s="390"/>
      <c r="L54" s="391"/>
      <c r="M54" s="391"/>
      <c r="N54" s="392"/>
    </row>
    <row r="55" spans="8:14" hidden="1">
      <c r="I55" s="389"/>
      <c r="J55" s="390"/>
      <c r="K55" s="390"/>
      <c r="L55" s="391"/>
      <c r="M55" s="391"/>
      <c r="N55" s="392"/>
    </row>
    <row r="56" spans="8:14" hidden="1">
      <c r="I56" s="390"/>
      <c r="J56" s="390"/>
      <c r="K56" s="390"/>
      <c r="L56" s="391"/>
      <c r="M56" s="391"/>
    </row>
    <row r="57" spans="8:14" hidden="1">
      <c r="I57" s="389"/>
      <c r="J57" s="390"/>
      <c r="K57" s="390"/>
      <c r="L57" s="391"/>
      <c r="M57" s="391"/>
    </row>
    <row r="58" spans="8:14" hidden="1">
      <c r="I58" s="389"/>
      <c r="J58" s="390"/>
      <c r="K58" s="390"/>
      <c r="L58" s="391"/>
      <c r="M58" s="391"/>
    </row>
    <row r="59" spans="8:14" hidden="1">
      <c r="I59" s="389"/>
      <c r="J59" s="390"/>
      <c r="K59" s="390"/>
      <c r="L59" s="391"/>
      <c r="M59" s="391"/>
    </row>
    <row r="60" spans="8:14" hidden="1">
      <c r="I60" s="389"/>
      <c r="J60" s="390"/>
      <c r="K60" s="390"/>
      <c r="L60" s="391"/>
      <c r="M60" s="391"/>
    </row>
    <row r="61" spans="8:14" hidden="1">
      <c r="I61" s="393"/>
      <c r="J61" s="393"/>
      <c r="K61" s="394"/>
      <c r="L61" s="393"/>
      <c r="M61" s="393"/>
    </row>
    <row r="62" spans="8:14" hidden="1">
      <c r="H62" s="395"/>
      <c r="I62" s="390"/>
      <c r="J62" s="390"/>
      <c r="K62" s="390"/>
      <c r="L62" s="396"/>
      <c r="M62" s="391"/>
    </row>
    <row r="63" spans="8:14" hidden="1">
      <c r="H63" s="395"/>
      <c r="I63" s="390"/>
      <c r="J63" s="390"/>
      <c r="K63" s="390"/>
      <c r="L63" s="396"/>
      <c r="M63" s="391"/>
    </row>
    <row r="64" spans="8:14" hidden="1">
      <c r="H64" s="395"/>
      <c r="I64" s="389"/>
      <c r="J64" s="390"/>
      <c r="K64" s="390"/>
      <c r="L64" s="396"/>
      <c r="M64" s="391"/>
    </row>
    <row r="65" spans="8:13" hidden="1">
      <c r="H65" s="395"/>
      <c r="I65" s="389"/>
      <c r="J65" s="390"/>
      <c r="K65" s="390"/>
      <c r="L65" s="396"/>
      <c r="M65" s="391"/>
    </row>
    <row r="66" spans="8:13" hidden="1">
      <c r="H66" s="395"/>
      <c r="I66" s="390"/>
      <c r="J66" s="390"/>
      <c r="K66" s="397"/>
      <c r="L66" s="396"/>
      <c r="M66" s="391"/>
    </row>
    <row r="67" spans="8:13" hidden="1">
      <c r="H67" s="395"/>
      <c r="I67" s="390"/>
      <c r="J67" s="390"/>
      <c r="K67" s="397"/>
      <c r="L67" s="396"/>
      <c r="M67" s="391"/>
    </row>
    <row r="68" spans="8:13" hidden="1">
      <c r="H68" s="395"/>
      <c r="I68" s="390"/>
      <c r="J68" s="390"/>
      <c r="K68" s="390"/>
      <c r="L68" s="396"/>
      <c r="M68" s="391"/>
    </row>
    <row r="69" spans="8:13" hidden="1">
      <c r="H69" s="395"/>
      <c r="I69" s="390"/>
      <c r="J69" s="390"/>
      <c r="K69" s="390"/>
      <c r="L69" s="396"/>
      <c r="M69" s="391"/>
    </row>
    <row r="70" spans="8:13" hidden="1">
      <c r="K70" s="398"/>
      <c r="L70" s="399"/>
    </row>
  </sheetData>
  <sheetProtection algorithmName="SHA-512" hashValue="raLqYB9L6Bbyi5FYZzT2DiHiIKYTo/oMEMHMJJWH2x0zvl/6W3ATyOSnxCg5inQZJiitwDAutKnpXbrsukvolA==" saltValue="/4jDqI89oyGFMaznd48Qng==" spinCount="100000" sheet="1" objects="1" scenarios="1" selectLockedCells="1"/>
  <mergeCells count="7">
    <mergeCell ref="C41:H41"/>
    <mergeCell ref="B1:I1"/>
    <mergeCell ref="B2:I2"/>
    <mergeCell ref="B4:I4"/>
    <mergeCell ref="C37:H37"/>
    <mergeCell ref="C10:H10"/>
    <mergeCell ref="G13:H13"/>
  </mergeCells>
  <conditionalFormatting sqref="E35">
    <cfRule type="expression" dxfId="47" priority="75">
      <formula>-ROUND($D$8,3)=ROUND($E$35,3)</formula>
    </cfRule>
    <cfRule type="expression" dxfId="46" priority="76">
      <formula>AND(E35&lt;&gt;"",E35&gt;0)</formula>
    </cfRule>
  </conditionalFormatting>
  <dataValidations count="2">
    <dataValidation type="decimal" operator="greaterThanOrEqual" allowBlank="1" showErrorMessage="1" errorTitle="Restriction" error="Value must not be negative" promptTitle="Restriction" prompt="_x000a_" sqref="E29 E23" xr:uid="{00000000-0002-0000-0800-000000000000}">
      <formula1>0</formula1>
    </dataValidation>
    <dataValidation type="decimal" allowBlank="1" showErrorMessage="1" errorTitle="Restriction" error="Value must be between 0% and 100%" promptTitle="Restriction" prompt="_x000a_" sqref="E17" xr:uid="{00000000-0002-0000-0800-000001000000}">
      <formula1>0</formula1>
      <formula2>1</formula2>
    </dataValidation>
  </dataValidations>
  <hyperlinks>
    <hyperlink ref="H7" location="Results!A1" display="Results Summary" xr:uid="{00000000-0004-0000-0800-000000000000}"/>
    <hyperlink ref="H6" location="Main!E65" display="Return to Main É" xr:uid="{00000000-0004-0000-08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ltText="Exclude From Results Summary">
                <anchor moveWithCells="1">
                  <from>
                    <xdr:col>6</xdr:col>
                    <xdr:colOff>0</xdr:colOff>
                    <xdr:row>33</xdr:row>
                    <xdr:rowOff>76200</xdr:rowOff>
                  </from>
                  <to>
                    <xdr:col>7</xdr:col>
                    <xdr:colOff>9525</xdr:colOff>
                    <xdr:row>35</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error="Select value from drop-down list" promptTitle="Option" prompt="Choose the unit for which you will report density in the input cell below." xr:uid="{00000000-0002-0000-0800-000002000000}">
          <x14:formula1>
            <xm:f>VL_REF!$CB$11:$CB$13</xm:f>
          </x14:formula1>
          <xm:sqref>E12</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CC00CC"/>
  </sheetPr>
  <dimension ref="A1:K24"/>
  <sheetViews>
    <sheetView showGridLines="0" showRowColHeaders="0" zoomScaleNormal="100" workbookViewId="0">
      <selection activeCell="E10" sqref="E10"/>
    </sheetView>
  </sheetViews>
  <sheetFormatPr defaultColWidth="0" defaultRowHeight="15" zeroHeight="1"/>
  <cols>
    <col min="1" max="1" width="4.42578125" customWidth="1"/>
    <col min="2" max="2" width="8.85546875" customWidth="1"/>
    <col min="3" max="3" width="20" customWidth="1"/>
    <col min="4" max="4" width="37.5703125" customWidth="1"/>
    <col min="5" max="5" width="10.5703125" style="1" customWidth="1"/>
    <col min="6" max="6" width="5.42578125" customWidth="1"/>
    <col min="7" max="7" width="20.42578125" customWidth="1"/>
    <col min="8" max="8" width="17.5703125" customWidth="1"/>
    <col min="9" max="9" width="8.85546875" customWidth="1"/>
    <col min="10" max="10" width="4.42578125" customWidth="1"/>
    <col min="11" max="16384" width="8.85546875" hidden="1"/>
  </cols>
  <sheetData>
    <row r="1" spans="1:11" ht="18.75">
      <c r="A1" s="16"/>
      <c r="B1" s="29"/>
      <c r="C1" s="16"/>
      <c r="D1" s="16"/>
      <c r="E1" s="17"/>
      <c r="F1" s="16"/>
      <c r="G1" s="16"/>
      <c r="H1" s="16"/>
      <c r="I1" s="16"/>
      <c r="J1" s="16"/>
    </row>
    <row r="2" spans="1:11" ht="21.6" customHeight="1">
      <c r="A2" s="22" t="s">
        <v>78</v>
      </c>
      <c r="B2" s="599" t="s">
        <v>768</v>
      </c>
      <c r="C2" s="610"/>
      <c r="D2" s="610"/>
      <c r="E2" s="610"/>
      <c r="F2" s="610"/>
      <c r="G2" s="610"/>
      <c r="H2" s="610"/>
      <c r="I2" s="611"/>
      <c r="J2" s="16"/>
      <c r="K2" s="16"/>
    </row>
    <row r="3" spans="1:11" ht="15" customHeight="1">
      <c r="A3" s="16"/>
      <c r="B3" s="11"/>
      <c r="C3" s="3"/>
      <c r="D3" s="3"/>
      <c r="E3" s="3"/>
      <c r="F3" s="3"/>
      <c r="G3" s="4"/>
      <c r="H3" s="3"/>
      <c r="I3" s="5"/>
      <c r="J3" s="16"/>
    </row>
    <row r="4" spans="1:11" ht="15" customHeight="1">
      <c r="A4" s="16"/>
      <c r="B4" s="11"/>
      <c r="C4" s="8" t="s">
        <v>723</v>
      </c>
      <c r="D4" s="10" t="s">
        <v>226</v>
      </c>
      <c r="E4" s="4"/>
      <c r="F4" s="4"/>
      <c r="G4" s="4"/>
      <c r="H4" s="497" t="s">
        <v>120</v>
      </c>
      <c r="I4" s="5"/>
      <c r="J4" s="16"/>
    </row>
    <row r="5" spans="1:11" ht="15" customHeight="1">
      <c r="A5" s="16"/>
      <c r="B5" s="11"/>
      <c r="C5" s="8" t="s">
        <v>724</v>
      </c>
      <c r="D5" s="362" t="s">
        <v>227</v>
      </c>
      <c r="E5" s="8"/>
      <c r="F5" s="19"/>
      <c r="G5" s="4"/>
      <c r="H5" s="497" t="s">
        <v>153</v>
      </c>
      <c r="I5" s="5"/>
      <c r="J5" s="16"/>
    </row>
    <row r="6" spans="1:11" ht="15" customHeight="1">
      <c r="A6" s="16"/>
      <c r="B6" s="11"/>
      <c r="C6" s="8" t="s">
        <v>725</v>
      </c>
      <c r="D6" s="37">
        <v>0.44</v>
      </c>
      <c r="E6" s="3"/>
      <c r="F6" s="3"/>
      <c r="G6" s="4"/>
      <c r="H6" s="3"/>
      <c r="I6" s="5"/>
      <c r="J6" s="16"/>
    </row>
    <row r="7" spans="1:11" ht="15" customHeight="1">
      <c r="A7" s="16"/>
      <c r="B7" s="11"/>
      <c r="C7" s="3"/>
      <c r="D7" s="3"/>
      <c r="E7" s="4"/>
      <c r="F7" s="3"/>
      <c r="G7" s="3"/>
      <c r="H7" s="3"/>
      <c r="I7" s="5"/>
      <c r="J7" s="16"/>
    </row>
    <row r="8" spans="1:11" ht="45" customHeight="1">
      <c r="A8" s="16"/>
      <c r="B8" s="11"/>
      <c r="C8" s="630" t="s">
        <v>769</v>
      </c>
      <c r="D8" s="630"/>
      <c r="E8" s="630"/>
      <c r="F8" s="631"/>
      <c r="G8" s="632"/>
      <c r="H8" s="632"/>
      <c r="I8" s="5"/>
      <c r="J8" s="16"/>
    </row>
    <row r="9" spans="1:11" ht="15" customHeight="1">
      <c r="A9" s="16"/>
      <c r="B9" s="11"/>
      <c r="C9" s="9"/>
      <c r="D9" s="9"/>
      <c r="E9" s="4"/>
      <c r="F9" s="3"/>
      <c r="G9" s="3"/>
      <c r="H9" s="3"/>
      <c r="I9" s="5"/>
      <c r="J9" s="16"/>
    </row>
    <row r="10" spans="1:11" ht="15" customHeight="1">
      <c r="A10" s="16"/>
      <c r="B10" s="11"/>
      <c r="C10" s="6" t="s">
        <v>770</v>
      </c>
      <c r="D10" s="3"/>
      <c r="E10" s="55"/>
      <c r="F10" s="4"/>
      <c r="G10" s="363" t="s">
        <v>17</v>
      </c>
      <c r="H10" s="3"/>
      <c r="I10" s="5"/>
      <c r="J10" s="16"/>
    </row>
    <row r="11" spans="1:11" ht="7.35" customHeight="1">
      <c r="A11" s="16"/>
      <c r="B11" s="11"/>
      <c r="C11" s="7"/>
      <c r="D11" s="3"/>
      <c r="E11" s="3"/>
      <c r="F11" s="4"/>
      <c r="G11" s="9"/>
      <c r="H11" s="3"/>
      <c r="I11" s="5"/>
      <c r="J11" s="16"/>
    </row>
    <row r="12" spans="1:11" ht="15" customHeight="1">
      <c r="A12" s="16"/>
      <c r="B12" s="11"/>
      <c r="C12" s="6" t="s">
        <v>771</v>
      </c>
      <c r="D12" s="3"/>
      <c r="E12" s="23"/>
      <c r="F12" s="4"/>
      <c r="G12" s="363" t="s">
        <v>17</v>
      </c>
      <c r="H12" s="3"/>
      <c r="I12" s="5"/>
      <c r="J12" s="16"/>
    </row>
    <row r="13" spans="1:11" ht="7.35" customHeight="1">
      <c r="A13" s="16"/>
      <c r="B13" s="11"/>
      <c r="C13" s="7"/>
      <c r="D13" s="3"/>
      <c r="E13" s="3"/>
      <c r="F13" s="4"/>
      <c r="G13" s="9"/>
      <c r="H13" s="3"/>
      <c r="I13" s="5"/>
      <c r="J13" s="16"/>
    </row>
    <row r="14" spans="1:11" ht="15" customHeight="1">
      <c r="A14" s="16"/>
      <c r="B14" s="11"/>
      <c r="C14" s="6" t="str">
        <f>CONCATENATE("% change in commute VMT for 1% of employees ")</f>
        <v xml:space="preserve">% change in commute VMT for 1% of employees </v>
      </c>
      <c r="D14" s="3"/>
      <c r="E14" s="400" t="str">
        <f>IF(ISBLANK(E12),"",VL_REF!CH3)</f>
        <v/>
      </c>
      <c r="F14" s="401"/>
      <c r="G14" s="402" t="s">
        <v>772</v>
      </c>
      <c r="H14" s="71"/>
      <c r="I14" s="5"/>
      <c r="J14" s="16"/>
    </row>
    <row r="15" spans="1:11" ht="15" customHeight="1">
      <c r="A15" s="16"/>
      <c r="B15" s="11"/>
      <c r="C15" s="6" t="str">
        <f>CONCATENATE("telecommuting @ ",E12," days/week","")</f>
        <v>telecommuting @  days/week</v>
      </c>
      <c r="D15" s="6"/>
      <c r="E15" s="403"/>
      <c r="F15" s="401"/>
      <c r="G15" s="402"/>
      <c r="H15" s="71"/>
      <c r="I15" s="5"/>
      <c r="J15" s="16"/>
    </row>
    <row r="16" spans="1:11" ht="7.35" customHeight="1">
      <c r="A16" s="16"/>
      <c r="B16" s="11"/>
      <c r="C16" s="7"/>
      <c r="D16" s="3"/>
      <c r="E16" s="3"/>
      <c r="F16" s="4"/>
      <c r="G16" s="363"/>
      <c r="H16" s="3"/>
      <c r="I16" s="5"/>
      <c r="J16" s="16"/>
    </row>
    <row r="17" spans="1:10" ht="15" customHeight="1">
      <c r="A17" s="16"/>
      <c r="B17" s="11"/>
      <c r="C17" s="6" t="s">
        <v>147</v>
      </c>
      <c r="D17" s="3"/>
      <c r="E17" s="35" t="str">
        <f>IF(ISBLANK(E10),"",IFERROR(MAX(-D6,E10*100*E14), ""))</f>
        <v/>
      </c>
      <c r="F17" s="20"/>
      <c r="G17" s="14" t="b">
        <v>0</v>
      </c>
      <c r="H17" s="170" t="str">
        <f>IF(OR(G17=TRUE,E17=""),"Not Active","Active")</f>
        <v>Not Active</v>
      </c>
      <c r="I17" s="5"/>
      <c r="J17" s="16"/>
    </row>
    <row r="18" spans="1:10" ht="15" customHeight="1">
      <c r="A18" s="16"/>
      <c r="B18" s="11"/>
      <c r="C18" s="3"/>
      <c r="D18" s="3"/>
      <c r="E18" s="4"/>
      <c r="F18" s="3"/>
      <c r="G18" s="3"/>
      <c r="H18" s="3"/>
      <c r="I18" s="5"/>
      <c r="J18" s="16"/>
    </row>
    <row r="19" spans="1:10" ht="35.1" customHeight="1">
      <c r="A19" s="16"/>
      <c r="B19" s="11"/>
      <c r="C19" s="633" t="str">
        <f>CONCATENATE("Formula:  % Change in VMT = ", C10," * ",C14, C15)</f>
        <v>Formula:  % Change in VMT = % of employees who participate * % change in commute VMT for 1% of employees telecommuting @  days/week</v>
      </c>
      <c r="D19" s="634"/>
      <c r="E19" s="634"/>
      <c r="F19" s="634"/>
      <c r="G19" s="634"/>
      <c r="H19" s="635"/>
      <c r="I19" s="5"/>
      <c r="J19" s="16"/>
    </row>
    <row r="20" spans="1:10" ht="15" customHeight="1">
      <c r="A20" s="16"/>
      <c r="B20" s="11"/>
      <c r="C20" s="3"/>
      <c r="D20" s="3"/>
      <c r="E20" s="4"/>
      <c r="F20" s="3"/>
      <c r="G20" s="3"/>
      <c r="H20" s="3"/>
      <c r="I20" s="5"/>
      <c r="J20" s="16"/>
    </row>
    <row r="21" spans="1:10" ht="15" customHeight="1">
      <c r="A21" s="16"/>
      <c r="B21" s="11"/>
      <c r="C21" s="3" t="s">
        <v>732</v>
      </c>
      <c r="D21" s="3"/>
      <c r="E21" s="4"/>
      <c r="F21" s="3"/>
      <c r="G21" s="3"/>
      <c r="H21" s="3"/>
      <c r="I21" s="5"/>
      <c r="J21" s="16"/>
    </row>
    <row r="22" spans="1:10" ht="99.95" customHeight="1">
      <c r="A22" s="16"/>
      <c r="B22" s="11"/>
      <c r="C22" s="636" t="s">
        <v>773</v>
      </c>
      <c r="D22" s="637"/>
      <c r="E22" s="637"/>
      <c r="F22" s="637"/>
      <c r="G22" s="637"/>
      <c r="H22" s="638"/>
      <c r="I22" s="5"/>
      <c r="J22" s="16"/>
    </row>
    <row r="23" spans="1:10" ht="15" customHeight="1">
      <c r="A23" s="16"/>
      <c r="B23" s="15"/>
      <c r="C23" s="12"/>
      <c r="D23" s="12"/>
      <c r="E23" s="367"/>
      <c r="F23" s="12"/>
      <c r="G23" s="12"/>
      <c r="H23" s="12"/>
      <c r="I23" s="404"/>
      <c r="J23" s="16"/>
    </row>
    <row r="24" spans="1:10">
      <c r="A24" s="16"/>
      <c r="B24" s="16"/>
      <c r="C24" s="16"/>
      <c r="D24" s="16"/>
      <c r="E24" s="17"/>
      <c r="F24" s="16"/>
      <c r="G24" s="16"/>
      <c r="H24" s="16"/>
      <c r="I24" s="16"/>
      <c r="J24" s="16"/>
    </row>
  </sheetData>
  <sheetProtection algorithmName="SHA-512" hashValue="GiPI52bzmUAeagA8k7A+09vYgrz0FPZmRQVj+g+BBEUXMv0HR8Jl7sNIuxKE1SSJ5mWOakFIG0Ae8PFSW7/UNA==" saltValue="UCstQrK0yffJQUQiCUrKkg==" spinCount="100000" sheet="1" objects="1" scenarios="1" selectLockedCells="1"/>
  <mergeCells count="4">
    <mergeCell ref="B2:I2"/>
    <mergeCell ref="C8:H8"/>
    <mergeCell ref="C19:H19"/>
    <mergeCell ref="C22:H22"/>
  </mergeCells>
  <conditionalFormatting sqref="E17">
    <cfRule type="expression" dxfId="45" priority="9">
      <formula>-ROUND($D$6,3)=ROUND($E$17,3)</formula>
    </cfRule>
    <cfRule type="expression" dxfId="44" priority="10">
      <formula>AND(E17&lt;&gt;"",E17&gt;0)</formula>
    </cfRule>
  </conditionalFormatting>
  <dataValidations count="1">
    <dataValidation type="decimal" allowBlank="1" showErrorMessage="1" errorTitle="Restriction" error="Value must be between 0% and 100%_x000a_" promptTitle="Restriction" prompt="Value must be between 0% and 100%_x000a_" sqref="E10" xr:uid="{00000000-0002-0000-0900-000000000000}">
      <formula1>0</formula1>
      <formula2>1</formula2>
    </dataValidation>
  </dataValidations>
  <hyperlinks>
    <hyperlink ref="H5" location="Results!A1" display="Results Summary" xr:uid="{00000000-0004-0000-0900-000000000000}"/>
    <hyperlink ref="H4" location="Main!E65" display="Return to Main É" xr:uid="{00000000-0004-0000-09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ltText="Exclude From Results Summary">
                <anchor moveWithCells="1">
                  <from>
                    <xdr:col>6</xdr:col>
                    <xdr:colOff>9525</xdr:colOff>
                    <xdr:row>15</xdr:row>
                    <xdr:rowOff>66675</xdr:rowOff>
                  </from>
                  <to>
                    <xdr:col>7</xdr:col>
                    <xdr:colOff>0</xdr:colOff>
                    <xdr:row>17</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error="Select value from drop-down list" xr:uid="{00000000-0002-0000-0900-000001000000}">
          <x14:formula1>
            <xm:f>VL_REF!$CI$12:$CI$15</xm:f>
          </x14:formula1>
          <xm:sqref>E12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33CCCC"/>
  </sheetPr>
  <dimension ref="A1:M39"/>
  <sheetViews>
    <sheetView showGridLines="0" showRowColHeaders="0" topLeftCell="A3" zoomScaleNormal="100" workbookViewId="0">
      <selection activeCell="E12" sqref="E12"/>
    </sheetView>
  </sheetViews>
  <sheetFormatPr defaultColWidth="0" defaultRowHeight="15" zeroHeight="1"/>
  <cols>
    <col min="1" max="1" width="4.42578125" style="87" customWidth="1"/>
    <col min="2" max="2" width="8.85546875" style="87" customWidth="1"/>
    <col min="3" max="3" width="20" style="87" customWidth="1"/>
    <col min="4" max="4" width="53.42578125" style="87" customWidth="1"/>
    <col min="5" max="5" width="10.5703125" style="87" customWidth="1"/>
    <col min="6" max="6" width="5.5703125" style="87" customWidth="1"/>
    <col min="7" max="7" width="19.5703125" style="87" customWidth="1"/>
    <col min="8" max="8" width="17.5703125" style="87" customWidth="1"/>
    <col min="9" max="9" width="8.85546875" style="87" customWidth="1"/>
    <col min="10" max="10" width="4.5703125" style="87" customWidth="1"/>
    <col min="11" max="13" width="29.42578125" hidden="1" customWidth="1"/>
    <col min="14" max="16384" width="8.85546875" hidden="1"/>
  </cols>
  <sheetData>
    <row r="1" spans="1:12" hidden="1">
      <c r="A1" s="60"/>
      <c r="B1" s="60"/>
      <c r="C1" s="60"/>
      <c r="D1" s="60"/>
      <c r="E1" s="60"/>
      <c r="F1" s="60"/>
      <c r="G1" s="60"/>
      <c r="H1" s="60"/>
      <c r="I1" s="60"/>
      <c r="J1" s="60"/>
    </row>
    <row r="2" spans="1:12" s="16" customFormat="1" ht="18.75" hidden="1">
      <c r="A2" s="60"/>
      <c r="B2" s="39"/>
      <c r="C2" s="60"/>
      <c r="D2" s="60"/>
      <c r="E2" s="60"/>
      <c r="F2" s="60"/>
      <c r="G2" s="60"/>
      <c r="H2" s="60"/>
      <c r="I2" s="60"/>
      <c r="J2" s="60"/>
      <c r="K2"/>
      <c r="L2" s="17"/>
    </row>
    <row r="3" spans="1:12" ht="18.75">
      <c r="A3" s="60"/>
      <c r="B3" s="39"/>
      <c r="C3" s="60"/>
      <c r="D3" s="60"/>
      <c r="E3" s="60"/>
      <c r="F3" s="60"/>
      <c r="G3" s="60"/>
      <c r="H3" s="60"/>
      <c r="I3" s="60"/>
      <c r="J3" s="60"/>
    </row>
    <row r="4" spans="1:12" ht="21.6" customHeight="1">
      <c r="A4" s="187" t="s">
        <v>86</v>
      </c>
      <c r="B4" s="639" t="str">
        <f>A4&amp;". "&amp;INDEX(VL_TDM!$E$11:$E$41,MATCH($A$4,VL_TDM!$B$11:$B$41,0),1)</f>
        <v>2A. Transit Oriented Development</v>
      </c>
      <c r="C4" s="600"/>
      <c r="D4" s="600"/>
      <c r="E4" s="600"/>
      <c r="F4" s="600"/>
      <c r="G4" s="600"/>
      <c r="H4" s="600"/>
      <c r="I4" s="601"/>
      <c r="J4" s="60"/>
    </row>
    <row r="5" spans="1:12" ht="15" customHeight="1">
      <c r="A5" s="60"/>
      <c r="B5" s="65"/>
      <c r="C5" s="71"/>
      <c r="D5" s="71"/>
      <c r="E5" s="71"/>
      <c r="F5" s="73"/>
      <c r="G5" s="71"/>
      <c r="H5" s="71"/>
      <c r="I5" s="64"/>
    </row>
    <row r="6" spans="1:12" ht="15" customHeight="1">
      <c r="A6" s="60"/>
      <c r="B6" s="65"/>
      <c r="C6" s="81" t="s">
        <v>723</v>
      </c>
      <c r="D6" s="82" t="str">
        <f>INDEX(VL_TDM!$AC$11:$AC$41,MATCH($A$4,VL_TDM!$B$11:$B$41,0),1)</f>
        <v>Project/Site</v>
      </c>
      <c r="E6" s="83"/>
      <c r="F6" s="83"/>
      <c r="G6" s="83"/>
      <c r="H6" s="500" t="s">
        <v>120</v>
      </c>
      <c r="I6" s="64"/>
      <c r="J6" s="60"/>
    </row>
    <row r="7" spans="1:12" ht="15" customHeight="1">
      <c r="A7" s="60"/>
      <c r="B7" s="65"/>
      <c r="C7" s="81" t="s">
        <v>724</v>
      </c>
      <c r="D7" s="85" t="str">
        <f>INDEX(VL_TDM!$AD$11:$AD$41,MATCH($A$4,VL_TDM!$B$11:$B$41,0),1)</f>
        <v>Project-generated trips</v>
      </c>
      <c r="E7" s="85"/>
      <c r="F7" s="83"/>
      <c r="G7" s="83"/>
      <c r="H7" s="500" t="s">
        <v>153</v>
      </c>
      <c r="I7" s="64"/>
      <c r="J7" s="60"/>
    </row>
    <row r="8" spans="1:12" ht="15" customHeight="1">
      <c r="A8" s="60"/>
      <c r="B8" s="65"/>
      <c r="C8" s="81" t="s">
        <v>725</v>
      </c>
      <c r="D8" s="86">
        <f>INDEX(VL_TDM!$AE$11:$AE$41,MATCH($A$4,VL_TDM!$B$11:$B$41,0),1)</f>
        <v>0.31</v>
      </c>
      <c r="E8" s="71"/>
      <c r="F8" s="73"/>
      <c r="G8" s="71"/>
      <c r="H8" s="71"/>
      <c r="I8" s="64"/>
    </row>
    <row r="9" spans="1:12" ht="15" customHeight="1">
      <c r="A9" s="60"/>
      <c r="B9" s="65"/>
      <c r="C9" s="71"/>
      <c r="D9" s="71"/>
      <c r="E9" s="71"/>
      <c r="F9" s="71"/>
      <c r="G9" s="71"/>
      <c r="H9" s="71"/>
      <c r="I9" s="64"/>
      <c r="J9" s="60"/>
    </row>
    <row r="10" spans="1:12" ht="120" customHeight="1">
      <c r="A10" s="60"/>
      <c r="B10" s="65"/>
      <c r="C10" s="551" t="str">
        <f>INDEX(VL_TDM!$AF$11:$AF$41,MATCH($A$4,VL_TDM!$B$11:$B$41,0),1)</f>
        <v>This strategy would reduce project VMT in the study area relative to the same project sited in a nontransit- oriented development (TOD) location. TOD refers to projects built in compact, walkable areas that have easy access to public transit, ideally in a location with a mix of uses, including housing, retail offices, and community facilities. TODs are generally described as places within a 10-minute walk (0.5 mile) of a high-frequency rail transit station (either rail, or bus with headways of no more than 15 minutes). Project site residents, employees, and visitors would have easy access to high-quality public transit, thereby encouraging transit and reducing the number of single occupancy vehicle trips and associated GHG emissions. When building TOD, a best practice is to incorporate bike and pedestrian access to increase the likelihood of transit use.</v>
      </c>
      <c r="D10" s="597"/>
      <c r="E10" s="597"/>
      <c r="F10" s="597"/>
      <c r="G10" s="597"/>
      <c r="H10" s="597"/>
      <c r="I10" s="64"/>
      <c r="J10" s="60"/>
    </row>
    <row r="11" spans="1:12" ht="15" customHeight="1">
      <c r="A11" s="60"/>
      <c r="B11" s="65"/>
      <c r="C11" s="205"/>
      <c r="D11" s="205"/>
      <c r="E11" s="71"/>
      <c r="F11" s="71"/>
      <c r="G11" s="71"/>
      <c r="H11" s="71"/>
      <c r="I11" s="64"/>
    </row>
    <row r="12" spans="1:12" ht="15" customHeight="1">
      <c r="A12" s="60"/>
      <c r="B12" s="65"/>
      <c r="C12" s="76" t="s">
        <v>774</v>
      </c>
      <c r="D12" s="71"/>
      <c r="E12" s="38"/>
      <c r="F12" s="71"/>
      <c r="G12" s="405" t="s">
        <v>727</v>
      </c>
      <c r="H12" s="406"/>
      <c r="I12" s="64"/>
      <c r="J12" s="60"/>
    </row>
    <row r="13" spans="1:12" ht="30" customHeight="1">
      <c r="A13" s="60"/>
      <c r="B13" s="65"/>
      <c r="C13" s="76" t="s">
        <v>775</v>
      </c>
      <c r="D13" s="71"/>
      <c r="E13" s="205"/>
      <c r="F13" s="71"/>
      <c r="G13" s="643" t="str">
        <f>IF(E12="no", "Strategy does not apply to project. No change in VMT.","")</f>
        <v/>
      </c>
      <c r="H13" s="595"/>
      <c r="I13" s="64"/>
      <c r="J13" s="60"/>
    </row>
    <row r="14" spans="1:12" ht="7.35" customHeight="1">
      <c r="A14" s="60"/>
      <c r="B14" s="65"/>
      <c r="C14" s="206"/>
      <c r="D14" s="71"/>
      <c r="E14" s="205"/>
      <c r="F14" s="71"/>
      <c r="G14" s="71"/>
      <c r="H14" s="71"/>
      <c r="I14" s="64"/>
      <c r="J14" s="60"/>
    </row>
    <row r="15" spans="1:12" ht="15" customHeight="1">
      <c r="A15" s="60"/>
      <c r="B15" s="65"/>
      <c r="C15" s="76" t="s">
        <v>681</v>
      </c>
      <c r="D15" s="71"/>
      <c r="E15" s="208" t="e">
        <f>IF(J15="Use Capcoa 2021",VL_REF!$G$3,INDEX(VL_TAZ!$O$9:$AD$9,1,MATCH($C15,VL_TAZ!$O$10:$AD$10,0)))</f>
        <v>#N/A</v>
      </c>
      <c r="F15" s="71"/>
      <c r="G15" s="71" t="str">
        <f>CONCATENATE("Alameda CTC model",IF(NOT(ISBLANK(E17)),", overridden",""))</f>
        <v>Alameda CTC model</v>
      </c>
      <c r="H15" s="71"/>
      <c r="I15" s="64"/>
      <c r="J15" s="187" t="s">
        <v>760</v>
      </c>
    </row>
    <row r="16" spans="1:12" ht="7.35" customHeight="1">
      <c r="A16" s="60"/>
      <c r="B16" s="65"/>
      <c r="C16" s="206"/>
      <c r="D16" s="71"/>
      <c r="E16" s="205"/>
      <c r="F16" s="71"/>
      <c r="G16" s="71"/>
      <c r="H16" s="71"/>
      <c r="I16" s="64"/>
      <c r="J16" s="187"/>
    </row>
    <row r="17" spans="1:12" ht="14.45" customHeight="1">
      <c r="A17" s="60"/>
      <c r="B17" s="65"/>
      <c r="C17" s="76" t="s">
        <v>776</v>
      </c>
      <c r="D17" s="71"/>
      <c r="E17" s="58"/>
      <c r="F17" s="71"/>
      <c r="G17" s="207" t="s">
        <v>20</v>
      </c>
      <c r="H17" s="79"/>
      <c r="I17" s="64"/>
      <c r="J17" s="187"/>
    </row>
    <row r="18" spans="1:12" ht="7.35" customHeight="1">
      <c r="A18" s="60"/>
      <c r="B18" s="65"/>
      <c r="C18" s="206"/>
      <c r="D18" s="71"/>
      <c r="E18" s="205"/>
      <c r="F18" s="71"/>
      <c r="G18" s="71"/>
      <c r="H18" s="71"/>
      <c r="I18" s="64"/>
      <c r="J18" s="187"/>
    </row>
    <row r="19" spans="1:12">
      <c r="A19" s="60"/>
      <c r="B19" s="65"/>
      <c r="C19" s="76" t="s">
        <v>777</v>
      </c>
      <c r="D19" s="373"/>
      <c r="E19" s="375" t="e">
        <f>IF(E17&gt;27%,27%,IF(E17&gt;0%,E17,E15))</f>
        <v>#N/A</v>
      </c>
      <c r="F19" s="71"/>
      <c r="G19" s="204" t="s">
        <v>744</v>
      </c>
      <c r="H19" s="71"/>
      <c r="I19" s="64"/>
      <c r="J19" s="22"/>
    </row>
    <row r="20" spans="1:12" ht="7.35" customHeight="1">
      <c r="A20" s="60"/>
      <c r="B20" s="65"/>
      <c r="C20" s="206"/>
      <c r="D20" s="71"/>
      <c r="E20" s="205"/>
      <c r="F20" s="71"/>
      <c r="G20" s="71"/>
      <c r="H20" s="71"/>
      <c r="I20" s="64"/>
      <c r="J20" s="187"/>
    </row>
    <row r="21" spans="1:12" ht="15" customHeight="1">
      <c r="A21" s="60"/>
      <c r="B21" s="65"/>
      <c r="C21" s="76" t="s">
        <v>778</v>
      </c>
      <c r="D21" s="203"/>
      <c r="E21" s="407">
        <v>4.9000000000000004</v>
      </c>
      <c r="F21" s="71"/>
      <c r="G21" s="71" t="s">
        <v>779</v>
      </c>
      <c r="H21" s="71"/>
      <c r="I21" s="64"/>
      <c r="J21" s="22"/>
    </row>
    <row r="22" spans="1:12" ht="15" customHeight="1">
      <c r="A22" s="60"/>
      <c r="B22" s="65"/>
      <c r="C22" s="76" t="s">
        <v>780</v>
      </c>
      <c r="D22" s="371"/>
      <c r="E22" s="408"/>
      <c r="F22" s="71"/>
      <c r="G22" s="71"/>
      <c r="H22" s="71"/>
      <c r="I22" s="64"/>
      <c r="J22" s="187"/>
    </row>
    <row r="23" spans="1:12" ht="7.35" customHeight="1">
      <c r="A23" s="60"/>
      <c r="B23" s="65"/>
      <c r="C23" s="206"/>
      <c r="D23" s="71"/>
      <c r="E23" s="205"/>
      <c r="F23" s="71"/>
      <c r="G23" s="71"/>
      <c r="H23" s="71"/>
      <c r="I23" s="64"/>
      <c r="J23" s="187"/>
    </row>
    <row r="24" spans="1:12" ht="15" customHeight="1">
      <c r="A24" s="60"/>
      <c r="B24" s="65"/>
      <c r="C24" s="76" t="s">
        <v>682</v>
      </c>
      <c r="D24" s="71"/>
      <c r="E24" s="208" t="e">
        <f>IF(J24="Use Capcoa 2021",VL_REF!$H$3,INDEX(VL_TAZ!$O$9:$AD$9,1,MATCH($C24,VL_TAZ!$O$10:$AD$10,0)))</f>
        <v>#N/A</v>
      </c>
      <c r="F24" s="71"/>
      <c r="G24" s="71" t="str">
        <f>CONCATENATE("Alameda CTC model",IF(NOT(ISBLANK(E26)),", overridden",""))</f>
        <v>Alameda CTC model</v>
      </c>
      <c r="H24" s="71"/>
      <c r="I24" s="64"/>
      <c r="J24" s="187" t="s">
        <v>760</v>
      </c>
    </row>
    <row r="25" spans="1:12" ht="7.35" customHeight="1">
      <c r="A25" s="60"/>
      <c r="B25" s="65"/>
      <c r="C25" s="206"/>
      <c r="D25" s="71"/>
      <c r="E25" s="205"/>
      <c r="F25" s="71"/>
      <c r="G25" s="71"/>
      <c r="H25" s="71"/>
      <c r="I25" s="64"/>
      <c r="J25" s="60"/>
    </row>
    <row r="26" spans="1:12" ht="15" customHeight="1">
      <c r="A26" s="60"/>
      <c r="B26" s="65"/>
      <c r="C26" s="76" t="s">
        <v>781</v>
      </c>
      <c r="D26" s="71"/>
      <c r="E26" s="58"/>
      <c r="F26" s="71"/>
      <c r="G26" s="207" t="s">
        <v>20</v>
      </c>
      <c r="H26" s="71"/>
      <c r="I26" s="64"/>
      <c r="J26" s="60"/>
    </row>
    <row r="27" spans="1:12" ht="7.35" customHeight="1">
      <c r="A27" s="60"/>
      <c r="B27" s="65"/>
      <c r="C27" s="206"/>
      <c r="D27" s="71"/>
      <c r="E27" s="205"/>
      <c r="F27" s="71"/>
      <c r="G27" s="71"/>
      <c r="H27" s="71"/>
      <c r="I27" s="64"/>
      <c r="J27" s="60"/>
    </row>
    <row r="28" spans="1:12" ht="15" customHeight="1">
      <c r="A28" s="60"/>
      <c r="B28" s="65"/>
      <c r="C28" s="76" t="s">
        <v>782</v>
      </c>
      <c r="D28" s="373"/>
      <c r="E28" s="375" t="e">
        <f>IF(ISBLANK(E26),E24,E26)</f>
        <v>#N/A</v>
      </c>
      <c r="F28" s="71"/>
      <c r="G28" s="204" t="s">
        <v>744</v>
      </c>
      <c r="H28" s="71"/>
      <c r="I28" s="64"/>
      <c r="J28" s="16"/>
    </row>
    <row r="29" spans="1:12" ht="7.35" customHeight="1">
      <c r="A29" s="60"/>
      <c r="B29" s="65"/>
      <c r="C29" s="77"/>
      <c r="D29" s="71"/>
      <c r="E29" s="71"/>
      <c r="F29" s="205"/>
      <c r="G29" s="71"/>
      <c r="H29" s="71"/>
      <c r="I29" s="64"/>
      <c r="J29" s="60"/>
    </row>
    <row r="30" spans="1:12" ht="15" customHeight="1">
      <c r="A30" s="60"/>
      <c r="B30" s="65"/>
      <c r="C30" s="76" t="s">
        <v>147</v>
      </c>
      <c r="D30" s="71"/>
      <c r="E30" s="98" t="str">
        <f>IF(E12="yes",IFERROR(MAX(-D8,(E19*E21)/-E28),""),"")</f>
        <v/>
      </c>
      <c r="F30" s="378"/>
      <c r="G30" s="41" t="b">
        <v>0</v>
      </c>
      <c r="H30" s="170" t="str">
        <f>IF(OR(G30=TRUE,E30=""),"Not Active","Active")</f>
        <v>Not Active</v>
      </c>
      <c r="I30" s="64"/>
      <c r="J30" s="60"/>
    </row>
    <row r="31" spans="1:12" ht="15" customHeight="1">
      <c r="A31" s="60"/>
      <c r="B31" s="65"/>
      <c r="C31" s="77"/>
      <c r="D31" s="71"/>
      <c r="E31" s="71"/>
      <c r="F31" s="71"/>
      <c r="G31" s="71"/>
      <c r="H31" s="71"/>
      <c r="I31" s="64"/>
      <c r="J31" s="60"/>
    </row>
    <row r="32" spans="1:12" s="71" customFormat="1" ht="15" customHeight="1">
      <c r="A32" s="60"/>
      <c r="B32" s="65"/>
      <c r="I32" s="64"/>
      <c r="J32" s="60"/>
      <c r="K32"/>
      <c r="L32"/>
    </row>
    <row r="33" spans="1:10" ht="35.1" customHeight="1">
      <c r="A33" s="60"/>
      <c r="B33" s="65"/>
      <c r="C33" s="640" t="str">
        <f>"Formula:  % Change in VMT =  " &amp; SUBSTITUTE("( " &amp; C19 &amp; " * " &amp; C21 &amp;" " &amp; C22&amp; " )/- " &amp; C28 &amp; " )"," used for calculation","")</f>
        <v>Formula:  % Change in VMT =  ( Transit mode share * Ratio of transit mode share for TOD area with strategy compared to existing transit mode share in surrounding city )/- Auto mode share )</v>
      </c>
      <c r="D33" s="641"/>
      <c r="E33" s="641"/>
      <c r="F33" s="641"/>
      <c r="G33" s="641"/>
      <c r="H33" s="642"/>
      <c r="I33" s="64"/>
      <c r="J33" s="60"/>
    </row>
    <row r="34" spans="1:10" ht="15" customHeight="1">
      <c r="A34" s="60"/>
      <c r="B34" s="65"/>
      <c r="C34" s="409"/>
      <c r="D34" s="644" t="s">
        <v>783</v>
      </c>
      <c r="E34" s="644"/>
      <c r="F34" s="644"/>
      <c r="G34" s="644"/>
      <c r="H34" s="410"/>
      <c r="I34" s="64"/>
      <c r="J34" s="60"/>
    </row>
    <row r="35" spans="1:10" ht="15" customHeight="1">
      <c r="A35" s="60"/>
      <c r="B35" s="65"/>
      <c r="C35" s="411"/>
      <c r="D35" s="204"/>
      <c r="E35" s="373"/>
      <c r="F35" s="373"/>
      <c r="G35" s="373"/>
      <c r="H35" s="373"/>
      <c r="I35" s="64"/>
      <c r="J35" s="60"/>
    </row>
    <row r="36" spans="1:10" ht="15" customHeight="1">
      <c r="A36" s="60"/>
      <c r="B36" s="65"/>
      <c r="C36" s="71" t="s">
        <v>732</v>
      </c>
      <c r="D36" s="71"/>
      <c r="E36" s="71"/>
      <c r="F36" s="71"/>
      <c r="G36" s="71"/>
      <c r="H36" s="71"/>
      <c r="I36" s="64"/>
      <c r="J36" s="60"/>
    </row>
    <row r="37" spans="1:10" ht="166.5" customHeight="1">
      <c r="A37" s="60"/>
      <c r="B37" s="65"/>
      <c r="C37" s="636" t="str">
        <f>INDEX(VL_TDM!$AG$11:$AG$41,MATCH($A$4,VL_TDM!$B$11:$B$41,0),1)</f>
        <v>(1) Tal, G., et al. 2013. "Technical Background Document on the Impacts of Transit Access (Distance to Transit) Based on a Review of the Empirical Literature." www.arb.ca.gov/cc/sb375/policies/transitservice/transit_brief.pdf
(2) Federal Highway Administration. 2017a. National Household Travel Survey – 2017 Table Designer. Travel Day PMT by TRPTRANS by HH_CBSA. Available: https://nhts.ornl.gov/. Accessed: January 2021. 
(3) Federal Highway Administration. 2017b. National Household Travel Survey – 2017 Table Designer. Average Vehicle Occupancy by HHSTFIPS. Available: https://nhts.ornl.gov/. Accessed: January 2021. 
(4) Lund, H., Cervero, R., and Wilson, R. 2004. Travel Characteristics of Transit-Oriented Development in California. January. Available: https://community-wealth.org/sites/clone.communitywealth. org/files/downloads/report-lund-cerv-wil.pdf. Accessed: January 2021.</v>
      </c>
      <c r="D37" s="594"/>
      <c r="E37" s="594"/>
      <c r="F37" s="594"/>
      <c r="G37" s="594"/>
      <c r="H37" s="594"/>
      <c r="I37" s="64"/>
      <c r="J37" s="60"/>
    </row>
    <row r="38" spans="1:10" ht="15" customHeight="1">
      <c r="A38" s="60"/>
      <c r="B38" s="74"/>
      <c r="C38" s="177"/>
      <c r="D38" s="177"/>
      <c r="E38" s="177"/>
      <c r="F38" s="177"/>
      <c r="G38" s="177"/>
      <c r="H38" s="177"/>
      <c r="I38" s="380"/>
      <c r="J38" s="60"/>
    </row>
    <row r="39" spans="1:10" ht="22.35" customHeight="1">
      <c r="A39" s="60"/>
      <c r="B39" s="60"/>
      <c r="C39" s="60"/>
      <c r="D39" s="60"/>
      <c r="E39" s="60"/>
      <c r="F39" s="60"/>
      <c r="G39" s="60"/>
      <c r="H39" s="60"/>
      <c r="I39" s="60"/>
      <c r="J39" s="60"/>
    </row>
  </sheetData>
  <sheetProtection algorithmName="SHA-512" hashValue="brmJUfuIZQrBH3g48IUs0k968XfgvInmmXlQbzP+pmPo+gOdNKofZOe7N6Su5Ytlmj0Bd2sMu5Ernd77RcQz5g==" saltValue="VFH16cHvoLS8hMgsOHhu4A==" spinCount="100000" sheet="1" objects="1" scenarios="1" selectLockedCells="1"/>
  <dataConsolidate/>
  <mergeCells count="6">
    <mergeCell ref="B4:I4"/>
    <mergeCell ref="C10:H10"/>
    <mergeCell ref="C37:H37"/>
    <mergeCell ref="C33:H33"/>
    <mergeCell ref="G13:H13"/>
    <mergeCell ref="D34:G34"/>
  </mergeCells>
  <conditionalFormatting sqref="E30">
    <cfRule type="expression" dxfId="43" priority="19">
      <formula>-ROUND($D$8,3)=ROUND($E$30,3)</formula>
    </cfRule>
    <cfRule type="expression" dxfId="42" priority="79">
      <formula>AND(E30&lt;&gt;"",E30&gt;0)</formula>
    </cfRule>
  </conditionalFormatting>
  <dataValidations count="1">
    <dataValidation type="decimal" allowBlank="1" showErrorMessage="1" errorTitle="Restriction" error="Value must be between 0% and 100%_x000a_" promptTitle="Option" prompt="The user may override the above default community bicycle mode share in this cell. Leave blank otherwise." sqref="E17 E26" xr:uid="{00000000-0002-0000-0A00-000000000000}">
      <formula1>0</formula1>
      <formula2>1</formula2>
    </dataValidation>
  </dataValidations>
  <hyperlinks>
    <hyperlink ref="H7" location="Results!A1" display="Results Summary" xr:uid="{00000000-0004-0000-0A00-000000000000}"/>
    <hyperlink ref="H6" location="Main!E65" display="Return to Main É" xr:uid="{00000000-0004-0000-0A00-000001000000}"/>
  </hyperlinks>
  <pageMargins left="0.7" right="0.7" top="0.75" bottom="0.75" header="0.3" footer="0.3"/>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9402" r:id="rId4" name="Check Box 10">
              <controlPr defaultSize="0" autoFill="0" autoLine="0" autoPict="0" altText="Exclude From Results Summary">
                <anchor moveWithCells="1">
                  <from>
                    <xdr:col>6</xdr:col>
                    <xdr:colOff>28575</xdr:colOff>
                    <xdr:row>28</xdr:row>
                    <xdr:rowOff>85725</xdr:rowOff>
                  </from>
                  <to>
                    <xdr:col>7</xdr:col>
                    <xdr:colOff>38100</xdr:colOff>
                    <xdr:row>30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error="Select value from drop-down list" promptTitle="Option" prompt="Choose the unit for which you will report density in the input cell below." xr:uid="{00000000-0002-0000-0A00-000001000000}">
          <x14:formula1>
            <xm:f>VL_REF!$CB$11:$CB$13</xm:f>
          </x14:formula1>
          <xm:sqref>E12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0B64A-82BA-4E20-B98B-AF518AFE55CA}">
  <sheetPr codeName="Sheet30">
    <tabColor rgb="FF33CCCC"/>
  </sheetPr>
  <dimension ref="A1:L39"/>
  <sheetViews>
    <sheetView showGridLines="0" showRowColHeaders="0" topLeftCell="A3" zoomScaleNormal="100" workbookViewId="0">
      <selection activeCell="E12" sqref="E12"/>
    </sheetView>
  </sheetViews>
  <sheetFormatPr defaultColWidth="0" defaultRowHeight="15" customHeight="1" zeroHeight="1"/>
  <cols>
    <col min="1" max="1" width="4.42578125" style="87" customWidth="1"/>
    <col min="2" max="2" width="8.85546875" style="87" customWidth="1"/>
    <col min="3" max="3" width="22.140625" style="87" customWidth="1"/>
    <col min="4" max="4" width="51.42578125" style="87" customWidth="1"/>
    <col min="5" max="5" width="10.5703125" style="88" customWidth="1"/>
    <col min="6" max="6" width="5.5703125" style="87" customWidth="1"/>
    <col min="7" max="7" width="34.5703125" style="87" customWidth="1"/>
    <col min="8" max="8" width="17.5703125" style="87" customWidth="1"/>
    <col min="9" max="9" width="8.85546875" style="87" customWidth="1"/>
    <col min="10" max="10" width="4.5703125" style="87" customWidth="1"/>
    <col min="11" max="12" width="21.5703125" hidden="1" customWidth="1"/>
    <col min="13" max="16384" width="8.85546875" hidden="1"/>
  </cols>
  <sheetData>
    <row r="1" spans="1:12" ht="15" hidden="1" customHeight="1">
      <c r="A1" s="60"/>
      <c r="B1" s="60"/>
      <c r="C1" s="60"/>
      <c r="D1" s="60"/>
      <c r="E1" s="75"/>
      <c r="F1" s="60"/>
      <c r="G1" s="60"/>
      <c r="H1" s="60"/>
      <c r="I1" s="60"/>
      <c r="J1" s="60"/>
    </row>
    <row r="2" spans="1:12" ht="15" hidden="1" customHeight="1">
      <c r="A2" s="60"/>
      <c r="B2" s="60"/>
      <c r="C2" s="60"/>
      <c r="D2" s="60"/>
      <c r="E2" s="75"/>
      <c r="F2" s="60"/>
      <c r="G2" s="60"/>
      <c r="H2" s="60"/>
      <c r="I2" s="60"/>
      <c r="J2" s="60"/>
    </row>
    <row r="3" spans="1:12" ht="22.35" customHeight="1">
      <c r="A3" s="60"/>
      <c r="B3" s="39"/>
      <c r="C3" s="60"/>
      <c r="D3" s="60"/>
      <c r="E3" s="75"/>
      <c r="F3" s="60"/>
      <c r="G3" s="60"/>
      <c r="H3" s="60"/>
      <c r="I3" s="60"/>
      <c r="J3" s="60"/>
    </row>
    <row r="4" spans="1:12" ht="21.6" customHeight="1">
      <c r="A4" s="187" t="s">
        <v>89</v>
      </c>
      <c r="B4" s="639" t="str">
        <f>A4&amp;". "&amp;INDEX(VL_TDM!$E$11:$E$41,MATCH($A$4,VL_TDM!$B$11:$B$41,0),1)</f>
        <v>2B1. Increase Residential Density</v>
      </c>
      <c r="C4" s="600"/>
      <c r="D4" s="600"/>
      <c r="E4" s="600"/>
      <c r="F4" s="600"/>
      <c r="G4" s="600"/>
      <c r="H4" s="600"/>
      <c r="I4" s="601"/>
      <c r="J4" s="60"/>
    </row>
    <row r="5" spans="1:12" ht="15" customHeight="1">
      <c r="A5" s="60"/>
      <c r="B5" s="65"/>
      <c r="C5" s="71"/>
      <c r="D5" s="71"/>
      <c r="E5" s="71"/>
      <c r="F5" s="71"/>
      <c r="G5" s="73"/>
      <c r="H5" s="71"/>
      <c r="I5" s="64"/>
      <c r="J5" s="60"/>
    </row>
    <row r="6" spans="1:12" ht="15" customHeight="1">
      <c r="A6" s="60"/>
      <c r="B6" s="65"/>
      <c r="C6" s="81" t="s">
        <v>723</v>
      </c>
      <c r="D6" s="82" t="str">
        <f>INDEX(VL_TDM!$AC$11:$AC$41,MATCH($A$4,VL_TDM!$B$11:$B$41,0),1)</f>
        <v>Project/Site</v>
      </c>
      <c r="E6" s="73"/>
      <c r="F6" s="370"/>
      <c r="G6" s="370"/>
      <c r="H6" s="500" t="s">
        <v>120</v>
      </c>
      <c r="I6" s="64"/>
      <c r="J6" s="60"/>
    </row>
    <row r="7" spans="1:12" ht="15" customHeight="1">
      <c r="A7" s="60"/>
      <c r="B7" s="65"/>
      <c r="C7" s="81" t="s">
        <v>724</v>
      </c>
      <c r="D7" s="85" t="str">
        <f>INDEX(VL_TDM!$AD$11:$AD$41,MATCH($A$4,VL_TDM!$B$11:$B$41,0),1)</f>
        <v>Project-generated trips</v>
      </c>
      <c r="E7" s="81"/>
      <c r="F7" s="370"/>
      <c r="G7" s="370"/>
      <c r="H7" s="500" t="s">
        <v>153</v>
      </c>
      <c r="I7" s="64"/>
      <c r="J7" s="60"/>
    </row>
    <row r="8" spans="1:12" ht="15" customHeight="1">
      <c r="A8" s="60"/>
      <c r="B8" s="65"/>
      <c r="C8" s="81" t="s">
        <v>725</v>
      </c>
      <c r="D8" s="86">
        <f>INDEX(VL_TDM!$AE$11:$AE$41,MATCH($A$4,VL_TDM!$B$11:$B$41,0),1)</f>
        <v>0.3</v>
      </c>
      <c r="E8" s="71"/>
      <c r="F8" s="71"/>
      <c r="G8" s="73"/>
      <c r="H8" s="71"/>
      <c r="I8" s="64"/>
      <c r="J8" s="60"/>
    </row>
    <row r="9" spans="1:12" ht="15" customHeight="1">
      <c r="A9" s="60"/>
      <c r="B9" s="65"/>
      <c r="C9" s="412"/>
      <c r="D9" s="73"/>
      <c r="E9" s="73"/>
      <c r="F9" s="73"/>
      <c r="G9" s="73"/>
      <c r="H9" s="73"/>
      <c r="I9" s="64"/>
      <c r="J9" s="60"/>
    </row>
    <row r="10" spans="1:12" ht="78.75" customHeight="1">
      <c r="A10" s="60"/>
      <c r="B10" s="65"/>
      <c r="C10" s="602" t="str">
        <f>INDEX(VL_TDM!$AF$11:$AF$41,MATCH($A$4,VL_TDM!$B$11:$B$41,0),1)</f>
        <v>This strategy accounts for the VMT reduction achieved by a project that is designed with a higher density of dwelling units (du) compared to the average residential density in the United States. Increased densities affect the distance people travel and provide greater options for the mode of travel they choose. Increasing residential density results in shorter and fewer trips by single occupancy vehicles and thus a reduction in GHG emissions.
Projects with a residential density greater than 9.1 dwelling units per acre will see VMT reductions due to this strategy.</v>
      </c>
      <c r="D10" s="597"/>
      <c r="E10" s="597"/>
      <c r="F10" s="597"/>
      <c r="G10" s="597"/>
      <c r="H10" s="597"/>
      <c r="I10" s="64"/>
      <c r="J10" s="60"/>
    </row>
    <row r="11" spans="1:12" ht="15" customHeight="1">
      <c r="A11" s="60"/>
      <c r="B11" s="65"/>
      <c r="C11" s="71"/>
      <c r="D11" s="71"/>
      <c r="E11" s="73"/>
      <c r="F11" s="71"/>
      <c r="G11" s="71"/>
      <c r="H11" s="71"/>
      <c r="I11" s="64"/>
      <c r="J11" s="60"/>
    </row>
    <row r="12" spans="1:12" ht="15" customHeight="1">
      <c r="A12" s="60"/>
      <c r="B12" s="65"/>
      <c r="C12" s="77" t="s">
        <v>784</v>
      </c>
      <c r="D12" s="81"/>
      <c r="E12" s="184"/>
      <c r="F12" s="4"/>
      <c r="G12" s="363" t="s">
        <v>17</v>
      </c>
      <c r="H12" s="71"/>
      <c r="I12" s="64"/>
      <c r="J12" s="16"/>
    </row>
    <row r="13" spans="1:12" ht="7.35" customHeight="1">
      <c r="A13" s="60"/>
      <c r="B13" s="65"/>
      <c r="C13" s="77"/>
      <c r="D13" s="81"/>
      <c r="E13" s="413"/>
      <c r="F13" s="71"/>
      <c r="G13" s="205"/>
      <c r="H13" s="71"/>
      <c r="I13" s="64"/>
      <c r="J13" s="60"/>
    </row>
    <row r="14" spans="1:12" ht="15" customHeight="1">
      <c r="A14" s="60"/>
      <c r="B14" s="65"/>
      <c r="C14" s="77" t="s">
        <v>785</v>
      </c>
      <c r="D14" s="81"/>
      <c r="E14" s="414">
        <v>9.1</v>
      </c>
      <c r="F14" s="71"/>
      <c r="G14" s="71" t="str">
        <f>CONCATENATE("constant, source (1)",IF(NOT(ISBLANK(E16)),", overridden",""))</f>
        <v>constant, source (1)</v>
      </c>
      <c r="H14" s="71"/>
      <c r="I14" s="64"/>
      <c r="J14" s="60"/>
      <c r="K14" s="89"/>
      <c r="L14" s="89"/>
    </row>
    <row r="15" spans="1:12" ht="7.35" customHeight="1">
      <c r="A15" s="60"/>
      <c r="B15" s="65"/>
      <c r="C15" s="77"/>
      <c r="D15" s="81"/>
      <c r="E15" s="413"/>
      <c r="F15" s="71"/>
      <c r="G15" s="205"/>
      <c r="H15" s="71"/>
      <c r="I15" s="64"/>
      <c r="J15" s="60"/>
    </row>
    <row r="16" spans="1:12" ht="14.45" customHeight="1">
      <c r="A16" s="60"/>
      <c r="B16" s="65"/>
      <c r="C16" s="77" t="s">
        <v>786</v>
      </c>
      <c r="D16" s="81"/>
      <c r="E16" s="42"/>
      <c r="F16" s="71"/>
      <c r="G16" s="207" t="s">
        <v>20</v>
      </c>
      <c r="H16" s="71"/>
      <c r="I16" s="64"/>
      <c r="J16" s="60"/>
    </row>
    <row r="17" spans="1:11" ht="4.3499999999999996" customHeight="1">
      <c r="A17" s="60"/>
      <c r="B17" s="65"/>
      <c r="C17" s="77"/>
      <c r="D17" s="81"/>
      <c r="E17" s="415"/>
      <c r="F17" s="71"/>
      <c r="G17" s="205"/>
      <c r="H17" s="71"/>
      <c r="I17" s="64"/>
      <c r="J17" s="60"/>
    </row>
    <row r="18" spans="1:11" ht="15" customHeight="1">
      <c r="A18" s="60"/>
      <c r="B18" s="65"/>
      <c r="C18" s="77" t="s">
        <v>787</v>
      </c>
      <c r="D18" s="81"/>
      <c r="E18" s="416">
        <f>IFERROR(IF(ISBLANK(E16),E14,E16),"")</f>
        <v>9.1</v>
      </c>
      <c r="F18" s="71"/>
      <c r="G18" s="204" t="s">
        <v>744</v>
      </c>
      <c r="H18" s="71"/>
      <c r="I18" s="64"/>
      <c r="J18" s="16"/>
    </row>
    <row r="19" spans="1:11" ht="7.35" customHeight="1">
      <c r="A19" s="60"/>
      <c r="B19" s="65"/>
      <c r="C19" s="77"/>
      <c r="D19" s="81"/>
      <c r="E19" s="413"/>
      <c r="F19" s="71"/>
      <c r="G19" s="205"/>
      <c r="H19" s="71"/>
      <c r="I19" s="64"/>
      <c r="J19" s="60"/>
    </row>
    <row r="20" spans="1:11" ht="15" customHeight="1">
      <c r="A20" s="60"/>
      <c r="B20" s="65"/>
      <c r="C20" s="77" t="s">
        <v>788</v>
      </c>
      <c r="D20" s="81"/>
      <c r="E20" s="417">
        <v>-0.22</v>
      </c>
      <c r="F20" s="71"/>
      <c r="G20" s="80" t="s">
        <v>748</v>
      </c>
      <c r="H20" s="71"/>
      <c r="I20" s="64"/>
      <c r="J20" s="16"/>
    </row>
    <row r="21" spans="1:11" ht="7.35" customHeight="1">
      <c r="A21" s="60"/>
      <c r="B21" s="65"/>
      <c r="C21" s="77"/>
      <c r="D21" s="81"/>
      <c r="E21" s="413"/>
      <c r="F21" s="71"/>
      <c r="G21" s="205"/>
      <c r="H21" s="71"/>
      <c r="I21" s="64"/>
      <c r="J21" s="60"/>
    </row>
    <row r="22" spans="1:11" ht="15" customHeight="1">
      <c r="A22" s="60"/>
      <c r="B22" s="65"/>
      <c r="C22" s="76"/>
      <c r="D22" s="76"/>
      <c r="E22" s="76"/>
      <c r="F22" s="76"/>
      <c r="G22" s="76"/>
      <c r="H22" s="71"/>
      <c r="I22" s="64"/>
      <c r="J22" s="60"/>
    </row>
    <row r="23" spans="1:11" ht="7.35" customHeight="1">
      <c r="A23" s="60"/>
      <c r="B23" s="65"/>
      <c r="C23" s="77"/>
      <c r="D23" s="81"/>
      <c r="E23" s="71"/>
      <c r="F23" s="71"/>
      <c r="G23" s="71"/>
      <c r="H23" s="71"/>
      <c r="I23" s="64"/>
      <c r="J23" s="60"/>
    </row>
    <row r="24" spans="1:11" ht="15" customHeight="1">
      <c r="A24" s="60"/>
      <c r="B24" s="65"/>
      <c r="C24" s="76" t="s">
        <v>789</v>
      </c>
      <c r="D24" s="73"/>
      <c r="E24" s="98" t="str">
        <f>IF(E12="","",IFERROR(MAX(-D8,((E12-E18)/E18)*E20),""))</f>
        <v/>
      </c>
      <c r="F24" s="378"/>
      <c r="G24" s="43" t="b">
        <v>0</v>
      </c>
      <c r="H24" s="170" t="str">
        <f>IF(OR(G24=TRUE,E24=""),"Not Active","Active")</f>
        <v>Not Active</v>
      </c>
      <c r="I24" s="64"/>
      <c r="J24" s="60"/>
    </row>
    <row r="25" spans="1:11" ht="15" customHeight="1">
      <c r="A25" s="60"/>
      <c r="B25" s="65"/>
      <c r="C25" s="71"/>
      <c r="D25" s="71"/>
      <c r="E25" s="73"/>
      <c r="F25" s="71"/>
      <c r="G25" s="71"/>
      <c r="H25" s="71"/>
      <c r="I25" s="64"/>
      <c r="J25" s="60"/>
    </row>
    <row r="26" spans="1:11" ht="35.1" customHeight="1">
      <c r="A26" s="60"/>
      <c r="B26" s="65"/>
      <c r="C26" s="603" t="str">
        <f>"Formula:  % Change in VMT =  " &amp; SUBSTITUTE("(( " &amp; C12 &amp; " - " &amp; C18 &amp; " )/ " &amp; C18 &amp; " )* " &amp; C20 &amp; " "," used for calculation","")</f>
        <v xml:space="preserve">Formula:  % Change in VMT =  (( Residential density of project development (dwelling units per acre) - Residential density of typical development )/ Residential density of typical development )* Elasticity of VMT with respect to residential density </v>
      </c>
      <c r="D26" s="604"/>
      <c r="E26" s="604"/>
      <c r="F26" s="604"/>
      <c r="G26" s="604"/>
      <c r="H26" s="645"/>
      <c r="I26" s="64"/>
      <c r="J26" s="60"/>
    </row>
    <row r="27" spans="1:11" ht="15" customHeight="1">
      <c r="A27" s="60"/>
      <c r="B27" s="65"/>
      <c r="C27" s="71"/>
      <c r="D27" s="418"/>
      <c r="E27" s="199"/>
      <c r="F27" s="199"/>
      <c r="G27" s="199"/>
      <c r="H27" s="199"/>
      <c r="I27" s="64"/>
      <c r="J27" s="60"/>
      <c r="K27" s="25"/>
    </row>
    <row r="28" spans="1:11" ht="15" customHeight="1">
      <c r="A28" s="60"/>
      <c r="B28" s="65"/>
      <c r="C28" s="71" t="s">
        <v>732</v>
      </c>
      <c r="D28" s="71"/>
      <c r="E28" s="73"/>
      <c r="F28" s="71"/>
      <c r="G28" s="71"/>
      <c r="H28" s="71"/>
      <c r="I28" s="64"/>
      <c r="J28" s="60"/>
    </row>
    <row r="29" spans="1:11" ht="99.95" customHeight="1">
      <c r="A29" s="60"/>
      <c r="B29" s="65"/>
      <c r="C29" s="620" t="str">
        <f>INDEX(VL_TDM!$AG$11:$AG$41,MATCH($A$4,VL_TDM!$B$11:$B$41,0),1)</f>
        <v>(1) Ewing, R., Bartholomew, K., Winkelman, S., Walters, J., Chen, D. 2007. Growing Cooler: The Evidence on Urban Development and Climate Change. October. Available: https://www.nrdc.org/sites/default/files/cit_07092401a.pdf. Accessed: January 2021.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v>
      </c>
      <c r="D29" s="597"/>
      <c r="E29" s="597"/>
      <c r="F29" s="597"/>
      <c r="G29" s="597"/>
      <c r="H29" s="597"/>
      <c r="I29" s="64"/>
      <c r="J29" s="60"/>
    </row>
    <row r="30" spans="1:11" ht="15" customHeight="1">
      <c r="A30" s="60"/>
      <c r="B30" s="74"/>
      <c r="C30" s="177"/>
      <c r="D30" s="177"/>
      <c r="E30" s="379"/>
      <c r="F30" s="177"/>
      <c r="G30" s="177"/>
      <c r="H30" s="177"/>
      <c r="I30" s="380"/>
      <c r="J30" s="60"/>
    </row>
    <row r="31" spans="1:11" ht="22.35" customHeight="1">
      <c r="A31" s="60"/>
      <c r="B31" s="16"/>
      <c r="C31" s="16"/>
      <c r="D31" s="16"/>
      <c r="E31" s="75"/>
      <c r="F31" s="60"/>
      <c r="G31" s="60"/>
      <c r="H31" s="60"/>
      <c r="I31" s="60"/>
      <c r="J31" s="60"/>
    </row>
    <row r="38" spans="5:12" s="87" customFormat="1" hidden="1">
      <c r="E38" s="88"/>
      <c r="K38"/>
      <c r="L38"/>
    </row>
    <row r="39" spans="5:12" s="87" customFormat="1" hidden="1">
      <c r="E39" s="88"/>
      <c r="K39"/>
      <c r="L39"/>
    </row>
  </sheetData>
  <sheetProtection algorithmName="SHA-512" hashValue="o6k9npErUYTqM4bpVDcobXMiJySrHMy3j/ZLfFc/VARRWHhUa9ox2u2pIKWvT+r3fBhMWaJXt4nZvnySL2KkcA==" saltValue="mbpZ9eIgr+NNEvIN3WHcLQ==" spinCount="100000" sheet="1" objects="1" scenarios="1" selectLockedCells="1"/>
  <mergeCells count="4">
    <mergeCell ref="C29:H29"/>
    <mergeCell ref="B4:I4"/>
    <mergeCell ref="C10:H10"/>
    <mergeCell ref="C26:H26"/>
  </mergeCells>
  <conditionalFormatting sqref="E24">
    <cfRule type="expression" dxfId="41" priority="13">
      <formula>-ROUND($D$8,3)=ROUND($E$24,3)</formula>
    </cfRule>
    <cfRule type="expression" dxfId="40" priority="14">
      <formula>AND(E24&lt;&gt;"",E24&gt;0)</formula>
    </cfRule>
  </conditionalFormatting>
  <dataValidations count="1">
    <dataValidation type="decimal" allowBlank="1" showInputMessage="1" showErrorMessage="1" sqref="E16" xr:uid="{2F1186B4-AE83-4750-8FDD-263F43772A17}">
      <formula1>0</formula1>
      <formula2>1000</formula2>
    </dataValidation>
  </dataValidations>
  <hyperlinks>
    <hyperlink ref="H7" location="Results!A1" display="Results Summary" xr:uid="{7498159A-DBC5-4E4E-B8C6-8F414112E1AD}"/>
    <hyperlink ref="H6" location="Main!E65" display="Return to Main É" xr:uid="{FBD1E2EF-962C-459D-B743-B20EA848EA3A}"/>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1969" r:id="rId4" name="Check Box 1">
              <controlPr defaultSize="0" autoFill="0" autoLine="0" autoPict="0" altText="Exclude From Results Summary">
                <anchor moveWithCells="1">
                  <from>
                    <xdr:col>6</xdr:col>
                    <xdr:colOff>28575</xdr:colOff>
                    <xdr:row>22</xdr:row>
                    <xdr:rowOff>85725</xdr:rowOff>
                  </from>
                  <to>
                    <xdr:col>7</xdr:col>
                    <xdr:colOff>0</xdr:colOff>
                    <xdr:row>24</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62A29-9BBE-46B1-B512-7A1424D9BD0A}">
  <sheetPr codeName="Sheet31">
    <tabColor rgb="FF33CCCC"/>
  </sheetPr>
  <dimension ref="A1:L39"/>
  <sheetViews>
    <sheetView showGridLines="0" showRowColHeaders="0" topLeftCell="A3" zoomScaleNormal="100" workbookViewId="0">
      <selection activeCell="E12" sqref="E12"/>
    </sheetView>
  </sheetViews>
  <sheetFormatPr defaultColWidth="0" defaultRowHeight="15" customHeight="1" zeroHeight="1"/>
  <cols>
    <col min="1" max="1" width="4.42578125" style="87" customWidth="1"/>
    <col min="2" max="2" width="8.85546875" style="87" customWidth="1"/>
    <col min="3" max="3" width="22.140625" style="87" customWidth="1"/>
    <col min="4" max="4" width="51.42578125" style="87" customWidth="1"/>
    <col min="5" max="5" width="10.5703125" style="88" customWidth="1"/>
    <col min="6" max="6" width="5.5703125" style="87" customWidth="1"/>
    <col min="7" max="7" width="34.5703125" style="87" customWidth="1"/>
    <col min="8" max="8" width="17.5703125" style="87" customWidth="1"/>
    <col min="9" max="9" width="8.85546875" style="87" customWidth="1"/>
    <col min="10" max="10" width="4.5703125" style="87" customWidth="1"/>
    <col min="11" max="12" width="21.5703125" hidden="1" customWidth="1"/>
    <col min="13" max="16384" width="8.85546875" hidden="1"/>
  </cols>
  <sheetData>
    <row r="1" spans="1:12" ht="15" hidden="1" customHeight="1">
      <c r="A1" s="60"/>
      <c r="B1" s="60"/>
      <c r="C1" s="60"/>
      <c r="D1" s="60"/>
      <c r="E1" s="75"/>
      <c r="F1" s="60"/>
      <c r="G1" s="60"/>
      <c r="H1" s="60"/>
      <c r="I1" s="60"/>
      <c r="J1" s="60"/>
    </row>
    <row r="2" spans="1:12" ht="15" hidden="1" customHeight="1">
      <c r="A2" s="60"/>
      <c r="B2" s="60"/>
      <c r="C2" s="60"/>
      <c r="D2" s="60"/>
      <c r="E2" s="75"/>
      <c r="F2" s="60"/>
      <c r="G2" s="60"/>
      <c r="H2" s="60"/>
      <c r="I2" s="60"/>
      <c r="J2" s="60"/>
    </row>
    <row r="3" spans="1:12" ht="22.35" customHeight="1">
      <c r="A3" s="60"/>
      <c r="B3" s="39"/>
      <c r="C3" s="60"/>
      <c r="D3" s="60"/>
      <c r="E3" s="75"/>
      <c r="F3" s="60"/>
      <c r="G3" s="60"/>
      <c r="H3" s="60"/>
      <c r="I3" s="60"/>
      <c r="J3" s="60"/>
    </row>
    <row r="4" spans="1:12" ht="21.6" customHeight="1">
      <c r="A4" s="187" t="s">
        <v>92</v>
      </c>
      <c r="B4" s="639" t="str">
        <f>A4&amp;". "&amp;INDEX(VL_TDM!$E$11:$E$41,MATCH($A$4,VL_TDM!$B$11:$B$41,0),1)</f>
        <v>2B2. Increase Employment Density</v>
      </c>
      <c r="C4" s="600"/>
      <c r="D4" s="600"/>
      <c r="E4" s="600"/>
      <c r="F4" s="600"/>
      <c r="G4" s="600"/>
      <c r="H4" s="600"/>
      <c r="I4" s="601"/>
      <c r="J4" s="60"/>
    </row>
    <row r="5" spans="1:12" ht="15" customHeight="1">
      <c r="A5" s="60"/>
      <c r="B5" s="65"/>
      <c r="C5" s="71"/>
      <c r="D5" s="71"/>
      <c r="E5" s="71"/>
      <c r="F5" s="71"/>
      <c r="G5" s="73"/>
      <c r="H5" s="71"/>
      <c r="I5" s="64"/>
      <c r="J5" s="60"/>
    </row>
    <row r="6" spans="1:12" ht="15" customHeight="1">
      <c r="A6" s="60"/>
      <c r="B6" s="65"/>
      <c r="C6" s="81" t="s">
        <v>723</v>
      </c>
      <c r="D6" s="82" t="str">
        <f>INDEX(VL_TDM!$AC$11:$AC$41,MATCH($A$4,VL_TDM!$B$11:$B$41,0),1)</f>
        <v>Project/Site</v>
      </c>
      <c r="E6" s="73"/>
      <c r="F6" s="370"/>
      <c r="G6" s="370"/>
      <c r="H6" s="500" t="s">
        <v>120</v>
      </c>
      <c r="I6" s="64"/>
      <c r="J6" s="60"/>
    </row>
    <row r="7" spans="1:12" ht="15" customHeight="1">
      <c r="A7" s="60"/>
      <c r="B7" s="65"/>
      <c r="C7" s="81" t="s">
        <v>724</v>
      </c>
      <c r="D7" s="85" t="str">
        <f>INDEX(VL_TDM!$AD$11:$AD$41,MATCH($A$4,VL_TDM!$B$11:$B$41,0),1)</f>
        <v>Employee commute trips</v>
      </c>
      <c r="E7" s="81"/>
      <c r="F7" s="370"/>
      <c r="G7" s="370"/>
      <c r="H7" s="500" t="s">
        <v>153</v>
      </c>
      <c r="I7" s="64"/>
      <c r="J7" s="60"/>
    </row>
    <row r="8" spans="1:12" ht="15" customHeight="1">
      <c r="A8" s="60"/>
      <c r="B8" s="65"/>
      <c r="C8" s="81" t="s">
        <v>725</v>
      </c>
      <c r="D8" s="86">
        <f>INDEX(VL_TDM!$AE$11:$AE$41,MATCH($A$4,VL_TDM!$B$11:$B$41,0),1)</f>
        <v>0.3</v>
      </c>
      <c r="E8" s="71"/>
      <c r="F8" s="71"/>
      <c r="G8" s="73"/>
      <c r="H8" s="71"/>
      <c r="I8" s="64"/>
      <c r="J8" s="60"/>
    </row>
    <row r="9" spans="1:12" ht="15" customHeight="1">
      <c r="A9" s="60"/>
      <c r="B9" s="65"/>
      <c r="C9" s="412"/>
      <c r="D9" s="73"/>
      <c r="E9" s="73"/>
      <c r="F9" s="73"/>
      <c r="G9" s="73"/>
      <c r="H9" s="73"/>
      <c r="I9" s="64"/>
      <c r="J9" s="60"/>
    </row>
    <row r="10" spans="1:12" ht="60" customHeight="1">
      <c r="A10" s="60"/>
      <c r="B10" s="65"/>
      <c r="C10" s="602" t="str">
        <f>INDEX(VL_TDM!$AF$11:$AF$41,MATCH($A$4,VL_TDM!$B$11:$B$41,0),1)</f>
        <v>This strategy accounts for the VMT reduction achieved by a project that is designed with a higher density of jobs compared to the average job density in the United States. Increased densities affect the distance people travel and provide greater options for the mode of travel they choose. Increasing job density results in shorter and fewer trips by single occupancy vehicles and thus a reduction in GHG emissions.</v>
      </c>
      <c r="D10" s="597"/>
      <c r="E10" s="597"/>
      <c r="F10" s="597"/>
      <c r="G10" s="597"/>
      <c r="H10" s="597"/>
      <c r="I10" s="64"/>
      <c r="J10" s="60"/>
    </row>
    <row r="11" spans="1:12" ht="15" customHeight="1">
      <c r="A11" s="60"/>
      <c r="B11" s="65"/>
      <c r="C11" s="71"/>
      <c r="D11" s="71"/>
      <c r="E11" s="73"/>
      <c r="F11" s="71"/>
      <c r="G11" s="71"/>
      <c r="H11" s="71"/>
      <c r="I11" s="64"/>
      <c r="J11" s="60"/>
    </row>
    <row r="12" spans="1:12" ht="15" customHeight="1">
      <c r="A12" s="60"/>
      <c r="B12" s="65"/>
      <c r="C12" s="77" t="s">
        <v>790</v>
      </c>
      <c r="D12" s="81"/>
      <c r="E12" s="185"/>
      <c r="F12" s="4"/>
      <c r="G12" s="363" t="s">
        <v>17</v>
      </c>
      <c r="H12" s="71"/>
      <c r="I12" s="64"/>
      <c r="J12" s="16"/>
    </row>
    <row r="13" spans="1:12" ht="7.35" customHeight="1">
      <c r="A13" s="60"/>
      <c r="B13" s="65"/>
      <c r="C13" s="77"/>
      <c r="D13" s="81"/>
      <c r="E13" s="413"/>
      <c r="F13" s="71"/>
      <c r="G13" s="205"/>
      <c r="H13" s="71"/>
      <c r="I13" s="64"/>
      <c r="J13" s="60"/>
    </row>
    <row r="14" spans="1:12" ht="15" customHeight="1">
      <c r="A14" s="60"/>
      <c r="B14" s="65"/>
      <c r="C14" s="77" t="s">
        <v>791</v>
      </c>
      <c r="D14" s="81"/>
      <c r="E14" s="419">
        <v>145</v>
      </c>
      <c r="F14" s="71"/>
      <c r="G14" s="71" t="str">
        <f>CONCATENATE("constant, source (1)",IF(NOT(ISBLANK(E16)),", overridden",""))</f>
        <v>constant, source (1)</v>
      </c>
      <c r="H14" s="71"/>
      <c r="I14" s="64"/>
      <c r="J14" s="60"/>
      <c r="K14" s="89"/>
      <c r="L14" s="89"/>
    </row>
    <row r="15" spans="1:12" ht="7.35" customHeight="1">
      <c r="A15" s="60"/>
      <c r="B15" s="65"/>
      <c r="C15" s="77"/>
      <c r="D15" s="81"/>
      <c r="E15" s="413"/>
      <c r="F15" s="71"/>
      <c r="G15" s="205"/>
      <c r="H15" s="71"/>
      <c r="I15" s="64"/>
      <c r="J15" s="60"/>
    </row>
    <row r="16" spans="1:12" ht="14.45" customHeight="1">
      <c r="A16" s="60"/>
      <c r="B16" s="65"/>
      <c r="C16" s="77" t="s">
        <v>792</v>
      </c>
      <c r="D16" s="81"/>
      <c r="E16" s="51"/>
      <c r="F16" s="71"/>
      <c r="G16" s="207" t="s">
        <v>20</v>
      </c>
      <c r="H16" s="71"/>
      <c r="I16" s="64"/>
      <c r="J16" s="60"/>
    </row>
    <row r="17" spans="1:11" ht="4.3499999999999996" customHeight="1">
      <c r="A17" s="60"/>
      <c r="B17" s="65"/>
      <c r="C17" s="77"/>
      <c r="D17" s="81"/>
      <c r="E17" s="415"/>
      <c r="F17" s="71"/>
      <c r="G17" s="205"/>
      <c r="H17" s="71"/>
      <c r="I17" s="64"/>
      <c r="J17" s="60"/>
    </row>
    <row r="18" spans="1:11" ht="15" customHeight="1">
      <c r="A18" s="60"/>
      <c r="B18" s="65"/>
      <c r="C18" s="77" t="s">
        <v>793</v>
      </c>
      <c r="D18" s="81"/>
      <c r="E18" s="416">
        <f>IFERROR(IF(ISBLANK(E16),E14,E16),"")</f>
        <v>145</v>
      </c>
      <c r="F18" s="71"/>
      <c r="G18" s="204" t="s">
        <v>744</v>
      </c>
      <c r="H18" s="71"/>
      <c r="I18" s="64"/>
      <c r="J18" s="16"/>
    </row>
    <row r="19" spans="1:11" ht="7.35" customHeight="1">
      <c r="A19" s="60"/>
      <c r="B19" s="65"/>
      <c r="C19" s="77"/>
      <c r="D19" s="81"/>
      <c r="E19" s="413"/>
      <c r="F19" s="71"/>
      <c r="G19" s="205"/>
      <c r="H19" s="71"/>
      <c r="I19" s="64"/>
      <c r="J19" s="60"/>
    </row>
    <row r="20" spans="1:11" ht="15" customHeight="1">
      <c r="A20" s="60"/>
      <c r="B20" s="65"/>
      <c r="C20" s="77" t="s">
        <v>794</v>
      </c>
      <c r="D20" s="81"/>
      <c r="E20" s="420">
        <v>-7.0000000000000007E-2</v>
      </c>
      <c r="F20" s="71"/>
      <c r="G20" s="80" t="s">
        <v>748</v>
      </c>
      <c r="H20" s="71"/>
      <c r="I20" s="64"/>
      <c r="J20" s="16"/>
    </row>
    <row r="21" spans="1:11" ht="7.35" customHeight="1">
      <c r="A21" s="60"/>
      <c r="B21" s="65"/>
      <c r="C21" s="77"/>
      <c r="D21" s="81"/>
      <c r="E21" s="413"/>
      <c r="F21" s="71"/>
      <c r="G21" s="205"/>
      <c r="H21" s="71"/>
      <c r="I21" s="64"/>
      <c r="J21" s="60"/>
    </row>
    <row r="22" spans="1:11" ht="15" customHeight="1">
      <c r="A22" s="60"/>
      <c r="B22" s="65"/>
      <c r="C22" s="76"/>
      <c r="D22" s="76"/>
      <c r="E22" s="76"/>
      <c r="F22" s="76"/>
      <c r="G22" s="76"/>
      <c r="H22" s="71"/>
      <c r="I22" s="64"/>
      <c r="J22" s="60"/>
    </row>
    <row r="23" spans="1:11" ht="7.35" customHeight="1">
      <c r="A23" s="60"/>
      <c r="B23" s="65"/>
      <c r="C23" s="77"/>
      <c r="D23" s="81"/>
      <c r="E23" s="71"/>
      <c r="F23" s="71"/>
      <c r="G23" s="71"/>
      <c r="H23" s="71"/>
      <c r="I23" s="64"/>
      <c r="J23" s="60"/>
    </row>
    <row r="24" spans="1:11" ht="15" customHeight="1">
      <c r="A24" s="60"/>
      <c r="B24" s="65"/>
      <c r="C24" s="76" t="s">
        <v>789</v>
      </c>
      <c r="D24" s="73"/>
      <c r="E24" s="98" t="str">
        <f>IF(E12="","",IFERROR(MAX(-D8,((E12-E18)/E18)*E20),""))</f>
        <v/>
      </c>
      <c r="F24" s="378"/>
      <c r="G24" s="43" t="b">
        <v>0</v>
      </c>
      <c r="H24" s="170" t="str">
        <f>IF(OR(G24=TRUE,E24=""),"Not Active","Active")</f>
        <v>Not Active</v>
      </c>
      <c r="I24" s="64"/>
      <c r="J24" s="60"/>
    </row>
    <row r="25" spans="1:11" ht="15" customHeight="1">
      <c r="A25" s="60"/>
      <c r="B25" s="65"/>
      <c r="C25" s="71"/>
      <c r="D25" s="71"/>
      <c r="E25" s="73"/>
      <c r="F25" s="71"/>
      <c r="G25" s="71"/>
      <c r="H25" s="71"/>
      <c r="I25" s="64"/>
      <c r="J25" s="60"/>
    </row>
    <row r="26" spans="1:11" ht="35.1" customHeight="1">
      <c r="A26" s="60"/>
      <c r="B26" s="65"/>
      <c r="C26" s="603" t="str">
        <f>"Formula:  % Change in VMT =  " &amp; SUBSTITUTE("(( " &amp; C12 &amp; " - " &amp; C18 &amp; " )/ " &amp; C18 &amp; " )* " &amp; C20 &amp; " "," used for calculation","")</f>
        <v xml:space="preserve">Formula:  % Change in VMT =  (( Job density of project development (jobs per acre) - Job density of typical development )/ Job density of typical development )* Elasticity of VMT with respect to Job density </v>
      </c>
      <c r="D26" s="604"/>
      <c r="E26" s="604"/>
      <c r="F26" s="604"/>
      <c r="G26" s="604"/>
      <c r="H26" s="645"/>
      <c r="I26" s="64"/>
      <c r="J26" s="60"/>
    </row>
    <row r="27" spans="1:11" ht="15" customHeight="1">
      <c r="A27" s="60"/>
      <c r="B27" s="65"/>
      <c r="C27" s="71"/>
      <c r="D27" s="418"/>
      <c r="E27" s="199"/>
      <c r="F27" s="199"/>
      <c r="G27" s="199"/>
      <c r="H27" s="199"/>
      <c r="I27" s="64"/>
      <c r="J27" s="60"/>
      <c r="K27" s="25"/>
    </row>
    <row r="28" spans="1:11" ht="15" customHeight="1">
      <c r="A28" s="60"/>
      <c r="B28" s="65"/>
      <c r="C28" s="71" t="s">
        <v>732</v>
      </c>
      <c r="D28" s="71"/>
      <c r="E28" s="73"/>
      <c r="F28" s="71"/>
      <c r="G28" s="71"/>
      <c r="H28" s="71"/>
      <c r="I28" s="64"/>
      <c r="J28" s="60"/>
    </row>
    <row r="29" spans="1:11" ht="99.95" customHeight="1">
      <c r="A29" s="60"/>
      <c r="B29" s="65"/>
      <c r="C29" s="620" t="str">
        <f>INDEX(VL_TDM!$AG$11:$AG$41,MATCH($A$4,VL_TDM!$B$11:$B$41,0),1)</f>
        <v>(1) Institute of Transportation Engineers (ITE). Trip Generation Manual. 10th Edition. Available: https://www.ite.org/technical-resources/topics/trip-and-parking-generation/trip-generation- 10th-edition-formats/. Accessed: January 2021.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v>
      </c>
      <c r="D29" s="597"/>
      <c r="E29" s="597"/>
      <c r="F29" s="597"/>
      <c r="G29" s="597"/>
      <c r="H29" s="597"/>
      <c r="I29" s="64"/>
      <c r="J29" s="60"/>
    </row>
    <row r="30" spans="1:11" ht="15" customHeight="1">
      <c r="A30" s="60"/>
      <c r="B30" s="74"/>
      <c r="C30" s="177"/>
      <c r="D30" s="177"/>
      <c r="E30" s="379"/>
      <c r="F30" s="177"/>
      <c r="G30" s="177"/>
      <c r="H30" s="177"/>
      <c r="I30" s="380"/>
      <c r="J30" s="60"/>
    </row>
    <row r="31" spans="1:11" ht="22.35" customHeight="1">
      <c r="A31" s="60"/>
      <c r="B31" s="16"/>
      <c r="C31" s="16"/>
      <c r="D31" s="16"/>
      <c r="E31" s="75"/>
      <c r="F31" s="60"/>
      <c r="G31" s="60"/>
      <c r="H31" s="60"/>
      <c r="I31" s="60"/>
      <c r="J31" s="60"/>
    </row>
    <row r="38" spans="5:12" s="87" customFormat="1" hidden="1">
      <c r="E38" s="88"/>
      <c r="K38"/>
      <c r="L38"/>
    </row>
    <row r="39" spans="5:12" s="87" customFormat="1" hidden="1">
      <c r="E39" s="88"/>
      <c r="K39"/>
      <c r="L39"/>
    </row>
  </sheetData>
  <sheetProtection algorithmName="SHA-512" hashValue="BE+yxqGseXA+xJxEq96eMldcAak3X4t2KAzAC9zDI5t+JjOs53M/T3FjMGwSBBiXil+mSgWUWpuFEAYZNeL0fg==" saltValue="aPOjv+r4q7ZmY/4WMPL9pQ==" spinCount="100000" sheet="1" objects="1" scenarios="1" selectLockedCells="1"/>
  <mergeCells count="4">
    <mergeCell ref="C29:H29"/>
    <mergeCell ref="B4:I4"/>
    <mergeCell ref="C10:H10"/>
    <mergeCell ref="C26:H26"/>
  </mergeCells>
  <conditionalFormatting sqref="E24">
    <cfRule type="expression" dxfId="39" priority="3">
      <formula>-ROUND($D$8,3)=ROUND($E$24,3)</formula>
    </cfRule>
    <cfRule type="expression" dxfId="38" priority="4">
      <formula>AND(E24&lt;&gt;"",E24&gt;0)</formula>
    </cfRule>
  </conditionalFormatting>
  <dataValidations count="1">
    <dataValidation type="decimal" allowBlank="1" showInputMessage="1" showErrorMessage="1" sqref="E16" xr:uid="{EFE8FC41-07D3-4FE7-8AB1-46456FBF0B22}">
      <formula1>0</formula1>
      <formula2>1000</formula2>
    </dataValidation>
  </dataValidations>
  <hyperlinks>
    <hyperlink ref="H7" location="Results!A1" display="Results Summary" xr:uid="{A20BF486-D7C8-4516-8B59-F424E3CF3C4C}"/>
    <hyperlink ref="H6" location="Main!E65" display="Return to Main É" xr:uid="{85867FE3-C93C-427C-A941-B8920EE72EFF}"/>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2993" r:id="rId4" name="Check Box 1">
              <controlPr defaultSize="0" autoFill="0" autoLine="0" autoPict="0" altText="Exclude From Results Summary">
                <anchor moveWithCells="1">
                  <from>
                    <xdr:col>6</xdr:col>
                    <xdr:colOff>28575</xdr:colOff>
                    <xdr:row>22</xdr:row>
                    <xdr:rowOff>85725</xdr:rowOff>
                  </from>
                  <to>
                    <xdr:col>7</xdr:col>
                    <xdr:colOff>0</xdr:colOff>
                    <xdr:row>24</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1"/>
  </sheetPr>
  <dimension ref="A1:XEU94"/>
  <sheetViews>
    <sheetView showRowColHeaders="0" zoomScaleNormal="100" workbookViewId="0">
      <selection activeCell="F4" sqref="F4"/>
    </sheetView>
  </sheetViews>
  <sheetFormatPr defaultColWidth="0" defaultRowHeight="14.45" customHeight="1" zeroHeight="1"/>
  <cols>
    <col min="1" max="1" width="2.7109375" customWidth="1"/>
    <col min="2" max="2" width="4.42578125" customWidth="1"/>
    <col min="3" max="3" width="96.5703125" customWidth="1"/>
    <col min="4" max="4" width="22.42578125" customWidth="1"/>
    <col min="5" max="5" width="3.140625" style="1" customWidth="1"/>
    <col min="6" max="6" width="60.42578125" customWidth="1"/>
    <col min="7" max="7" width="2.7109375" style="17" customWidth="1"/>
    <col min="8" max="8" width="8.85546875" hidden="1" customWidth="1"/>
    <col min="9" max="16384" width="8.85546875" hidden="1"/>
  </cols>
  <sheetData>
    <row r="1" spans="1:16375" ht="15">
      <c r="A1" s="16"/>
      <c r="B1" s="16"/>
      <c r="C1" s="16"/>
      <c r="D1" s="16"/>
      <c r="E1" s="17"/>
      <c r="F1" s="16"/>
    </row>
    <row r="2" spans="1:16375" ht="36" customHeight="1">
      <c r="A2" s="16"/>
      <c r="B2" s="570" t="s">
        <v>119</v>
      </c>
      <c r="C2" s="571"/>
      <c r="D2" s="571"/>
      <c r="E2" s="571"/>
      <c r="F2" s="571"/>
      <c r="G2" s="16"/>
    </row>
    <row r="3" spans="1:16375" ht="5.0999999999999996" customHeight="1">
      <c r="A3" s="16"/>
      <c r="B3" s="16"/>
      <c r="C3" s="16"/>
      <c r="D3" s="16"/>
      <c r="E3" s="16"/>
      <c r="F3" s="16"/>
      <c r="G3" s="16"/>
    </row>
    <row r="4" spans="1:16375" ht="15.75" customHeight="1">
      <c r="A4" s="198"/>
      <c r="B4" s="583"/>
      <c r="C4" s="583"/>
      <c r="D4" s="198"/>
      <c r="E4" s="198"/>
      <c r="F4" s="499" t="s">
        <v>120</v>
      </c>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c r="CC4" s="198"/>
      <c r="CD4" s="198"/>
      <c r="CE4" s="198"/>
      <c r="CF4" s="198"/>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E4" s="198"/>
      <c r="DF4" s="198"/>
      <c r="DG4" s="198"/>
      <c r="DH4" s="198"/>
      <c r="DI4" s="198"/>
      <c r="DJ4" s="198"/>
      <c r="DK4" s="198"/>
      <c r="DL4" s="198"/>
      <c r="DM4" s="198"/>
      <c r="DN4" s="198"/>
      <c r="DO4" s="198"/>
      <c r="DP4" s="198"/>
      <c r="DQ4" s="198"/>
      <c r="DR4" s="198"/>
      <c r="DS4" s="198"/>
      <c r="DT4" s="198"/>
      <c r="DU4" s="198"/>
      <c r="DV4" s="198"/>
      <c r="DW4" s="198"/>
      <c r="DX4" s="198"/>
      <c r="DY4" s="198"/>
      <c r="DZ4" s="198"/>
      <c r="EA4" s="198"/>
      <c r="EB4" s="198"/>
      <c r="EC4" s="198"/>
      <c r="ED4" s="198"/>
      <c r="EE4" s="198"/>
      <c r="EF4" s="198"/>
      <c r="EG4" s="198"/>
      <c r="EH4" s="198"/>
      <c r="EI4" s="198"/>
      <c r="EJ4" s="198"/>
      <c r="EK4" s="198"/>
      <c r="EL4" s="198"/>
      <c r="EM4" s="198"/>
      <c r="EN4" s="198"/>
      <c r="EO4" s="198"/>
      <c r="EP4" s="198"/>
      <c r="EQ4" s="198"/>
      <c r="ER4" s="198"/>
      <c r="ES4" s="198"/>
      <c r="ET4" s="198"/>
      <c r="EU4" s="198"/>
      <c r="EV4" s="198"/>
      <c r="EW4" s="198"/>
      <c r="EX4" s="198"/>
      <c r="EY4" s="198"/>
      <c r="EZ4" s="198"/>
      <c r="FA4" s="198"/>
      <c r="FB4" s="198"/>
      <c r="FC4" s="198"/>
      <c r="FD4" s="198"/>
      <c r="FE4" s="198"/>
      <c r="FF4" s="198"/>
      <c r="FG4" s="198"/>
      <c r="FH4" s="198"/>
      <c r="FI4" s="198"/>
      <c r="FJ4" s="198"/>
      <c r="FK4" s="198"/>
      <c r="FL4" s="198"/>
      <c r="FM4" s="198"/>
      <c r="FN4" s="198"/>
      <c r="FO4" s="198"/>
      <c r="FP4" s="198"/>
      <c r="FQ4" s="198"/>
      <c r="FR4" s="198"/>
      <c r="FS4" s="198"/>
      <c r="FT4" s="198"/>
      <c r="FU4" s="198"/>
      <c r="FV4" s="198"/>
      <c r="FW4" s="198"/>
      <c r="FX4" s="198"/>
      <c r="FY4" s="198"/>
      <c r="FZ4" s="198"/>
      <c r="GA4" s="198"/>
      <c r="GB4" s="198"/>
      <c r="GC4" s="198"/>
      <c r="GD4" s="198"/>
      <c r="GE4" s="198"/>
      <c r="GF4" s="198"/>
      <c r="GG4" s="198"/>
      <c r="GH4" s="198"/>
      <c r="GI4" s="198"/>
      <c r="GJ4" s="198"/>
      <c r="GK4" s="198"/>
      <c r="GL4" s="198"/>
      <c r="GM4" s="198"/>
      <c r="GN4" s="198"/>
      <c r="GO4" s="198"/>
      <c r="GP4" s="198"/>
      <c r="GQ4" s="198"/>
      <c r="GR4" s="198"/>
      <c r="GS4" s="198"/>
      <c r="GT4" s="198"/>
      <c r="GU4" s="198"/>
      <c r="GV4" s="198"/>
      <c r="GW4" s="198"/>
      <c r="GX4" s="198"/>
      <c r="GY4" s="198"/>
      <c r="GZ4" s="198"/>
      <c r="HA4" s="198"/>
      <c r="HB4" s="198"/>
      <c r="HC4" s="198"/>
      <c r="HD4" s="198"/>
      <c r="HE4" s="198"/>
      <c r="HF4" s="198"/>
      <c r="HG4" s="198"/>
      <c r="HH4" s="198"/>
      <c r="HI4" s="198"/>
      <c r="HJ4" s="198"/>
      <c r="HK4" s="198"/>
      <c r="HL4" s="198"/>
      <c r="HM4" s="198"/>
      <c r="HN4" s="198"/>
      <c r="HO4" s="198"/>
      <c r="HP4" s="198"/>
      <c r="HQ4" s="198"/>
      <c r="HR4" s="198"/>
      <c r="HS4" s="198"/>
      <c r="HT4" s="198"/>
      <c r="HU4" s="198"/>
      <c r="HV4" s="198"/>
      <c r="HW4" s="198"/>
      <c r="HX4" s="198"/>
      <c r="HY4" s="198"/>
      <c r="HZ4" s="198"/>
      <c r="IA4" s="198"/>
      <c r="IB4" s="198"/>
      <c r="IC4" s="198"/>
      <c r="ID4" s="198"/>
      <c r="IE4" s="198"/>
      <c r="IF4" s="198"/>
      <c r="IG4" s="198"/>
      <c r="IH4" s="198"/>
      <c r="II4" s="198"/>
      <c r="IJ4" s="198"/>
      <c r="IK4" s="198"/>
      <c r="IL4" s="198"/>
      <c r="IM4" s="198"/>
      <c r="IN4" s="198"/>
      <c r="IO4" s="198"/>
      <c r="IP4" s="198"/>
      <c r="IQ4" s="198"/>
      <c r="IR4" s="198"/>
      <c r="IS4" s="198"/>
      <c r="IT4" s="198"/>
      <c r="IU4" s="198"/>
      <c r="IV4" s="198"/>
      <c r="IW4" s="198"/>
      <c r="IX4" s="198"/>
      <c r="IY4" s="198"/>
      <c r="IZ4" s="198"/>
      <c r="JA4" s="198"/>
      <c r="JB4" s="198"/>
      <c r="JC4" s="198"/>
      <c r="JD4" s="198"/>
      <c r="JE4" s="198"/>
      <c r="JF4" s="198"/>
      <c r="JG4" s="198"/>
      <c r="JH4" s="198"/>
      <c r="JI4" s="198"/>
      <c r="JJ4" s="198"/>
      <c r="JK4" s="198"/>
      <c r="JL4" s="198"/>
      <c r="JM4" s="198"/>
      <c r="JN4" s="198"/>
      <c r="JO4" s="198"/>
      <c r="JP4" s="198"/>
      <c r="JQ4" s="198"/>
      <c r="JR4" s="198"/>
      <c r="JS4" s="198"/>
      <c r="JT4" s="198"/>
      <c r="JU4" s="198"/>
      <c r="JV4" s="198"/>
      <c r="JW4" s="198"/>
      <c r="JX4" s="198"/>
      <c r="JY4" s="198"/>
      <c r="JZ4" s="198"/>
      <c r="KA4" s="198"/>
      <c r="KB4" s="198"/>
      <c r="KC4" s="198"/>
      <c r="KD4" s="198"/>
      <c r="KE4" s="198"/>
      <c r="KF4" s="198"/>
      <c r="KG4" s="198"/>
      <c r="KH4" s="198"/>
      <c r="KI4" s="198"/>
      <c r="KJ4" s="198"/>
      <c r="KK4" s="198"/>
      <c r="KL4" s="198"/>
      <c r="KM4" s="198"/>
      <c r="KN4" s="198"/>
      <c r="KO4" s="198"/>
      <c r="KP4" s="198"/>
      <c r="KQ4" s="198"/>
      <c r="KR4" s="198"/>
      <c r="KS4" s="198"/>
      <c r="KT4" s="198"/>
      <c r="KU4" s="198"/>
      <c r="KV4" s="198"/>
      <c r="KW4" s="198"/>
      <c r="KX4" s="198"/>
      <c r="KY4" s="198"/>
      <c r="KZ4" s="198"/>
      <c r="LA4" s="198"/>
      <c r="LB4" s="198"/>
      <c r="LC4" s="198"/>
      <c r="LD4" s="198"/>
      <c r="LE4" s="198"/>
      <c r="LF4" s="198"/>
      <c r="LG4" s="198"/>
      <c r="LH4" s="198"/>
      <c r="LI4" s="198"/>
      <c r="LJ4" s="198"/>
      <c r="LK4" s="198"/>
      <c r="LL4" s="198"/>
      <c r="LM4" s="198"/>
      <c r="LN4" s="198"/>
      <c r="LO4" s="198"/>
      <c r="LP4" s="198"/>
      <c r="LQ4" s="198"/>
      <c r="LR4" s="198"/>
      <c r="LS4" s="198"/>
      <c r="LT4" s="198"/>
      <c r="LU4" s="198"/>
      <c r="LV4" s="198"/>
      <c r="LW4" s="198"/>
      <c r="LX4" s="198"/>
      <c r="LY4" s="198"/>
      <c r="LZ4" s="198"/>
      <c r="MA4" s="198"/>
      <c r="MB4" s="198"/>
      <c r="MC4" s="198"/>
      <c r="MD4" s="198"/>
      <c r="ME4" s="198"/>
      <c r="MF4" s="198"/>
      <c r="MG4" s="198"/>
      <c r="MH4" s="198"/>
      <c r="MI4" s="198"/>
      <c r="MJ4" s="198"/>
      <c r="MK4" s="198"/>
      <c r="ML4" s="198"/>
      <c r="MM4" s="198"/>
      <c r="MN4" s="198"/>
      <c r="MO4" s="198"/>
      <c r="MP4" s="198"/>
      <c r="MQ4" s="198"/>
      <c r="MR4" s="198"/>
      <c r="MS4" s="198"/>
      <c r="MT4" s="198"/>
      <c r="MU4" s="198"/>
      <c r="MV4" s="198"/>
      <c r="MW4" s="198"/>
      <c r="MX4" s="198"/>
      <c r="MY4" s="198"/>
      <c r="MZ4" s="198"/>
      <c r="NA4" s="198"/>
      <c r="NB4" s="198"/>
      <c r="NC4" s="198"/>
      <c r="ND4" s="198"/>
      <c r="NE4" s="198"/>
      <c r="NF4" s="198"/>
      <c r="NG4" s="198"/>
      <c r="NH4" s="198"/>
      <c r="NI4" s="198"/>
      <c r="NJ4" s="198"/>
      <c r="NK4" s="198"/>
      <c r="NL4" s="198"/>
      <c r="NM4" s="198"/>
      <c r="NN4" s="198"/>
      <c r="NO4" s="198"/>
      <c r="NP4" s="198"/>
      <c r="NQ4" s="198"/>
      <c r="NR4" s="198"/>
      <c r="NS4" s="198"/>
      <c r="NT4" s="198"/>
      <c r="NU4" s="198"/>
      <c r="NV4" s="198"/>
      <c r="NW4" s="198"/>
      <c r="NX4" s="198"/>
      <c r="NY4" s="198"/>
      <c r="NZ4" s="198"/>
      <c r="OA4" s="198"/>
      <c r="OB4" s="198"/>
      <c r="OC4" s="198"/>
      <c r="OD4" s="198"/>
      <c r="OE4" s="198"/>
      <c r="OF4" s="198"/>
      <c r="OG4" s="198"/>
      <c r="OH4" s="198"/>
      <c r="OI4" s="198"/>
      <c r="OJ4" s="198"/>
      <c r="OK4" s="198"/>
      <c r="OL4" s="198"/>
      <c r="OM4" s="198"/>
      <c r="ON4" s="198"/>
      <c r="OO4" s="198"/>
      <c r="OP4" s="198"/>
      <c r="OQ4" s="198"/>
      <c r="OR4" s="198"/>
      <c r="OS4" s="198"/>
      <c r="OT4" s="198"/>
      <c r="OU4" s="198"/>
      <c r="OV4" s="198"/>
      <c r="OW4" s="198"/>
      <c r="OX4" s="198"/>
      <c r="OY4" s="198"/>
      <c r="OZ4" s="198"/>
      <c r="PA4" s="198"/>
      <c r="PB4" s="198"/>
      <c r="PC4" s="198"/>
      <c r="PD4" s="198"/>
      <c r="PE4" s="198"/>
      <c r="PF4" s="198"/>
      <c r="PG4" s="198"/>
      <c r="PH4" s="198"/>
      <c r="PI4" s="198"/>
      <c r="PJ4" s="198"/>
      <c r="PK4" s="198"/>
      <c r="PL4" s="198"/>
      <c r="PM4" s="198"/>
      <c r="PN4" s="198"/>
      <c r="PO4" s="198"/>
      <c r="PP4" s="198"/>
      <c r="PQ4" s="198"/>
      <c r="PR4" s="198"/>
      <c r="PS4" s="198"/>
      <c r="PT4" s="198"/>
      <c r="PU4" s="198"/>
      <c r="PV4" s="198"/>
      <c r="PW4" s="198"/>
      <c r="PX4" s="198"/>
      <c r="PY4" s="198"/>
      <c r="PZ4" s="198"/>
      <c r="QA4" s="198"/>
      <c r="QB4" s="198"/>
      <c r="QC4" s="198"/>
      <c r="QD4" s="198"/>
      <c r="QE4" s="198"/>
      <c r="QF4" s="198"/>
      <c r="QG4" s="198"/>
      <c r="QH4" s="198"/>
      <c r="QI4" s="198"/>
      <c r="QJ4" s="198"/>
      <c r="QK4" s="198"/>
      <c r="QL4" s="198"/>
      <c r="QM4" s="198"/>
      <c r="QN4" s="198"/>
      <c r="QO4" s="198"/>
      <c r="QP4" s="198"/>
      <c r="QQ4" s="198"/>
      <c r="QR4" s="198"/>
      <c r="QS4" s="198"/>
      <c r="QT4" s="198"/>
      <c r="QU4" s="198"/>
      <c r="QV4" s="198"/>
      <c r="QW4" s="198"/>
      <c r="QX4" s="198"/>
      <c r="QY4" s="198"/>
      <c r="QZ4" s="198"/>
      <c r="RA4" s="198"/>
      <c r="RB4" s="198"/>
      <c r="RC4" s="198"/>
      <c r="RD4" s="198"/>
      <c r="RE4" s="198"/>
      <c r="RF4" s="198"/>
      <c r="RG4" s="198"/>
      <c r="RH4" s="198"/>
      <c r="RI4" s="198"/>
      <c r="RJ4" s="198"/>
      <c r="RK4" s="198"/>
      <c r="RL4" s="198"/>
      <c r="RM4" s="198"/>
      <c r="RN4" s="198"/>
      <c r="RO4" s="198"/>
      <c r="RP4" s="198"/>
      <c r="RQ4" s="198"/>
      <c r="RR4" s="198"/>
      <c r="RS4" s="198"/>
      <c r="RT4" s="198"/>
      <c r="RU4" s="198"/>
      <c r="RV4" s="198"/>
      <c r="RW4" s="198"/>
      <c r="RX4" s="198"/>
      <c r="RY4" s="198"/>
      <c r="RZ4" s="198"/>
      <c r="SA4" s="198"/>
      <c r="SB4" s="198"/>
      <c r="SC4" s="198"/>
      <c r="SD4" s="198"/>
      <c r="SE4" s="198"/>
      <c r="SF4" s="198"/>
      <c r="SG4" s="198"/>
      <c r="SH4" s="198"/>
      <c r="SI4" s="198"/>
      <c r="SJ4" s="198"/>
      <c r="SK4" s="198"/>
      <c r="SL4" s="198"/>
      <c r="SM4" s="198"/>
      <c r="SN4" s="198"/>
      <c r="SO4" s="198"/>
      <c r="SP4" s="198"/>
      <c r="SQ4" s="198"/>
      <c r="SR4" s="198"/>
      <c r="SS4" s="198"/>
      <c r="ST4" s="198"/>
      <c r="SU4" s="198"/>
      <c r="SV4" s="198"/>
      <c r="SW4" s="198"/>
      <c r="SX4" s="198"/>
      <c r="SY4" s="198"/>
      <c r="SZ4" s="198"/>
      <c r="TA4" s="198"/>
      <c r="TB4" s="198"/>
      <c r="TC4" s="198"/>
      <c r="TD4" s="198"/>
      <c r="TE4" s="198"/>
      <c r="TF4" s="198"/>
      <c r="TG4" s="198"/>
      <c r="TH4" s="198"/>
      <c r="TI4" s="198"/>
      <c r="TJ4" s="198"/>
      <c r="TK4" s="198"/>
      <c r="TL4" s="198"/>
      <c r="TM4" s="198"/>
      <c r="TN4" s="198"/>
      <c r="TO4" s="198"/>
      <c r="TP4" s="198"/>
      <c r="TQ4" s="198"/>
      <c r="TR4" s="198"/>
      <c r="TS4" s="198"/>
      <c r="TT4" s="198"/>
      <c r="TU4" s="198"/>
      <c r="TV4" s="198"/>
      <c r="TW4" s="198"/>
      <c r="TX4" s="198"/>
      <c r="TY4" s="198"/>
      <c r="TZ4" s="198"/>
      <c r="UA4" s="198"/>
      <c r="UB4" s="198"/>
      <c r="UC4" s="198"/>
      <c r="UD4" s="198"/>
      <c r="UE4" s="198"/>
      <c r="UF4" s="198"/>
      <c r="UG4" s="198"/>
      <c r="UH4" s="198"/>
      <c r="UI4" s="198"/>
      <c r="UJ4" s="198"/>
      <c r="UK4" s="198"/>
      <c r="UL4" s="198"/>
      <c r="UM4" s="198"/>
      <c r="UN4" s="198"/>
      <c r="UO4" s="198"/>
      <c r="UP4" s="198"/>
      <c r="UQ4" s="198"/>
      <c r="UR4" s="198"/>
      <c r="US4" s="198"/>
      <c r="UT4" s="198"/>
      <c r="UU4" s="198"/>
      <c r="UV4" s="198"/>
      <c r="UW4" s="198"/>
      <c r="UX4" s="198"/>
      <c r="UY4" s="198"/>
      <c r="UZ4" s="198"/>
      <c r="VA4" s="198"/>
      <c r="VB4" s="198"/>
      <c r="VC4" s="198"/>
      <c r="VD4" s="198"/>
      <c r="VE4" s="198"/>
      <c r="VF4" s="198"/>
      <c r="VG4" s="198"/>
      <c r="VH4" s="198"/>
      <c r="VI4" s="198"/>
      <c r="VJ4" s="198"/>
      <c r="VK4" s="198"/>
      <c r="VL4" s="198"/>
      <c r="VM4" s="198"/>
      <c r="VN4" s="198"/>
      <c r="VO4" s="198"/>
      <c r="VP4" s="198"/>
      <c r="VQ4" s="198"/>
      <c r="VR4" s="198"/>
      <c r="VS4" s="198"/>
      <c r="VT4" s="198"/>
      <c r="VU4" s="198"/>
      <c r="VV4" s="198"/>
      <c r="VW4" s="198"/>
      <c r="VX4" s="198"/>
      <c r="VY4" s="198"/>
      <c r="VZ4" s="198"/>
      <c r="WA4" s="198"/>
      <c r="WB4" s="198"/>
      <c r="WC4" s="198"/>
      <c r="WD4" s="198"/>
      <c r="WE4" s="198"/>
      <c r="WF4" s="198"/>
      <c r="WG4" s="198"/>
      <c r="WH4" s="198"/>
      <c r="WI4" s="198"/>
      <c r="WJ4" s="198"/>
      <c r="WK4" s="198"/>
      <c r="WL4" s="198"/>
      <c r="WM4" s="198"/>
      <c r="WN4" s="198"/>
      <c r="WO4" s="198"/>
      <c r="WP4" s="198"/>
      <c r="WQ4" s="198"/>
      <c r="WR4" s="198"/>
      <c r="WS4" s="198"/>
      <c r="WT4" s="198"/>
      <c r="WU4" s="198"/>
      <c r="WV4" s="198"/>
      <c r="WW4" s="198"/>
      <c r="WX4" s="198"/>
      <c r="WY4" s="198"/>
      <c r="WZ4" s="198"/>
      <c r="XA4" s="198"/>
      <c r="XB4" s="198"/>
      <c r="XC4" s="198"/>
      <c r="XD4" s="198"/>
      <c r="XE4" s="198"/>
      <c r="XF4" s="198"/>
      <c r="XG4" s="198"/>
      <c r="XH4" s="198"/>
      <c r="XI4" s="198"/>
      <c r="XJ4" s="198"/>
      <c r="XK4" s="198"/>
      <c r="XL4" s="198"/>
      <c r="XM4" s="198"/>
      <c r="XN4" s="198"/>
      <c r="XO4" s="198"/>
      <c r="XP4" s="198"/>
      <c r="XQ4" s="198"/>
      <c r="XR4" s="198"/>
      <c r="XS4" s="198"/>
      <c r="XT4" s="198"/>
      <c r="XU4" s="198"/>
      <c r="XV4" s="198"/>
      <c r="XW4" s="198"/>
      <c r="XX4" s="198"/>
      <c r="XY4" s="198"/>
      <c r="XZ4" s="198"/>
      <c r="YA4" s="198"/>
      <c r="YB4" s="198"/>
      <c r="YC4" s="198"/>
      <c r="YD4" s="198"/>
      <c r="YE4" s="198"/>
      <c r="YF4" s="198"/>
      <c r="YG4" s="198"/>
      <c r="YH4" s="198"/>
      <c r="YI4" s="198"/>
      <c r="YJ4" s="198"/>
      <c r="YK4" s="198"/>
      <c r="YL4" s="198"/>
      <c r="YM4" s="198"/>
      <c r="YN4" s="198"/>
      <c r="YO4" s="198"/>
      <c r="YP4" s="198"/>
      <c r="YQ4" s="198"/>
      <c r="YR4" s="198"/>
      <c r="YS4" s="198"/>
      <c r="YT4" s="198"/>
      <c r="YU4" s="198"/>
      <c r="YV4" s="198"/>
      <c r="YW4" s="198"/>
      <c r="YX4" s="198"/>
      <c r="YY4" s="198"/>
      <c r="YZ4" s="198"/>
      <c r="ZA4" s="198"/>
      <c r="ZB4" s="198"/>
      <c r="ZC4" s="198"/>
      <c r="ZD4" s="198"/>
      <c r="ZE4" s="198"/>
      <c r="ZF4" s="198"/>
      <c r="ZG4" s="198"/>
      <c r="ZH4" s="198"/>
      <c r="ZI4" s="198"/>
      <c r="ZJ4" s="198"/>
      <c r="ZK4" s="198"/>
      <c r="ZL4" s="198"/>
      <c r="ZM4" s="198"/>
      <c r="ZN4" s="198"/>
      <c r="ZO4" s="198"/>
      <c r="ZP4" s="198"/>
      <c r="ZQ4" s="198"/>
      <c r="ZR4" s="198"/>
      <c r="ZS4" s="198"/>
      <c r="ZT4" s="198"/>
      <c r="ZU4" s="198"/>
      <c r="ZV4" s="198"/>
      <c r="ZW4" s="198"/>
      <c r="ZX4" s="198"/>
      <c r="ZY4" s="198"/>
      <c r="ZZ4" s="198"/>
      <c r="AAA4" s="198"/>
      <c r="AAB4" s="198"/>
      <c r="AAC4" s="198"/>
      <c r="AAD4" s="198"/>
      <c r="AAE4" s="198"/>
      <c r="AAF4" s="198"/>
      <c r="AAG4" s="198"/>
      <c r="AAH4" s="198"/>
      <c r="AAI4" s="198"/>
      <c r="AAJ4" s="198"/>
      <c r="AAK4" s="198"/>
      <c r="AAL4" s="198"/>
      <c r="AAM4" s="198"/>
      <c r="AAN4" s="198"/>
      <c r="AAO4" s="198"/>
      <c r="AAP4" s="198"/>
      <c r="AAQ4" s="198"/>
      <c r="AAR4" s="198"/>
      <c r="AAS4" s="198"/>
      <c r="AAT4" s="198"/>
      <c r="AAU4" s="198"/>
      <c r="AAV4" s="198"/>
      <c r="AAW4" s="198"/>
      <c r="AAX4" s="198"/>
      <c r="AAY4" s="198"/>
      <c r="AAZ4" s="198"/>
      <c r="ABA4" s="198"/>
      <c r="ABB4" s="198"/>
      <c r="ABC4" s="198"/>
      <c r="ABD4" s="198"/>
      <c r="ABE4" s="198"/>
      <c r="ABF4" s="198"/>
      <c r="ABG4" s="198"/>
      <c r="ABH4" s="198"/>
      <c r="ABI4" s="198"/>
      <c r="ABJ4" s="198"/>
      <c r="ABK4" s="198"/>
      <c r="ABL4" s="198"/>
      <c r="ABM4" s="198"/>
      <c r="ABN4" s="198"/>
      <c r="ABO4" s="198"/>
      <c r="ABP4" s="198"/>
      <c r="ABQ4" s="198"/>
      <c r="ABR4" s="198"/>
      <c r="ABS4" s="198"/>
      <c r="ABT4" s="198"/>
      <c r="ABU4" s="198"/>
      <c r="ABV4" s="198"/>
      <c r="ABW4" s="198"/>
      <c r="ABX4" s="198"/>
      <c r="ABY4" s="198"/>
      <c r="ABZ4" s="198"/>
      <c r="ACA4" s="198"/>
      <c r="ACB4" s="198"/>
      <c r="ACC4" s="198"/>
      <c r="ACD4" s="198"/>
      <c r="ACE4" s="198"/>
      <c r="ACF4" s="198"/>
      <c r="ACG4" s="198"/>
      <c r="ACH4" s="198"/>
      <c r="ACI4" s="198"/>
      <c r="ACJ4" s="198"/>
      <c r="ACK4" s="198"/>
      <c r="ACL4" s="198"/>
      <c r="ACM4" s="198"/>
      <c r="ACN4" s="198"/>
      <c r="ACO4" s="198"/>
      <c r="ACP4" s="198"/>
      <c r="ACQ4" s="198"/>
      <c r="ACR4" s="198"/>
      <c r="ACS4" s="198"/>
      <c r="ACT4" s="198"/>
      <c r="ACU4" s="198"/>
      <c r="ACV4" s="198"/>
      <c r="ACW4" s="198"/>
      <c r="ACX4" s="198"/>
      <c r="ACY4" s="198"/>
      <c r="ACZ4" s="198"/>
      <c r="ADA4" s="198"/>
      <c r="ADB4" s="198"/>
      <c r="ADC4" s="198"/>
      <c r="ADD4" s="198"/>
      <c r="ADE4" s="198"/>
      <c r="ADF4" s="198"/>
      <c r="ADG4" s="198"/>
      <c r="ADH4" s="198"/>
      <c r="ADI4" s="198"/>
      <c r="ADJ4" s="198"/>
      <c r="ADK4" s="198"/>
      <c r="ADL4" s="198"/>
      <c r="ADM4" s="198"/>
      <c r="ADN4" s="198"/>
      <c r="ADO4" s="198"/>
      <c r="ADP4" s="198"/>
      <c r="ADQ4" s="198"/>
      <c r="ADR4" s="198"/>
      <c r="ADS4" s="198"/>
      <c r="ADT4" s="198"/>
      <c r="ADU4" s="198"/>
      <c r="ADV4" s="198"/>
      <c r="ADW4" s="198"/>
      <c r="ADX4" s="198"/>
      <c r="ADY4" s="198"/>
      <c r="ADZ4" s="198"/>
      <c r="AEA4" s="198"/>
      <c r="AEB4" s="198"/>
      <c r="AEC4" s="198"/>
      <c r="AED4" s="198"/>
      <c r="AEE4" s="198"/>
      <c r="AEF4" s="198"/>
      <c r="AEG4" s="198"/>
      <c r="AEH4" s="198"/>
      <c r="AEI4" s="198"/>
      <c r="AEJ4" s="198"/>
      <c r="AEK4" s="198"/>
      <c r="AEL4" s="198"/>
      <c r="AEM4" s="198"/>
      <c r="AEN4" s="198"/>
      <c r="AEO4" s="198"/>
      <c r="AEP4" s="198"/>
      <c r="AEQ4" s="198"/>
      <c r="AER4" s="198"/>
      <c r="AES4" s="198"/>
      <c r="AET4" s="198"/>
      <c r="AEU4" s="198"/>
      <c r="AEV4" s="198"/>
      <c r="AEW4" s="198"/>
      <c r="AEX4" s="198"/>
      <c r="AEY4" s="198"/>
      <c r="AEZ4" s="198"/>
      <c r="AFA4" s="198"/>
      <c r="AFB4" s="198"/>
      <c r="AFC4" s="198"/>
      <c r="AFD4" s="198"/>
      <c r="AFE4" s="198"/>
      <c r="AFF4" s="198"/>
      <c r="AFG4" s="198"/>
      <c r="AFH4" s="198"/>
      <c r="AFI4" s="198"/>
      <c r="AFJ4" s="198"/>
      <c r="AFK4" s="198"/>
      <c r="AFL4" s="198"/>
      <c r="AFM4" s="198"/>
      <c r="AFN4" s="198"/>
      <c r="AFO4" s="198"/>
      <c r="AFP4" s="198"/>
      <c r="AFQ4" s="198"/>
      <c r="AFR4" s="198"/>
      <c r="AFS4" s="198"/>
      <c r="AFT4" s="198"/>
      <c r="AFU4" s="198"/>
      <c r="AFV4" s="198"/>
      <c r="AFW4" s="198"/>
      <c r="AFX4" s="198"/>
      <c r="AFY4" s="198"/>
      <c r="AFZ4" s="198"/>
      <c r="AGA4" s="198"/>
      <c r="AGB4" s="198"/>
      <c r="AGC4" s="198"/>
      <c r="AGD4" s="198"/>
      <c r="AGE4" s="198"/>
      <c r="AGF4" s="198"/>
      <c r="AGG4" s="198"/>
      <c r="AGH4" s="198"/>
      <c r="AGI4" s="198"/>
      <c r="AGJ4" s="198"/>
      <c r="AGK4" s="198"/>
      <c r="AGL4" s="198"/>
      <c r="AGM4" s="198"/>
      <c r="AGN4" s="198"/>
      <c r="AGO4" s="198"/>
      <c r="AGP4" s="198"/>
      <c r="AGQ4" s="198"/>
      <c r="AGR4" s="198"/>
      <c r="AGS4" s="198"/>
      <c r="AGT4" s="198"/>
      <c r="AGU4" s="198"/>
      <c r="AGV4" s="198"/>
      <c r="AGW4" s="198"/>
      <c r="AGX4" s="198"/>
      <c r="AGY4" s="198"/>
      <c r="AGZ4" s="198"/>
      <c r="AHA4" s="198"/>
      <c r="AHB4" s="198"/>
      <c r="AHC4" s="198"/>
      <c r="AHD4" s="198"/>
      <c r="AHE4" s="198"/>
      <c r="AHF4" s="198"/>
      <c r="AHG4" s="198"/>
      <c r="AHH4" s="198"/>
      <c r="AHI4" s="198"/>
      <c r="AHJ4" s="198"/>
      <c r="AHK4" s="198"/>
      <c r="AHL4" s="198"/>
      <c r="AHM4" s="198"/>
      <c r="AHN4" s="198"/>
      <c r="AHO4" s="198"/>
      <c r="AHP4" s="198"/>
      <c r="AHQ4" s="198"/>
      <c r="AHR4" s="198"/>
      <c r="AHS4" s="198"/>
      <c r="AHT4" s="198"/>
      <c r="AHU4" s="198"/>
      <c r="AHV4" s="198"/>
      <c r="AHW4" s="198"/>
      <c r="AHX4" s="198"/>
      <c r="AHY4" s="198"/>
      <c r="AHZ4" s="198"/>
      <c r="AIA4" s="198"/>
      <c r="AIB4" s="198"/>
      <c r="AIC4" s="198"/>
      <c r="AID4" s="198"/>
      <c r="AIE4" s="198"/>
      <c r="AIF4" s="198"/>
      <c r="AIG4" s="198"/>
      <c r="AIH4" s="198"/>
      <c r="AII4" s="198"/>
      <c r="AIJ4" s="198"/>
      <c r="AIK4" s="198"/>
      <c r="AIL4" s="198"/>
      <c r="AIM4" s="198"/>
      <c r="AIN4" s="198"/>
      <c r="AIO4" s="198"/>
      <c r="AIP4" s="198"/>
      <c r="AIQ4" s="198"/>
      <c r="AIR4" s="198"/>
      <c r="AIS4" s="198"/>
      <c r="AIT4" s="198"/>
      <c r="AIU4" s="198"/>
      <c r="AIV4" s="198"/>
      <c r="AIW4" s="198"/>
      <c r="AIX4" s="198"/>
      <c r="AIY4" s="198"/>
      <c r="AIZ4" s="198"/>
      <c r="AJA4" s="198"/>
      <c r="AJB4" s="198"/>
      <c r="AJC4" s="198"/>
      <c r="AJD4" s="198"/>
      <c r="AJE4" s="198"/>
      <c r="AJF4" s="198"/>
      <c r="AJG4" s="198"/>
      <c r="AJH4" s="198"/>
      <c r="AJI4" s="198"/>
      <c r="AJJ4" s="198"/>
      <c r="AJK4" s="198"/>
      <c r="AJL4" s="198"/>
      <c r="AJM4" s="198"/>
      <c r="AJN4" s="198"/>
      <c r="AJO4" s="198"/>
      <c r="AJP4" s="198"/>
      <c r="AJQ4" s="198"/>
      <c r="AJR4" s="198"/>
      <c r="AJS4" s="198"/>
      <c r="AJT4" s="198"/>
      <c r="AJU4" s="198"/>
      <c r="AJV4" s="198"/>
      <c r="AJW4" s="198"/>
      <c r="AJX4" s="198"/>
      <c r="AJY4" s="198"/>
      <c r="AJZ4" s="198"/>
      <c r="AKA4" s="198"/>
      <c r="AKB4" s="198"/>
      <c r="AKC4" s="198"/>
      <c r="AKD4" s="198"/>
      <c r="AKE4" s="198"/>
      <c r="AKF4" s="198"/>
      <c r="AKG4" s="198"/>
      <c r="AKH4" s="198"/>
      <c r="AKI4" s="198"/>
      <c r="AKJ4" s="198"/>
      <c r="AKK4" s="198"/>
      <c r="AKL4" s="198"/>
      <c r="AKM4" s="198"/>
      <c r="AKN4" s="198"/>
      <c r="AKO4" s="198"/>
      <c r="AKP4" s="198"/>
      <c r="AKQ4" s="198"/>
      <c r="AKR4" s="198"/>
      <c r="AKS4" s="198"/>
      <c r="AKT4" s="198"/>
      <c r="AKU4" s="198"/>
      <c r="AKV4" s="198"/>
      <c r="AKW4" s="198"/>
      <c r="AKX4" s="198"/>
      <c r="AKY4" s="198"/>
      <c r="AKZ4" s="198"/>
      <c r="ALA4" s="198"/>
      <c r="ALB4" s="198"/>
      <c r="ALC4" s="198"/>
      <c r="ALD4" s="198"/>
      <c r="ALE4" s="198"/>
      <c r="ALF4" s="198"/>
      <c r="ALG4" s="198"/>
      <c r="ALH4" s="198"/>
      <c r="ALI4" s="198"/>
      <c r="ALJ4" s="198"/>
      <c r="ALK4" s="198"/>
      <c r="ALL4" s="198"/>
      <c r="ALM4" s="198"/>
      <c r="ALN4" s="198"/>
      <c r="ALO4" s="198"/>
      <c r="ALP4" s="198"/>
      <c r="ALQ4" s="198"/>
      <c r="ALR4" s="198"/>
      <c r="ALS4" s="198"/>
      <c r="ALT4" s="198"/>
      <c r="ALU4" s="198"/>
      <c r="ALV4" s="198"/>
      <c r="ALW4" s="198"/>
      <c r="ALX4" s="198"/>
      <c r="ALY4" s="198"/>
      <c r="ALZ4" s="198"/>
      <c r="AMA4" s="198"/>
      <c r="AMB4" s="198"/>
      <c r="AMC4" s="198"/>
      <c r="AMD4" s="198"/>
      <c r="AME4" s="198"/>
      <c r="AMF4" s="198"/>
      <c r="AMG4" s="198"/>
      <c r="AMH4" s="198"/>
      <c r="AMI4" s="198"/>
      <c r="AMJ4" s="198"/>
      <c r="AMK4" s="198"/>
      <c r="AML4" s="198"/>
      <c r="AMM4" s="198"/>
      <c r="AMN4" s="198"/>
      <c r="AMO4" s="198"/>
      <c r="AMP4" s="198"/>
      <c r="AMQ4" s="198"/>
      <c r="AMR4" s="198"/>
      <c r="AMS4" s="198"/>
      <c r="AMT4" s="198"/>
      <c r="AMU4" s="198"/>
      <c r="AMV4" s="198"/>
      <c r="AMW4" s="198"/>
      <c r="AMX4" s="198"/>
      <c r="AMY4" s="198"/>
      <c r="AMZ4" s="198"/>
      <c r="ANA4" s="198"/>
      <c r="ANB4" s="198"/>
      <c r="ANC4" s="198"/>
      <c r="AND4" s="198"/>
      <c r="ANE4" s="198"/>
      <c r="ANF4" s="198"/>
      <c r="ANG4" s="198"/>
      <c r="ANH4" s="198"/>
      <c r="ANI4" s="198"/>
      <c r="ANJ4" s="198"/>
      <c r="ANK4" s="198"/>
      <c r="ANL4" s="198"/>
      <c r="ANM4" s="198"/>
      <c r="ANN4" s="198"/>
      <c r="ANO4" s="198"/>
      <c r="ANP4" s="198"/>
      <c r="ANQ4" s="198"/>
      <c r="ANR4" s="198"/>
      <c r="ANS4" s="198"/>
      <c r="ANT4" s="198"/>
      <c r="ANU4" s="198"/>
      <c r="ANV4" s="198"/>
      <c r="ANW4" s="198"/>
      <c r="ANX4" s="198"/>
      <c r="ANY4" s="198"/>
      <c r="ANZ4" s="198"/>
      <c r="AOA4" s="198"/>
      <c r="AOB4" s="198"/>
      <c r="AOC4" s="198"/>
      <c r="AOD4" s="198"/>
      <c r="AOE4" s="198"/>
      <c r="AOF4" s="198"/>
      <c r="AOG4" s="198"/>
      <c r="AOH4" s="198"/>
      <c r="AOI4" s="198"/>
      <c r="AOJ4" s="198"/>
      <c r="AOK4" s="198"/>
      <c r="AOL4" s="198"/>
      <c r="AOM4" s="198"/>
      <c r="AON4" s="198"/>
      <c r="AOO4" s="198"/>
      <c r="AOP4" s="198"/>
      <c r="AOQ4" s="198"/>
      <c r="AOR4" s="198"/>
      <c r="AOS4" s="198"/>
      <c r="AOT4" s="198"/>
      <c r="AOU4" s="198"/>
      <c r="AOV4" s="198"/>
      <c r="AOW4" s="198"/>
      <c r="AOX4" s="198"/>
      <c r="AOY4" s="198"/>
      <c r="AOZ4" s="198"/>
      <c r="APA4" s="198"/>
      <c r="APB4" s="198"/>
      <c r="APC4" s="198"/>
      <c r="APD4" s="198"/>
      <c r="APE4" s="198"/>
      <c r="APF4" s="198"/>
      <c r="APG4" s="198"/>
      <c r="APH4" s="198"/>
      <c r="API4" s="198"/>
      <c r="APJ4" s="198"/>
      <c r="APK4" s="198"/>
      <c r="APL4" s="198"/>
      <c r="APM4" s="198"/>
      <c r="APN4" s="198"/>
      <c r="APO4" s="198"/>
      <c r="APP4" s="198"/>
      <c r="APQ4" s="198"/>
      <c r="APR4" s="198"/>
      <c r="APS4" s="198"/>
      <c r="APT4" s="198"/>
      <c r="APU4" s="198"/>
      <c r="APV4" s="198"/>
      <c r="APW4" s="198"/>
      <c r="APX4" s="198"/>
      <c r="APY4" s="198"/>
      <c r="APZ4" s="198"/>
      <c r="AQA4" s="198"/>
      <c r="AQB4" s="198"/>
      <c r="AQC4" s="198"/>
      <c r="AQD4" s="198"/>
      <c r="AQE4" s="198"/>
      <c r="AQF4" s="198"/>
      <c r="AQG4" s="198"/>
      <c r="AQH4" s="198"/>
      <c r="AQI4" s="198"/>
      <c r="AQJ4" s="198"/>
      <c r="AQK4" s="198"/>
      <c r="AQL4" s="198"/>
      <c r="AQM4" s="198"/>
      <c r="AQN4" s="198"/>
      <c r="AQO4" s="198"/>
      <c r="AQP4" s="198"/>
      <c r="AQQ4" s="198"/>
      <c r="AQR4" s="198"/>
      <c r="AQS4" s="198"/>
      <c r="AQT4" s="198"/>
      <c r="AQU4" s="198"/>
      <c r="AQV4" s="198"/>
      <c r="AQW4" s="198"/>
      <c r="AQX4" s="198"/>
      <c r="AQY4" s="198"/>
      <c r="AQZ4" s="198"/>
      <c r="ARA4" s="198"/>
      <c r="ARB4" s="198"/>
      <c r="ARC4" s="198"/>
      <c r="ARD4" s="198"/>
      <c r="ARE4" s="198"/>
      <c r="ARF4" s="198"/>
      <c r="ARG4" s="198"/>
      <c r="ARH4" s="198"/>
      <c r="ARI4" s="198"/>
      <c r="ARJ4" s="198"/>
      <c r="ARK4" s="198"/>
      <c r="ARL4" s="198"/>
      <c r="ARM4" s="198"/>
      <c r="ARN4" s="198"/>
      <c r="ARO4" s="198"/>
      <c r="ARP4" s="198"/>
      <c r="ARQ4" s="198"/>
      <c r="ARR4" s="198"/>
      <c r="ARS4" s="198"/>
      <c r="ART4" s="198"/>
      <c r="ARU4" s="198"/>
      <c r="ARV4" s="198"/>
      <c r="ARW4" s="198"/>
      <c r="ARX4" s="198"/>
      <c r="ARY4" s="198"/>
      <c r="ARZ4" s="198"/>
      <c r="ASA4" s="198"/>
      <c r="ASB4" s="198"/>
      <c r="ASC4" s="198"/>
      <c r="ASD4" s="198"/>
      <c r="ASE4" s="198"/>
      <c r="ASF4" s="198"/>
      <c r="ASG4" s="198"/>
      <c r="ASH4" s="198"/>
      <c r="ASI4" s="198"/>
      <c r="ASJ4" s="198"/>
      <c r="ASK4" s="198"/>
      <c r="ASL4" s="198"/>
      <c r="ASM4" s="198"/>
      <c r="ASN4" s="198"/>
      <c r="ASO4" s="198"/>
      <c r="ASP4" s="198"/>
      <c r="ASQ4" s="198"/>
      <c r="ASR4" s="198"/>
      <c r="ASS4" s="198"/>
      <c r="AST4" s="198"/>
      <c r="ASU4" s="198"/>
      <c r="ASV4" s="198"/>
      <c r="ASW4" s="198"/>
      <c r="ASX4" s="198"/>
      <c r="ASY4" s="198"/>
      <c r="ASZ4" s="198"/>
      <c r="ATA4" s="198"/>
      <c r="ATB4" s="198"/>
      <c r="ATC4" s="198"/>
      <c r="ATD4" s="198"/>
      <c r="ATE4" s="198"/>
      <c r="ATF4" s="198"/>
      <c r="ATG4" s="198"/>
      <c r="ATH4" s="198"/>
      <c r="ATI4" s="198"/>
      <c r="ATJ4" s="198"/>
      <c r="ATK4" s="198"/>
      <c r="ATL4" s="198"/>
      <c r="ATM4" s="198"/>
      <c r="ATN4" s="198"/>
      <c r="ATO4" s="198"/>
      <c r="ATP4" s="198"/>
      <c r="ATQ4" s="198"/>
      <c r="ATR4" s="198"/>
      <c r="ATS4" s="198"/>
      <c r="ATT4" s="198"/>
      <c r="ATU4" s="198"/>
      <c r="ATV4" s="198"/>
      <c r="ATW4" s="198"/>
      <c r="ATX4" s="198"/>
      <c r="ATY4" s="198"/>
      <c r="ATZ4" s="198"/>
      <c r="AUA4" s="198"/>
      <c r="AUB4" s="198"/>
      <c r="AUC4" s="198"/>
      <c r="AUD4" s="198"/>
      <c r="AUE4" s="198"/>
      <c r="AUF4" s="198"/>
      <c r="AUG4" s="198"/>
      <c r="AUH4" s="198"/>
      <c r="AUI4" s="198"/>
      <c r="AUJ4" s="198"/>
      <c r="AUK4" s="198"/>
      <c r="AUL4" s="198"/>
      <c r="AUM4" s="198"/>
      <c r="AUN4" s="198"/>
      <c r="AUO4" s="198"/>
      <c r="AUP4" s="198"/>
      <c r="AUQ4" s="198"/>
      <c r="AUR4" s="198"/>
      <c r="AUS4" s="198"/>
      <c r="AUT4" s="198"/>
      <c r="AUU4" s="198"/>
      <c r="AUV4" s="198"/>
      <c r="AUW4" s="198"/>
      <c r="AUX4" s="198"/>
      <c r="AUY4" s="198"/>
      <c r="AUZ4" s="198"/>
      <c r="AVA4" s="198"/>
      <c r="AVB4" s="198"/>
      <c r="AVC4" s="198"/>
      <c r="AVD4" s="198"/>
      <c r="AVE4" s="198"/>
      <c r="AVF4" s="198"/>
      <c r="AVG4" s="198"/>
      <c r="AVH4" s="198"/>
      <c r="AVI4" s="198"/>
      <c r="AVJ4" s="198"/>
      <c r="AVK4" s="198"/>
      <c r="AVL4" s="198"/>
      <c r="AVM4" s="198"/>
      <c r="AVN4" s="198"/>
      <c r="AVO4" s="198"/>
      <c r="AVP4" s="198"/>
      <c r="AVQ4" s="198"/>
      <c r="AVR4" s="198"/>
      <c r="AVS4" s="198"/>
      <c r="AVT4" s="198"/>
      <c r="AVU4" s="198"/>
      <c r="AVV4" s="198"/>
      <c r="AVW4" s="198"/>
      <c r="AVX4" s="198"/>
      <c r="AVY4" s="198"/>
      <c r="AVZ4" s="198"/>
      <c r="AWA4" s="198"/>
      <c r="AWB4" s="198"/>
      <c r="AWC4" s="198"/>
      <c r="AWD4" s="198"/>
      <c r="AWE4" s="198"/>
      <c r="AWF4" s="198"/>
      <c r="AWG4" s="198"/>
      <c r="AWH4" s="198"/>
      <c r="AWI4" s="198"/>
      <c r="AWJ4" s="198"/>
      <c r="AWK4" s="198"/>
      <c r="AWL4" s="198"/>
      <c r="AWM4" s="198"/>
      <c r="AWN4" s="198"/>
      <c r="AWO4" s="198"/>
      <c r="AWP4" s="198"/>
      <c r="AWQ4" s="198"/>
      <c r="AWR4" s="198"/>
      <c r="AWS4" s="198"/>
      <c r="AWT4" s="198"/>
      <c r="AWU4" s="198"/>
      <c r="AWV4" s="198"/>
      <c r="AWW4" s="198"/>
      <c r="AWX4" s="198"/>
      <c r="AWY4" s="198"/>
      <c r="AWZ4" s="198"/>
      <c r="AXA4" s="198"/>
      <c r="AXB4" s="198"/>
      <c r="AXC4" s="198"/>
      <c r="AXD4" s="198"/>
      <c r="AXE4" s="198"/>
      <c r="AXF4" s="198"/>
      <c r="AXG4" s="198"/>
      <c r="AXH4" s="198"/>
      <c r="AXI4" s="198"/>
      <c r="AXJ4" s="198"/>
      <c r="AXK4" s="198"/>
      <c r="AXL4" s="198"/>
      <c r="AXM4" s="198"/>
      <c r="AXN4" s="198"/>
      <c r="AXO4" s="198"/>
      <c r="AXP4" s="198"/>
      <c r="AXQ4" s="198"/>
      <c r="AXR4" s="198"/>
      <c r="AXS4" s="198"/>
      <c r="AXT4" s="198"/>
      <c r="AXU4" s="198"/>
      <c r="AXV4" s="198"/>
      <c r="AXW4" s="198"/>
      <c r="AXX4" s="198"/>
      <c r="AXY4" s="198"/>
      <c r="AXZ4" s="198"/>
      <c r="AYA4" s="198"/>
      <c r="AYB4" s="198"/>
      <c r="AYC4" s="198"/>
      <c r="AYD4" s="198"/>
      <c r="AYE4" s="198"/>
      <c r="AYF4" s="198"/>
      <c r="AYG4" s="198"/>
      <c r="AYH4" s="198"/>
      <c r="AYI4" s="198"/>
      <c r="AYJ4" s="198"/>
      <c r="AYK4" s="198"/>
      <c r="AYL4" s="198"/>
      <c r="AYM4" s="198"/>
      <c r="AYN4" s="198"/>
      <c r="AYO4" s="198"/>
      <c r="AYP4" s="198"/>
      <c r="AYQ4" s="198"/>
      <c r="AYR4" s="198"/>
      <c r="AYS4" s="198"/>
      <c r="AYT4" s="198"/>
      <c r="AYU4" s="198"/>
      <c r="AYV4" s="198"/>
      <c r="AYW4" s="198"/>
      <c r="AYX4" s="198"/>
      <c r="AYY4" s="198"/>
      <c r="AYZ4" s="198"/>
      <c r="AZA4" s="198"/>
      <c r="AZB4" s="198"/>
      <c r="AZC4" s="198"/>
      <c r="AZD4" s="198"/>
      <c r="AZE4" s="198"/>
      <c r="AZF4" s="198"/>
      <c r="AZG4" s="198"/>
      <c r="AZH4" s="198"/>
      <c r="AZI4" s="198"/>
      <c r="AZJ4" s="198"/>
      <c r="AZK4" s="198"/>
      <c r="AZL4" s="198"/>
      <c r="AZM4" s="198"/>
      <c r="AZN4" s="198"/>
      <c r="AZO4" s="198"/>
      <c r="AZP4" s="198"/>
      <c r="AZQ4" s="198"/>
      <c r="AZR4" s="198"/>
      <c r="AZS4" s="198"/>
      <c r="AZT4" s="198"/>
      <c r="AZU4" s="198"/>
      <c r="AZV4" s="198"/>
      <c r="AZW4" s="198"/>
      <c r="AZX4" s="198"/>
      <c r="AZY4" s="198"/>
      <c r="AZZ4" s="198"/>
      <c r="BAA4" s="198"/>
      <c r="BAB4" s="198"/>
      <c r="BAC4" s="198"/>
      <c r="BAD4" s="198"/>
      <c r="BAE4" s="198"/>
      <c r="BAF4" s="198"/>
      <c r="BAG4" s="198"/>
      <c r="BAH4" s="198"/>
      <c r="BAI4" s="198"/>
      <c r="BAJ4" s="198"/>
      <c r="BAK4" s="198"/>
      <c r="BAL4" s="198"/>
      <c r="BAM4" s="198"/>
      <c r="BAN4" s="198"/>
      <c r="BAO4" s="198"/>
      <c r="BAP4" s="198"/>
      <c r="BAQ4" s="198"/>
      <c r="BAR4" s="198"/>
      <c r="BAS4" s="198"/>
      <c r="BAT4" s="198"/>
      <c r="BAU4" s="198"/>
      <c r="BAV4" s="198"/>
      <c r="BAW4" s="198"/>
      <c r="BAX4" s="198"/>
      <c r="BAY4" s="198"/>
      <c r="BAZ4" s="198"/>
      <c r="BBA4" s="198"/>
      <c r="BBB4" s="198"/>
      <c r="BBC4" s="198"/>
      <c r="BBD4" s="198"/>
      <c r="BBE4" s="198"/>
      <c r="BBF4" s="198"/>
      <c r="BBG4" s="198"/>
      <c r="BBH4" s="198"/>
      <c r="BBI4" s="198"/>
      <c r="BBJ4" s="198"/>
      <c r="BBK4" s="198"/>
      <c r="BBL4" s="198"/>
      <c r="BBM4" s="198"/>
      <c r="BBN4" s="198"/>
      <c r="BBO4" s="198"/>
      <c r="BBP4" s="198"/>
      <c r="BBQ4" s="198"/>
      <c r="BBR4" s="198"/>
      <c r="BBS4" s="198"/>
      <c r="BBT4" s="198"/>
      <c r="BBU4" s="198"/>
      <c r="BBV4" s="198"/>
      <c r="BBW4" s="198"/>
      <c r="BBX4" s="198"/>
      <c r="BBY4" s="198"/>
      <c r="BBZ4" s="198"/>
      <c r="BCA4" s="198"/>
      <c r="BCB4" s="198"/>
      <c r="BCC4" s="198"/>
      <c r="BCD4" s="198"/>
      <c r="BCE4" s="198"/>
      <c r="BCF4" s="198"/>
      <c r="BCG4" s="198"/>
      <c r="BCH4" s="198"/>
      <c r="BCI4" s="198"/>
      <c r="BCJ4" s="198"/>
      <c r="BCK4" s="198"/>
      <c r="BCL4" s="198"/>
      <c r="BCM4" s="198"/>
      <c r="BCN4" s="198"/>
      <c r="BCO4" s="198"/>
      <c r="BCP4" s="198"/>
      <c r="BCQ4" s="198"/>
      <c r="BCR4" s="198"/>
      <c r="BCS4" s="198"/>
      <c r="BCT4" s="198"/>
      <c r="BCU4" s="198"/>
      <c r="BCV4" s="198"/>
      <c r="BCW4" s="198"/>
      <c r="BCX4" s="198"/>
      <c r="BCY4" s="198"/>
      <c r="BCZ4" s="198"/>
      <c r="BDA4" s="198"/>
      <c r="BDB4" s="198"/>
      <c r="BDC4" s="198"/>
      <c r="BDD4" s="198"/>
      <c r="BDE4" s="198"/>
      <c r="BDF4" s="198"/>
      <c r="BDG4" s="198"/>
      <c r="BDH4" s="198"/>
      <c r="BDI4" s="198"/>
      <c r="BDJ4" s="198"/>
      <c r="BDK4" s="198"/>
      <c r="BDL4" s="198"/>
      <c r="BDM4" s="198"/>
      <c r="BDN4" s="198"/>
      <c r="BDO4" s="198"/>
      <c r="BDP4" s="198"/>
      <c r="BDQ4" s="198"/>
      <c r="BDR4" s="198"/>
      <c r="BDS4" s="198"/>
      <c r="BDT4" s="198"/>
      <c r="BDU4" s="198"/>
      <c r="BDV4" s="198"/>
      <c r="BDW4" s="198"/>
      <c r="BDX4" s="198"/>
      <c r="BDY4" s="198"/>
      <c r="BDZ4" s="198"/>
      <c r="BEA4" s="198"/>
      <c r="BEB4" s="198"/>
      <c r="BEC4" s="198"/>
      <c r="BED4" s="198"/>
      <c r="BEE4" s="198"/>
      <c r="BEF4" s="198"/>
      <c r="BEG4" s="198"/>
      <c r="BEH4" s="198"/>
      <c r="BEI4" s="198"/>
      <c r="BEJ4" s="198"/>
      <c r="BEK4" s="198"/>
      <c r="BEL4" s="198"/>
      <c r="BEM4" s="198"/>
      <c r="BEN4" s="198"/>
      <c r="BEO4" s="198"/>
      <c r="BEP4" s="198"/>
      <c r="BEQ4" s="198"/>
      <c r="BER4" s="198"/>
      <c r="BES4" s="198"/>
      <c r="BET4" s="198"/>
      <c r="BEU4" s="198"/>
      <c r="BEV4" s="198"/>
      <c r="BEW4" s="198"/>
      <c r="BEX4" s="198"/>
      <c r="BEY4" s="198"/>
      <c r="BEZ4" s="198"/>
      <c r="BFA4" s="198"/>
      <c r="BFB4" s="198"/>
      <c r="BFC4" s="198"/>
      <c r="BFD4" s="198"/>
      <c r="BFE4" s="198"/>
      <c r="BFF4" s="198"/>
      <c r="BFG4" s="198"/>
      <c r="BFH4" s="198"/>
      <c r="BFI4" s="198"/>
      <c r="BFJ4" s="198"/>
      <c r="BFK4" s="198"/>
      <c r="BFL4" s="198"/>
      <c r="BFM4" s="198"/>
      <c r="BFN4" s="198"/>
      <c r="BFO4" s="198"/>
      <c r="BFP4" s="198"/>
      <c r="BFQ4" s="198"/>
      <c r="BFR4" s="198"/>
      <c r="BFS4" s="198"/>
      <c r="BFT4" s="198"/>
      <c r="BFU4" s="198"/>
      <c r="BFV4" s="198"/>
      <c r="BFW4" s="198"/>
      <c r="BFX4" s="198"/>
      <c r="BFY4" s="198"/>
      <c r="BFZ4" s="198"/>
      <c r="BGA4" s="198"/>
      <c r="BGB4" s="198"/>
      <c r="BGC4" s="198"/>
      <c r="BGD4" s="198"/>
      <c r="BGE4" s="198"/>
      <c r="BGF4" s="198"/>
      <c r="BGG4" s="198"/>
      <c r="BGH4" s="198"/>
      <c r="BGI4" s="198"/>
      <c r="BGJ4" s="198"/>
      <c r="BGK4" s="198"/>
      <c r="BGL4" s="198"/>
      <c r="BGM4" s="198"/>
      <c r="BGN4" s="198"/>
      <c r="BGO4" s="198"/>
      <c r="BGP4" s="198"/>
      <c r="BGQ4" s="198"/>
      <c r="BGR4" s="198"/>
      <c r="BGS4" s="198"/>
      <c r="BGT4" s="198"/>
      <c r="BGU4" s="198"/>
      <c r="BGV4" s="198"/>
      <c r="BGW4" s="198"/>
      <c r="BGX4" s="198"/>
      <c r="BGY4" s="198"/>
      <c r="BGZ4" s="198"/>
      <c r="BHA4" s="198"/>
      <c r="BHB4" s="198"/>
      <c r="BHC4" s="198"/>
      <c r="BHD4" s="198"/>
      <c r="BHE4" s="198"/>
      <c r="BHF4" s="198"/>
      <c r="BHG4" s="198"/>
      <c r="BHH4" s="198"/>
      <c r="BHI4" s="198"/>
      <c r="BHJ4" s="198"/>
      <c r="BHK4" s="198"/>
      <c r="BHL4" s="198"/>
      <c r="BHM4" s="198"/>
      <c r="BHN4" s="198"/>
      <c r="BHO4" s="198"/>
      <c r="BHP4" s="198"/>
      <c r="BHQ4" s="198"/>
      <c r="BHR4" s="198"/>
      <c r="BHS4" s="198"/>
      <c r="BHT4" s="198"/>
      <c r="BHU4" s="198"/>
      <c r="BHV4" s="198"/>
      <c r="BHW4" s="198"/>
      <c r="BHX4" s="198"/>
      <c r="BHY4" s="198"/>
      <c r="BHZ4" s="198"/>
      <c r="BIA4" s="198"/>
      <c r="BIB4" s="198"/>
      <c r="BIC4" s="198"/>
      <c r="BID4" s="198"/>
      <c r="BIE4" s="198"/>
      <c r="BIF4" s="198"/>
      <c r="BIG4" s="198"/>
      <c r="BIH4" s="198"/>
      <c r="BII4" s="198"/>
      <c r="BIJ4" s="198"/>
      <c r="BIK4" s="198"/>
      <c r="BIL4" s="198"/>
      <c r="BIM4" s="198"/>
      <c r="BIN4" s="198"/>
      <c r="BIO4" s="198"/>
      <c r="BIP4" s="198"/>
      <c r="BIQ4" s="198"/>
      <c r="BIR4" s="198"/>
      <c r="BIS4" s="198"/>
      <c r="BIT4" s="198"/>
      <c r="BIU4" s="198"/>
      <c r="BIV4" s="198"/>
      <c r="BIW4" s="198"/>
      <c r="BIX4" s="198"/>
      <c r="BIY4" s="198"/>
      <c r="BIZ4" s="198"/>
      <c r="BJA4" s="198"/>
      <c r="BJB4" s="198"/>
      <c r="BJC4" s="198"/>
      <c r="BJD4" s="198"/>
      <c r="BJE4" s="198"/>
      <c r="BJF4" s="198"/>
      <c r="BJG4" s="198"/>
      <c r="BJH4" s="198"/>
      <c r="BJI4" s="198"/>
      <c r="BJJ4" s="198"/>
      <c r="BJK4" s="198"/>
      <c r="BJL4" s="198"/>
      <c r="BJM4" s="198"/>
      <c r="BJN4" s="198"/>
      <c r="BJO4" s="198"/>
      <c r="BJP4" s="198"/>
      <c r="BJQ4" s="198"/>
      <c r="BJR4" s="198"/>
      <c r="BJS4" s="198"/>
      <c r="BJT4" s="198"/>
      <c r="BJU4" s="198"/>
      <c r="BJV4" s="198"/>
      <c r="BJW4" s="198"/>
      <c r="BJX4" s="198"/>
      <c r="BJY4" s="198"/>
      <c r="BJZ4" s="198"/>
      <c r="BKA4" s="198"/>
      <c r="BKB4" s="198"/>
      <c r="BKC4" s="198"/>
      <c r="BKD4" s="198"/>
      <c r="BKE4" s="198"/>
      <c r="BKF4" s="198"/>
      <c r="BKG4" s="198"/>
      <c r="BKH4" s="198"/>
      <c r="BKI4" s="198"/>
      <c r="BKJ4" s="198"/>
      <c r="BKK4" s="198"/>
      <c r="BKL4" s="198"/>
      <c r="BKM4" s="198"/>
      <c r="BKN4" s="198"/>
      <c r="BKO4" s="198"/>
      <c r="BKP4" s="198"/>
      <c r="BKQ4" s="198"/>
      <c r="BKR4" s="198"/>
      <c r="BKS4" s="198"/>
      <c r="BKT4" s="198"/>
      <c r="BKU4" s="198"/>
      <c r="BKV4" s="198"/>
      <c r="BKW4" s="198"/>
      <c r="BKX4" s="198"/>
      <c r="BKY4" s="198"/>
      <c r="BKZ4" s="198"/>
      <c r="BLA4" s="198"/>
      <c r="BLB4" s="198"/>
      <c r="BLC4" s="198"/>
      <c r="BLD4" s="198"/>
      <c r="BLE4" s="198"/>
      <c r="BLF4" s="198"/>
      <c r="BLG4" s="198"/>
      <c r="BLH4" s="198"/>
      <c r="BLI4" s="198"/>
      <c r="BLJ4" s="198"/>
      <c r="BLK4" s="198"/>
      <c r="BLL4" s="198"/>
      <c r="BLM4" s="198"/>
      <c r="BLN4" s="198"/>
      <c r="BLO4" s="198"/>
      <c r="BLP4" s="198"/>
      <c r="BLQ4" s="198"/>
      <c r="BLR4" s="198"/>
      <c r="BLS4" s="198"/>
      <c r="BLT4" s="198"/>
      <c r="BLU4" s="198"/>
      <c r="BLV4" s="198"/>
      <c r="BLW4" s="198"/>
      <c r="BLX4" s="198"/>
      <c r="BLY4" s="198"/>
      <c r="BLZ4" s="198"/>
      <c r="BMA4" s="198"/>
      <c r="BMB4" s="198"/>
      <c r="BMC4" s="198"/>
      <c r="BMD4" s="198"/>
      <c r="BME4" s="198"/>
      <c r="BMF4" s="198"/>
      <c r="BMG4" s="198"/>
      <c r="BMH4" s="198"/>
      <c r="BMI4" s="198"/>
      <c r="BMJ4" s="198"/>
      <c r="BMK4" s="198"/>
      <c r="BML4" s="198"/>
      <c r="BMM4" s="198"/>
      <c r="BMN4" s="198"/>
      <c r="BMO4" s="198"/>
      <c r="BMP4" s="198"/>
      <c r="BMQ4" s="198"/>
      <c r="BMR4" s="198"/>
      <c r="BMS4" s="198"/>
      <c r="BMT4" s="198"/>
      <c r="BMU4" s="198"/>
      <c r="BMV4" s="198"/>
      <c r="BMW4" s="198"/>
      <c r="BMX4" s="198"/>
      <c r="BMY4" s="198"/>
      <c r="BMZ4" s="198"/>
      <c r="BNA4" s="198"/>
      <c r="BNB4" s="198"/>
      <c r="BNC4" s="198"/>
      <c r="BND4" s="198"/>
      <c r="BNE4" s="198"/>
      <c r="BNF4" s="198"/>
      <c r="BNG4" s="198"/>
      <c r="BNH4" s="198"/>
      <c r="BNI4" s="198"/>
      <c r="BNJ4" s="198"/>
      <c r="BNK4" s="198"/>
      <c r="BNL4" s="198"/>
      <c r="BNM4" s="198"/>
      <c r="BNN4" s="198"/>
      <c r="BNO4" s="198"/>
      <c r="BNP4" s="198"/>
      <c r="BNQ4" s="198"/>
      <c r="BNR4" s="198"/>
      <c r="BNS4" s="198"/>
      <c r="BNT4" s="198"/>
      <c r="BNU4" s="198"/>
      <c r="BNV4" s="198"/>
      <c r="BNW4" s="198"/>
      <c r="BNX4" s="198"/>
      <c r="BNY4" s="198"/>
      <c r="BNZ4" s="198"/>
      <c r="BOA4" s="198"/>
      <c r="BOB4" s="198"/>
      <c r="BOC4" s="198"/>
      <c r="BOD4" s="198"/>
      <c r="BOE4" s="198"/>
      <c r="BOF4" s="198"/>
      <c r="BOG4" s="198"/>
      <c r="BOH4" s="198"/>
      <c r="BOI4" s="198"/>
      <c r="BOJ4" s="198"/>
      <c r="BOK4" s="198"/>
      <c r="BOL4" s="198"/>
      <c r="BOM4" s="198"/>
      <c r="BON4" s="198"/>
      <c r="BOO4" s="198"/>
      <c r="BOP4" s="198"/>
      <c r="BOQ4" s="198"/>
      <c r="BOR4" s="198"/>
      <c r="BOS4" s="198"/>
      <c r="BOT4" s="198"/>
      <c r="BOU4" s="198"/>
      <c r="BOV4" s="198"/>
      <c r="BOW4" s="198"/>
      <c r="BOX4" s="198"/>
      <c r="BOY4" s="198"/>
      <c r="BOZ4" s="198"/>
      <c r="BPA4" s="198"/>
      <c r="BPB4" s="198"/>
      <c r="BPC4" s="198"/>
      <c r="BPD4" s="198"/>
      <c r="BPE4" s="198"/>
      <c r="BPF4" s="198"/>
      <c r="BPG4" s="198"/>
      <c r="BPH4" s="198"/>
      <c r="BPI4" s="198"/>
      <c r="BPJ4" s="198"/>
      <c r="BPK4" s="198"/>
      <c r="BPL4" s="198"/>
      <c r="BPM4" s="198"/>
      <c r="BPN4" s="198"/>
      <c r="BPO4" s="198"/>
      <c r="BPP4" s="198"/>
      <c r="BPQ4" s="198"/>
      <c r="BPR4" s="198"/>
      <c r="BPS4" s="198"/>
      <c r="BPT4" s="198"/>
      <c r="BPU4" s="198"/>
      <c r="BPV4" s="198"/>
      <c r="BPW4" s="198"/>
      <c r="BPX4" s="198"/>
      <c r="BPY4" s="198"/>
      <c r="BPZ4" s="198"/>
      <c r="BQA4" s="198"/>
      <c r="BQB4" s="198"/>
      <c r="BQC4" s="198"/>
      <c r="BQD4" s="198"/>
      <c r="BQE4" s="198"/>
      <c r="BQF4" s="198"/>
      <c r="BQG4" s="198"/>
      <c r="BQH4" s="198"/>
      <c r="BQI4" s="198"/>
      <c r="BQJ4" s="198"/>
      <c r="BQK4" s="198"/>
      <c r="BQL4" s="198"/>
      <c r="BQM4" s="198"/>
      <c r="BQN4" s="198"/>
      <c r="BQO4" s="198"/>
      <c r="BQP4" s="198"/>
      <c r="BQQ4" s="198"/>
      <c r="BQR4" s="198"/>
      <c r="BQS4" s="198"/>
      <c r="BQT4" s="198"/>
      <c r="BQU4" s="198"/>
      <c r="BQV4" s="198"/>
      <c r="BQW4" s="198"/>
      <c r="BQX4" s="198"/>
      <c r="BQY4" s="198"/>
      <c r="BQZ4" s="198"/>
      <c r="BRA4" s="198"/>
      <c r="BRB4" s="198"/>
      <c r="BRC4" s="198"/>
      <c r="BRD4" s="198"/>
      <c r="BRE4" s="198"/>
      <c r="BRF4" s="198"/>
      <c r="BRG4" s="198"/>
      <c r="BRH4" s="198"/>
      <c r="BRI4" s="198"/>
      <c r="BRJ4" s="198"/>
      <c r="BRK4" s="198"/>
      <c r="BRL4" s="198"/>
      <c r="BRM4" s="198"/>
      <c r="BRN4" s="198"/>
      <c r="BRO4" s="198"/>
      <c r="BRP4" s="198"/>
      <c r="BRQ4" s="198"/>
      <c r="BRR4" s="198"/>
      <c r="BRS4" s="198"/>
      <c r="BRT4" s="198"/>
      <c r="BRU4" s="198"/>
      <c r="BRV4" s="198"/>
      <c r="BRW4" s="198"/>
      <c r="BRX4" s="198"/>
      <c r="BRY4" s="198"/>
      <c r="BRZ4" s="198"/>
      <c r="BSA4" s="198"/>
      <c r="BSB4" s="198"/>
      <c r="BSC4" s="198"/>
      <c r="BSD4" s="198"/>
      <c r="BSE4" s="198"/>
      <c r="BSF4" s="198"/>
      <c r="BSG4" s="198"/>
      <c r="BSH4" s="198"/>
      <c r="BSI4" s="198"/>
      <c r="BSJ4" s="198"/>
      <c r="BSK4" s="198"/>
      <c r="BSL4" s="198"/>
      <c r="BSM4" s="198"/>
      <c r="BSN4" s="198"/>
      <c r="BSO4" s="198"/>
      <c r="BSP4" s="198"/>
      <c r="BSQ4" s="198"/>
      <c r="BSR4" s="198"/>
      <c r="BSS4" s="198"/>
      <c r="BST4" s="198"/>
      <c r="BSU4" s="198"/>
      <c r="BSV4" s="198"/>
      <c r="BSW4" s="198"/>
      <c r="BSX4" s="198"/>
      <c r="BSY4" s="198"/>
      <c r="BSZ4" s="198"/>
      <c r="BTA4" s="198"/>
      <c r="BTB4" s="198"/>
      <c r="BTC4" s="198"/>
      <c r="BTD4" s="198"/>
      <c r="BTE4" s="198"/>
      <c r="BTF4" s="198"/>
      <c r="BTG4" s="198"/>
      <c r="BTH4" s="198"/>
      <c r="BTI4" s="198"/>
      <c r="BTJ4" s="198"/>
      <c r="BTK4" s="198"/>
      <c r="BTL4" s="198"/>
      <c r="BTM4" s="198"/>
      <c r="BTN4" s="198"/>
      <c r="BTO4" s="198"/>
      <c r="BTP4" s="198"/>
      <c r="BTQ4" s="198"/>
      <c r="BTR4" s="198"/>
      <c r="BTS4" s="198"/>
      <c r="BTT4" s="198"/>
      <c r="BTU4" s="198"/>
      <c r="BTV4" s="198"/>
      <c r="BTW4" s="198"/>
      <c r="BTX4" s="198"/>
      <c r="BTY4" s="198"/>
      <c r="BTZ4" s="198"/>
      <c r="BUA4" s="198"/>
      <c r="BUB4" s="198"/>
      <c r="BUC4" s="198"/>
      <c r="BUD4" s="198"/>
      <c r="BUE4" s="198"/>
      <c r="BUF4" s="198"/>
      <c r="BUG4" s="198"/>
      <c r="BUH4" s="198"/>
      <c r="BUI4" s="198"/>
      <c r="BUJ4" s="198"/>
      <c r="BUK4" s="198"/>
      <c r="BUL4" s="198"/>
      <c r="BUM4" s="198"/>
      <c r="BUN4" s="198"/>
      <c r="BUO4" s="198"/>
      <c r="BUP4" s="198"/>
      <c r="BUQ4" s="198"/>
      <c r="BUR4" s="198"/>
      <c r="BUS4" s="198"/>
      <c r="BUT4" s="198"/>
      <c r="BUU4" s="198"/>
      <c r="BUV4" s="198"/>
      <c r="BUW4" s="198"/>
      <c r="BUX4" s="198"/>
      <c r="BUY4" s="198"/>
      <c r="BUZ4" s="198"/>
      <c r="BVA4" s="198"/>
      <c r="BVB4" s="198"/>
      <c r="BVC4" s="198"/>
      <c r="BVD4" s="198"/>
      <c r="BVE4" s="198"/>
      <c r="BVF4" s="198"/>
      <c r="BVG4" s="198"/>
      <c r="BVH4" s="198"/>
      <c r="BVI4" s="198"/>
      <c r="BVJ4" s="198"/>
      <c r="BVK4" s="198"/>
      <c r="BVL4" s="198"/>
      <c r="BVM4" s="198"/>
      <c r="BVN4" s="198"/>
      <c r="BVO4" s="198"/>
      <c r="BVP4" s="198"/>
      <c r="BVQ4" s="198"/>
      <c r="BVR4" s="198"/>
      <c r="BVS4" s="198"/>
      <c r="BVT4" s="198"/>
      <c r="BVU4" s="198"/>
      <c r="BVV4" s="198"/>
      <c r="BVW4" s="198"/>
      <c r="BVX4" s="198"/>
      <c r="BVY4" s="198"/>
      <c r="BVZ4" s="198"/>
      <c r="BWA4" s="198"/>
      <c r="BWB4" s="198"/>
      <c r="BWC4" s="198"/>
      <c r="BWD4" s="198"/>
      <c r="BWE4" s="198"/>
      <c r="BWF4" s="198"/>
      <c r="BWG4" s="198"/>
      <c r="BWH4" s="198"/>
      <c r="BWI4" s="198"/>
      <c r="BWJ4" s="198"/>
      <c r="BWK4" s="198"/>
      <c r="BWL4" s="198"/>
      <c r="BWM4" s="198"/>
      <c r="BWN4" s="198"/>
      <c r="BWO4" s="198"/>
      <c r="BWP4" s="198"/>
      <c r="BWQ4" s="198"/>
      <c r="BWR4" s="198"/>
      <c r="BWS4" s="198"/>
      <c r="BWT4" s="198"/>
      <c r="BWU4" s="198"/>
      <c r="BWV4" s="198"/>
      <c r="BWW4" s="198"/>
      <c r="BWX4" s="198"/>
      <c r="BWY4" s="198"/>
      <c r="BWZ4" s="198"/>
      <c r="BXA4" s="198"/>
      <c r="BXB4" s="198"/>
      <c r="BXC4" s="198"/>
      <c r="BXD4" s="198"/>
      <c r="BXE4" s="198"/>
      <c r="BXF4" s="198"/>
      <c r="BXG4" s="198"/>
      <c r="BXH4" s="198"/>
      <c r="BXI4" s="198"/>
      <c r="BXJ4" s="198"/>
      <c r="BXK4" s="198"/>
      <c r="BXL4" s="198"/>
      <c r="BXM4" s="198"/>
      <c r="BXN4" s="198"/>
      <c r="BXO4" s="198"/>
      <c r="BXP4" s="198"/>
      <c r="BXQ4" s="198"/>
      <c r="BXR4" s="198"/>
      <c r="BXS4" s="198"/>
      <c r="BXT4" s="198"/>
      <c r="BXU4" s="198"/>
      <c r="BXV4" s="198"/>
      <c r="BXW4" s="198"/>
      <c r="BXX4" s="198"/>
      <c r="BXY4" s="198"/>
      <c r="BXZ4" s="198"/>
      <c r="BYA4" s="198"/>
      <c r="BYB4" s="198"/>
      <c r="BYC4" s="198"/>
      <c r="BYD4" s="198"/>
      <c r="BYE4" s="198"/>
      <c r="BYF4" s="198"/>
      <c r="BYG4" s="198"/>
      <c r="BYH4" s="198"/>
      <c r="BYI4" s="198"/>
      <c r="BYJ4" s="198"/>
      <c r="BYK4" s="198"/>
      <c r="BYL4" s="198"/>
      <c r="BYM4" s="198"/>
      <c r="BYN4" s="198"/>
      <c r="BYO4" s="198"/>
      <c r="BYP4" s="198"/>
      <c r="BYQ4" s="198"/>
      <c r="BYR4" s="198"/>
      <c r="BYS4" s="198"/>
      <c r="BYT4" s="198"/>
      <c r="BYU4" s="198"/>
      <c r="BYV4" s="198"/>
      <c r="BYW4" s="198"/>
      <c r="BYX4" s="198"/>
      <c r="BYY4" s="198"/>
      <c r="BYZ4" s="198"/>
      <c r="BZA4" s="198"/>
      <c r="BZB4" s="198"/>
      <c r="BZC4" s="198"/>
      <c r="BZD4" s="198"/>
      <c r="BZE4" s="198"/>
      <c r="BZF4" s="198"/>
      <c r="BZG4" s="198"/>
      <c r="BZH4" s="198"/>
      <c r="BZI4" s="198"/>
      <c r="BZJ4" s="198"/>
      <c r="BZK4" s="198"/>
      <c r="BZL4" s="198"/>
      <c r="BZM4" s="198"/>
      <c r="BZN4" s="198"/>
      <c r="BZO4" s="198"/>
      <c r="BZP4" s="198"/>
      <c r="BZQ4" s="198"/>
      <c r="BZR4" s="198"/>
      <c r="BZS4" s="198"/>
      <c r="BZT4" s="198"/>
      <c r="BZU4" s="198"/>
      <c r="BZV4" s="198"/>
      <c r="BZW4" s="198"/>
      <c r="BZX4" s="198"/>
      <c r="BZY4" s="198"/>
      <c r="BZZ4" s="198"/>
      <c r="CAA4" s="198"/>
      <c r="CAB4" s="198"/>
      <c r="CAC4" s="198"/>
      <c r="CAD4" s="198"/>
      <c r="CAE4" s="198"/>
      <c r="CAF4" s="198"/>
      <c r="CAG4" s="198"/>
      <c r="CAH4" s="198"/>
      <c r="CAI4" s="198"/>
      <c r="CAJ4" s="198"/>
      <c r="CAK4" s="198"/>
      <c r="CAL4" s="198"/>
      <c r="CAM4" s="198"/>
      <c r="CAN4" s="198"/>
      <c r="CAO4" s="198"/>
      <c r="CAP4" s="198"/>
      <c r="CAQ4" s="198"/>
      <c r="CAR4" s="198"/>
      <c r="CAS4" s="198"/>
      <c r="CAT4" s="198"/>
      <c r="CAU4" s="198"/>
      <c r="CAV4" s="198"/>
      <c r="CAW4" s="198"/>
      <c r="CAX4" s="198"/>
      <c r="CAY4" s="198"/>
      <c r="CAZ4" s="198"/>
      <c r="CBA4" s="198"/>
      <c r="CBB4" s="198"/>
      <c r="CBC4" s="198"/>
      <c r="CBD4" s="198"/>
      <c r="CBE4" s="198"/>
      <c r="CBF4" s="198"/>
      <c r="CBG4" s="198"/>
      <c r="CBH4" s="198"/>
      <c r="CBI4" s="198"/>
      <c r="CBJ4" s="198"/>
      <c r="CBK4" s="198"/>
      <c r="CBL4" s="198"/>
      <c r="CBM4" s="198"/>
      <c r="CBN4" s="198"/>
      <c r="CBO4" s="198"/>
      <c r="CBP4" s="198"/>
      <c r="CBQ4" s="198"/>
      <c r="CBR4" s="198"/>
      <c r="CBS4" s="198"/>
      <c r="CBT4" s="198"/>
      <c r="CBU4" s="198"/>
      <c r="CBV4" s="198"/>
      <c r="CBW4" s="198"/>
      <c r="CBX4" s="198"/>
      <c r="CBY4" s="198"/>
      <c r="CBZ4" s="198"/>
      <c r="CCA4" s="198"/>
      <c r="CCB4" s="198"/>
      <c r="CCC4" s="198"/>
      <c r="CCD4" s="198"/>
      <c r="CCE4" s="198"/>
      <c r="CCF4" s="198"/>
      <c r="CCG4" s="198"/>
      <c r="CCH4" s="198"/>
      <c r="CCI4" s="198"/>
      <c r="CCJ4" s="198"/>
      <c r="CCK4" s="198"/>
      <c r="CCL4" s="198"/>
      <c r="CCM4" s="198"/>
      <c r="CCN4" s="198"/>
      <c r="CCO4" s="198"/>
      <c r="CCP4" s="198"/>
      <c r="CCQ4" s="198"/>
      <c r="CCR4" s="198"/>
      <c r="CCS4" s="198"/>
      <c r="CCT4" s="198"/>
      <c r="CCU4" s="198"/>
      <c r="CCV4" s="198"/>
      <c r="CCW4" s="198"/>
      <c r="CCX4" s="198"/>
      <c r="CCY4" s="198"/>
      <c r="CCZ4" s="198"/>
      <c r="CDA4" s="198"/>
      <c r="CDB4" s="198"/>
      <c r="CDC4" s="198"/>
      <c r="CDD4" s="198"/>
      <c r="CDE4" s="198"/>
      <c r="CDF4" s="198"/>
      <c r="CDG4" s="198"/>
      <c r="CDH4" s="198"/>
      <c r="CDI4" s="198"/>
      <c r="CDJ4" s="198"/>
      <c r="CDK4" s="198"/>
      <c r="CDL4" s="198"/>
      <c r="CDM4" s="198"/>
      <c r="CDN4" s="198"/>
      <c r="CDO4" s="198"/>
      <c r="CDP4" s="198"/>
      <c r="CDQ4" s="198"/>
      <c r="CDR4" s="198"/>
      <c r="CDS4" s="198"/>
      <c r="CDT4" s="198"/>
      <c r="CDU4" s="198"/>
      <c r="CDV4" s="198"/>
      <c r="CDW4" s="198"/>
      <c r="CDX4" s="198"/>
      <c r="CDY4" s="198"/>
      <c r="CDZ4" s="198"/>
      <c r="CEA4" s="198"/>
      <c r="CEB4" s="198"/>
      <c r="CEC4" s="198"/>
      <c r="CED4" s="198"/>
      <c r="CEE4" s="198"/>
      <c r="CEF4" s="198"/>
      <c r="CEG4" s="198"/>
      <c r="CEH4" s="198"/>
      <c r="CEI4" s="198"/>
      <c r="CEJ4" s="198"/>
      <c r="CEK4" s="198"/>
      <c r="CEL4" s="198"/>
      <c r="CEM4" s="198"/>
      <c r="CEN4" s="198"/>
      <c r="CEO4" s="198"/>
      <c r="CEP4" s="198"/>
      <c r="CEQ4" s="198"/>
      <c r="CER4" s="198"/>
      <c r="CES4" s="198"/>
      <c r="CET4" s="198"/>
      <c r="CEU4" s="198"/>
      <c r="CEV4" s="198"/>
      <c r="CEW4" s="198"/>
      <c r="CEX4" s="198"/>
      <c r="CEY4" s="198"/>
      <c r="CEZ4" s="198"/>
      <c r="CFA4" s="198"/>
      <c r="CFB4" s="198"/>
      <c r="CFC4" s="198"/>
      <c r="CFD4" s="198"/>
      <c r="CFE4" s="198"/>
      <c r="CFF4" s="198"/>
      <c r="CFG4" s="198"/>
      <c r="CFH4" s="198"/>
      <c r="CFI4" s="198"/>
      <c r="CFJ4" s="198"/>
      <c r="CFK4" s="198"/>
      <c r="CFL4" s="198"/>
      <c r="CFM4" s="198"/>
      <c r="CFN4" s="198"/>
      <c r="CFO4" s="198"/>
      <c r="CFP4" s="198"/>
      <c r="CFQ4" s="198"/>
      <c r="CFR4" s="198"/>
      <c r="CFS4" s="198"/>
      <c r="CFT4" s="198"/>
      <c r="CFU4" s="198"/>
      <c r="CFV4" s="198"/>
      <c r="CFW4" s="198"/>
      <c r="CFX4" s="198"/>
      <c r="CFY4" s="198"/>
      <c r="CFZ4" s="198"/>
      <c r="CGA4" s="198"/>
      <c r="CGB4" s="198"/>
      <c r="CGC4" s="198"/>
      <c r="CGD4" s="198"/>
      <c r="CGE4" s="198"/>
      <c r="CGF4" s="198"/>
      <c r="CGG4" s="198"/>
      <c r="CGH4" s="198"/>
      <c r="CGI4" s="198"/>
      <c r="CGJ4" s="198"/>
      <c r="CGK4" s="198"/>
      <c r="CGL4" s="198"/>
      <c r="CGM4" s="198"/>
      <c r="CGN4" s="198"/>
      <c r="CGO4" s="198"/>
      <c r="CGP4" s="198"/>
      <c r="CGQ4" s="198"/>
      <c r="CGR4" s="198"/>
      <c r="CGS4" s="198"/>
      <c r="CGT4" s="198"/>
      <c r="CGU4" s="198"/>
      <c r="CGV4" s="198"/>
      <c r="CGW4" s="198"/>
      <c r="CGX4" s="198"/>
      <c r="CGY4" s="198"/>
      <c r="CGZ4" s="198"/>
      <c r="CHA4" s="198"/>
      <c r="CHB4" s="198"/>
      <c r="CHC4" s="198"/>
      <c r="CHD4" s="198"/>
      <c r="CHE4" s="198"/>
      <c r="CHF4" s="198"/>
      <c r="CHG4" s="198"/>
      <c r="CHH4" s="198"/>
      <c r="CHI4" s="198"/>
      <c r="CHJ4" s="198"/>
      <c r="CHK4" s="198"/>
      <c r="CHL4" s="198"/>
      <c r="CHM4" s="198"/>
      <c r="CHN4" s="198"/>
      <c r="CHO4" s="198"/>
      <c r="CHP4" s="198"/>
      <c r="CHQ4" s="198"/>
      <c r="CHR4" s="198"/>
      <c r="CHS4" s="198"/>
      <c r="CHT4" s="198"/>
      <c r="CHU4" s="198"/>
      <c r="CHV4" s="198"/>
      <c r="CHW4" s="198"/>
      <c r="CHX4" s="198"/>
      <c r="CHY4" s="198"/>
      <c r="CHZ4" s="198"/>
      <c r="CIA4" s="198"/>
      <c r="CIB4" s="198"/>
      <c r="CIC4" s="198"/>
      <c r="CID4" s="198"/>
      <c r="CIE4" s="198"/>
      <c r="CIF4" s="198"/>
      <c r="CIG4" s="198"/>
      <c r="CIH4" s="198"/>
      <c r="CII4" s="198"/>
      <c r="CIJ4" s="198"/>
      <c r="CIK4" s="198"/>
      <c r="CIL4" s="198"/>
      <c r="CIM4" s="198"/>
      <c r="CIN4" s="198"/>
      <c r="CIO4" s="198"/>
      <c r="CIP4" s="198"/>
      <c r="CIQ4" s="198"/>
      <c r="CIR4" s="198"/>
      <c r="CIS4" s="198"/>
      <c r="CIT4" s="198"/>
      <c r="CIU4" s="198"/>
      <c r="CIV4" s="198"/>
      <c r="CIW4" s="198"/>
      <c r="CIX4" s="198"/>
      <c r="CIY4" s="198"/>
      <c r="CIZ4" s="198"/>
      <c r="CJA4" s="198"/>
      <c r="CJB4" s="198"/>
      <c r="CJC4" s="198"/>
      <c r="CJD4" s="198"/>
      <c r="CJE4" s="198"/>
      <c r="CJF4" s="198"/>
      <c r="CJG4" s="198"/>
      <c r="CJH4" s="198"/>
      <c r="CJI4" s="198"/>
      <c r="CJJ4" s="198"/>
      <c r="CJK4" s="198"/>
      <c r="CJL4" s="198"/>
      <c r="CJM4" s="198"/>
      <c r="CJN4" s="198"/>
      <c r="CJO4" s="198"/>
      <c r="CJP4" s="198"/>
      <c r="CJQ4" s="198"/>
      <c r="CJR4" s="198"/>
      <c r="CJS4" s="198"/>
      <c r="CJT4" s="198"/>
      <c r="CJU4" s="198"/>
      <c r="CJV4" s="198"/>
      <c r="CJW4" s="198"/>
      <c r="CJX4" s="198"/>
      <c r="CJY4" s="198"/>
      <c r="CJZ4" s="198"/>
      <c r="CKA4" s="198"/>
      <c r="CKB4" s="198"/>
      <c r="CKC4" s="198"/>
      <c r="CKD4" s="198"/>
      <c r="CKE4" s="198"/>
      <c r="CKF4" s="198"/>
      <c r="CKG4" s="198"/>
      <c r="CKH4" s="198"/>
      <c r="CKI4" s="198"/>
      <c r="CKJ4" s="198"/>
      <c r="CKK4" s="198"/>
      <c r="CKL4" s="198"/>
      <c r="CKM4" s="198"/>
      <c r="CKN4" s="198"/>
      <c r="CKO4" s="198"/>
      <c r="CKP4" s="198"/>
      <c r="CKQ4" s="198"/>
      <c r="CKR4" s="198"/>
      <c r="CKS4" s="198"/>
      <c r="CKT4" s="198"/>
      <c r="CKU4" s="198"/>
      <c r="CKV4" s="198"/>
      <c r="CKW4" s="198"/>
      <c r="CKX4" s="198"/>
      <c r="CKY4" s="198"/>
      <c r="CKZ4" s="198"/>
      <c r="CLA4" s="198"/>
      <c r="CLB4" s="198"/>
      <c r="CLC4" s="198"/>
      <c r="CLD4" s="198"/>
      <c r="CLE4" s="198"/>
      <c r="CLF4" s="198"/>
      <c r="CLG4" s="198"/>
      <c r="CLH4" s="198"/>
      <c r="CLI4" s="198"/>
      <c r="CLJ4" s="198"/>
      <c r="CLK4" s="198"/>
      <c r="CLL4" s="198"/>
      <c r="CLM4" s="198"/>
      <c r="CLN4" s="198"/>
      <c r="CLO4" s="198"/>
      <c r="CLP4" s="198"/>
      <c r="CLQ4" s="198"/>
      <c r="CLR4" s="198"/>
      <c r="CLS4" s="198"/>
      <c r="CLT4" s="198"/>
      <c r="CLU4" s="198"/>
      <c r="CLV4" s="198"/>
      <c r="CLW4" s="198"/>
      <c r="CLX4" s="198"/>
      <c r="CLY4" s="198"/>
      <c r="CLZ4" s="198"/>
      <c r="CMA4" s="198"/>
      <c r="CMB4" s="198"/>
      <c r="CMC4" s="198"/>
      <c r="CMD4" s="198"/>
      <c r="CME4" s="198"/>
      <c r="CMF4" s="198"/>
      <c r="CMG4" s="198"/>
      <c r="CMH4" s="198"/>
      <c r="CMI4" s="198"/>
      <c r="CMJ4" s="198"/>
      <c r="CMK4" s="198"/>
      <c r="CML4" s="198"/>
      <c r="CMM4" s="198"/>
      <c r="CMN4" s="198"/>
      <c r="CMO4" s="198"/>
      <c r="CMP4" s="198"/>
      <c r="CMQ4" s="198"/>
      <c r="CMR4" s="198"/>
      <c r="CMS4" s="198"/>
      <c r="CMT4" s="198"/>
      <c r="CMU4" s="198"/>
      <c r="CMV4" s="198"/>
      <c r="CMW4" s="198"/>
      <c r="CMX4" s="198"/>
      <c r="CMY4" s="198"/>
      <c r="CMZ4" s="198"/>
      <c r="CNA4" s="198"/>
      <c r="CNB4" s="198"/>
      <c r="CNC4" s="198"/>
      <c r="CND4" s="198"/>
      <c r="CNE4" s="198"/>
      <c r="CNF4" s="198"/>
      <c r="CNG4" s="198"/>
      <c r="CNH4" s="198"/>
      <c r="CNI4" s="198"/>
      <c r="CNJ4" s="198"/>
      <c r="CNK4" s="198"/>
      <c r="CNL4" s="198"/>
      <c r="CNM4" s="198"/>
      <c r="CNN4" s="198"/>
      <c r="CNO4" s="198"/>
      <c r="CNP4" s="198"/>
      <c r="CNQ4" s="198"/>
      <c r="CNR4" s="198"/>
      <c r="CNS4" s="198"/>
      <c r="CNT4" s="198"/>
      <c r="CNU4" s="198"/>
      <c r="CNV4" s="198"/>
      <c r="CNW4" s="198"/>
      <c r="CNX4" s="198"/>
      <c r="CNY4" s="198"/>
      <c r="CNZ4" s="198"/>
      <c r="COA4" s="198"/>
      <c r="COB4" s="198"/>
      <c r="COC4" s="198"/>
      <c r="COD4" s="198"/>
      <c r="COE4" s="198"/>
      <c r="COF4" s="198"/>
      <c r="COG4" s="198"/>
      <c r="COH4" s="198"/>
      <c r="COI4" s="198"/>
      <c r="COJ4" s="198"/>
      <c r="COK4" s="198"/>
      <c r="COL4" s="198"/>
      <c r="COM4" s="198"/>
      <c r="CON4" s="198"/>
      <c r="COO4" s="198"/>
      <c r="COP4" s="198"/>
      <c r="COQ4" s="198"/>
      <c r="COR4" s="198"/>
      <c r="COS4" s="198"/>
      <c r="COT4" s="198"/>
      <c r="COU4" s="198"/>
      <c r="COV4" s="198"/>
      <c r="COW4" s="198"/>
      <c r="COX4" s="198"/>
      <c r="COY4" s="198"/>
      <c r="COZ4" s="198"/>
      <c r="CPA4" s="198"/>
      <c r="CPB4" s="198"/>
      <c r="CPC4" s="198"/>
      <c r="CPD4" s="198"/>
      <c r="CPE4" s="198"/>
      <c r="CPF4" s="198"/>
      <c r="CPG4" s="198"/>
      <c r="CPH4" s="198"/>
      <c r="CPI4" s="198"/>
      <c r="CPJ4" s="198"/>
      <c r="CPK4" s="198"/>
      <c r="CPL4" s="198"/>
      <c r="CPM4" s="198"/>
      <c r="CPN4" s="198"/>
      <c r="CPO4" s="198"/>
      <c r="CPP4" s="198"/>
      <c r="CPQ4" s="198"/>
      <c r="CPR4" s="198"/>
      <c r="CPS4" s="198"/>
      <c r="CPT4" s="198"/>
      <c r="CPU4" s="198"/>
      <c r="CPV4" s="198"/>
      <c r="CPW4" s="198"/>
      <c r="CPX4" s="198"/>
      <c r="CPY4" s="198"/>
      <c r="CPZ4" s="198"/>
      <c r="CQA4" s="198"/>
      <c r="CQB4" s="198"/>
      <c r="CQC4" s="198"/>
      <c r="CQD4" s="198"/>
      <c r="CQE4" s="198"/>
      <c r="CQF4" s="198"/>
      <c r="CQG4" s="198"/>
      <c r="CQH4" s="198"/>
      <c r="CQI4" s="198"/>
      <c r="CQJ4" s="198"/>
      <c r="CQK4" s="198"/>
      <c r="CQL4" s="198"/>
      <c r="CQM4" s="198"/>
      <c r="CQN4" s="198"/>
      <c r="CQO4" s="198"/>
      <c r="CQP4" s="198"/>
      <c r="CQQ4" s="198"/>
      <c r="CQR4" s="198"/>
      <c r="CQS4" s="198"/>
      <c r="CQT4" s="198"/>
      <c r="CQU4" s="198"/>
      <c r="CQV4" s="198"/>
      <c r="CQW4" s="198"/>
      <c r="CQX4" s="198"/>
      <c r="CQY4" s="198"/>
      <c r="CQZ4" s="198"/>
      <c r="CRA4" s="198"/>
      <c r="CRB4" s="198"/>
      <c r="CRC4" s="198"/>
      <c r="CRD4" s="198"/>
      <c r="CRE4" s="198"/>
      <c r="CRF4" s="198"/>
      <c r="CRG4" s="198"/>
      <c r="CRH4" s="198"/>
      <c r="CRI4" s="198"/>
      <c r="CRJ4" s="198"/>
      <c r="CRK4" s="198"/>
      <c r="CRL4" s="198"/>
      <c r="CRM4" s="198"/>
      <c r="CRN4" s="198"/>
      <c r="CRO4" s="198"/>
      <c r="CRP4" s="198"/>
      <c r="CRQ4" s="198"/>
      <c r="CRR4" s="198"/>
      <c r="CRS4" s="198"/>
      <c r="CRT4" s="198"/>
      <c r="CRU4" s="198"/>
      <c r="CRV4" s="198"/>
      <c r="CRW4" s="198"/>
      <c r="CRX4" s="198"/>
      <c r="CRY4" s="198"/>
      <c r="CRZ4" s="198"/>
      <c r="CSA4" s="198"/>
      <c r="CSB4" s="198"/>
      <c r="CSC4" s="198"/>
      <c r="CSD4" s="198"/>
      <c r="CSE4" s="198"/>
      <c r="CSF4" s="198"/>
      <c r="CSG4" s="198"/>
      <c r="CSH4" s="198"/>
      <c r="CSI4" s="198"/>
      <c r="CSJ4" s="198"/>
      <c r="CSK4" s="198"/>
      <c r="CSL4" s="198"/>
      <c r="CSM4" s="198"/>
      <c r="CSN4" s="198"/>
      <c r="CSO4" s="198"/>
      <c r="CSP4" s="198"/>
      <c r="CSQ4" s="198"/>
      <c r="CSR4" s="198"/>
      <c r="CSS4" s="198"/>
      <c r="CST4" s="198"/>
      <c r="CSU4" s="198"/>
      <c r="CSV4" s="198"/>
      <c r="CSW4" s="198"/>
      <c r="CSX4" s="198"/>
      <c r="CSY4" s="198"/>
      <c r="CSZ4" s="198"/>
      <c r="CTA4" s="198"/>
      <c r="CTB4" s="198"/>
      <c r="CTC4" s="198"/>
      <c r="CTD4" s="198"/>
      <c r="CTE4" s="198"/>
      <c r="CTF4" s="198"/>
      <c r="CTG4" s="198"/>
      <c r="CTH4" s="198"/>
      <c r="CTI4" s="198"/>
      <c r="CTJ4" s="198"/>
      <c r="CTK4" s="198"/>
      <c r="CTL4" s="198"/>
      <c r="CTM4" s="198"/>
      <c r="CTN4" s="198"/>
      <c r="CTO4" s="198"/>
      <c r="CTP4" s="198"/>
      <c r="CTQ4" s="198"/>
      <c r="CTR4" s="198"/>
      <c r="CTS4" s="198"/>
      <c r="CTT4" s="198"/>
      <c r="CTU4" s="198"/>
      <c r="CTV4" s="198"/>
      <c r="CTW4" s="198"/>
      <c r="CTX4" s="198"/>
      <c r="CTY4" s="198"/>
      <c r="CTZ4" s="198"/>
      <c r="CUA4" s="198"/>
      <c r="CUB4" s="198"/>
      <c r="CUC4" s="198"/>
      <c r="CUD4" s="198"/>
      <c r="CUE4" s="198"/>
      <c r="CUF4" s="198"/>
      <c r="CUG4" s="198"/>
      <c r="CUH4" s="198"/>
      <c r="CUI4" s="198"/>
      <c r="CUJ4" s="198"/>
      <c r="CUK4" s="198"/>
      <c r="CUL4" s="198"/>
      <c r="CUM4" s="198"/>
      <c r="CUN4" s="198"/>
      <c r="CUO4" s="198"/>
      <c r="CUP4" s="198"/>
      <c r="CUQ4" s="198"/>
      <c r="CUR4" s="198"/>
      <c r="CUS4" s="198"/>
      <c r="CUT4" s="198"/>
      <c r="CUU4" s="198"/>
      <c r="CUV4" s="198"/>
      <c r="CUW4" s="198"/>
      <c r="CUX4" s="198"/>
      <c r="CUY4" s="198"/>
      <c r="CUZ4" s="198"/>
      <c r="CVA4" s="198"/>
      <c r="CVB4" s="198"/>
      <c r="CVC4" s="198"/>
      <c r="CVD4" s="198"/>
      <c r="CVE4" s="198"/>
      <c r="CVF4" s="198"/>
      <c r="CVG4" s="198"/>
      <c r="CVH4" s="198"/>
      <c r="CVI4" s="198"/>
      <c r="CVJ4" s="198"/>
      <c r="CVK4" s="198"/>
      <c r="CVL4" s="198"/>
      <c r="CVM4" s="198"/>
      <c r="CVN4" s="198"/>
      <c r="CVO4" s="198"/>
      <c r="CVP4" s="198"/>
      <c r="CVQ4" s="198"/>
      <c r="CVR4" s="198"/>
      <c r="CVS4" s="198"/>
      <c r="CVT4" s="198"/>
      <c r="CVU4" s="198"/>
      <c r="CVV4" s="198"/>
      <c r="CVW4" s="198"/>
      <c r="CVX4" s="198"/>
      <c r="CVY4" s="198"/>
      <c r="CVZ4" s="198"/>
      <c r="CWA4" s="198"/>
      <c r="CWB4" s="198"/>
      <c r="CWC4" s="198"/>
      <c r="CWD4" s="198"/>
      <c r="CWE4" s="198"/>
      <c r="CWF4" s="198"/>
      <c r="CWG4" s="198"/>
      <c r="CWH4" s="198"/>
      <c r="CWI4" s="198"/>
      <c r="CWJ4" s="198"/>
      <c r="CWK4" s="198"/>
      <c r="CWL4" s="198"/>
      <c r="CWM4" s="198"/>
      <c r="CWN4" s="198"/>
      <c r="CWO4" s="198"/>
      <c r="CWP4" s="198"/>
      <c r="CWQ4" s="198"/>
      <c r="CWR4" s="198"/>
      <c r="CWS4" s="198"/>
      <c r="CWT4" s="198"/>
      <c r="CWU4" s="198"/>
      <c r="CWV4" s="198"/>
      <c r="CWW4" s="198"/>
      <c r="CWX4" s="198"/>
      <c r="CWY4" s="198"/>
      <c r="CWZ4" s="198"/>
      <c r="CXA4" s="198"/>
      <c r="CXB4" s="198"/>
      <c r="CXC4" s="198"/>
      <c r="CXD4" s="198"/>
      <c r="CXE4" s="198"/>
      <c r="CXF4" s="198"/>
      <c r="CXG4" s="198"/>
      <c r="CXH4" s="198"/>
      <c r="CXI4" s="198"/>
      <c r="CXJ4" s="198"/>
      <c r="CXK4" s="198"/>
      <c r="CXL4" s="198"/>
      <c r="CXM4" s="198"/>
      <c r="CXN4" s="198"/>
      <c r="CXO4" s="198"/>
      <c r="CXP4" s="198"/>
      <c r="CXQ4" s="198"/>
      <c r="CXR4" s="198"/>
      <c r="CXS4" s="198"/>
      <c r="CXT4" s="198"/>
      <c r="CXU4" s="198"/>
      <c r="CXV4" s="198"/>
      <c r="CXW4" s="198"/>
      <c r="CXX4" s="198"/>
      <c r="CXY4" s="198"/>
      <c r="CXZ4" s="198"/>
      <c r="CYA4" s="198"/>
      <c r="CYB4" s="198"/>
      <c r="CYC4" s="198"/>
      <c r="CYD4" s="198"/>
      <c r="CYE4" s="198"/>
      <c r="CYF4" s="198"/>
      <c r="CYG4" s="198"/>
      <c r="CYH4" s="198"/>
      <c r="CYI4" s="198"/>
      <c r="CYJ4" s="198"/>
      <c r="CYK4" s="198"/>
      <c r="CYL4" s="198"/>
      <c r="CYM4" s="198"/>
      <c r="CYN4" s="198"/>
      <c r="CYO4" s="198"/>
      <c r="CYP4" s="198"/>
      <c r="CYQ4" s="198"/>
      <c r="CYR4" s="198"/>
      <c r="CYS4" s="198"/>
      <c r="CYT4" s="198"/>
      <c r="CYU4" s="198"/>
      <c r="CYV4" s="198"/>
      <c r="CYW4" s="198"/>
      <c r="CYX4" s="198"/>
      <c r="CYY4" s="198"/>
      <c r="CYZ4" s="198"/>
      <c r="CZA4" s="198"/>
      <c r="CZB4" s="198"/>
      <c r="CZC4" s="198"/>
      <c r="CZD4" s="198"/>
      <c r="CZE4" s="198"/>
      <c r="CZF4" s="198"/>
      <c r="CZG4" s="198"/>
      <c r="CZH4" s="198"/>
      <c r="CZI4" s="198"/>
      <c r="CZJ4" s="198"/>
      <c r="CZK4" s="198"/>
      <c r="CZL4" s="198"/>
      <c r="CZM4" s="198"/>
      <c r="CZN4" s="198"/>
      <c r="CZO4" s="198"/>
      <c r="CZP4" s="198"/>
      <c r="CZQ4" s="198"/>
      <c r="CZR4" s="198"/>
      <c r="CZS4" s="198"/>
      <c r="CZT4" s="198"/>
      <c r="CZU4" s="198"/>
      <c r="CZV4" s="198"/>
      <c r="CZW4" s="198"/>
      <c r="CZX4" s="198"/>
      <c r="CZY4" s="198"/>
      <c r="CZZ4" s="198"/>
      <c r="DAA4" s="198"/>
      <c r="DAB4" s="198"/>
      <c r="DAC4" s="198"/>
      <c r="DAD4" s="198"/>
      <c r="DAE4" s="198"/>
      <c r="DAF4" s="198"/>
      <c r="DAG4" s="198"/>
      <c r="DAH4" s="198"/>
      <c r="DAI4" s="198"/>
      <c r="DAJ4" s="198"/>
      <c r="DAK4" s="198"/>
      <c r="DAL4" s="198"/>
      <c r="DAM4" s="198"/>
      <c r="DAN4" s="198"/>
      <c r="DAO4" s="198"/>
      <c r="DAP4" s="198"/>
      <c r="DAQ4" s="198"/>
      <c r="DAR4" s="198"/>
      <c r="DAS4" s="198"/>
      <c r="DAT4" s="198"/>
      <c r="DAU4" s="198"/>
      <c r="DAV4" s="198"/>
      <c r="DAW4" s="198"/>
      <c r="DAX4" s="198"/>
      <c r="DAY4" s="198"/>
      <c r="DAZ4" s="198"/>
      <c r="DBA4" s="198"/>
      <c r="DBB4" s="198"/>
      <c r="DBC4" s="198"/>
      <c r="DBD4" s="198"/>
      <c r="DBE4" s="198"/>
      <c r="DBF4" s="198"/>
      <c r="DBG4" s="198"/>
      <c r="DBH4" s="198"/>
      <c r="DBI4" s="198"/>
      <c r="DBJ4" s="198"/>
      <c r="DBK4" s="198"/>
      <c r="DBL4" s="198"/>
      <c r="DBM4" s="198"/>
      <c r="DBN4" s="198"/>
      <c r="DBO4" s="198"/>
      <c r="DBP4" s="198"/>
      <c r="DBQ4" s="198"/>
      <c r="DBR4" s="198"/>
      <c r="DBS4" s="198"/>
      <c r="DBT4" s="198"/>
      <c r="DBU4" s="198"/>
      <c r="DBV4" s="198"/>
      <c r="DBW4" s="198"/>
      <c r="DBX4" s="198"/>
      <c r="DBY4" s="198"/>
      <c r="DBZ4" s="198"/>
      <c r="DCA4" s="198"/>
      <c r="DCB4" s="198"/>
      <c r="DCC4" s="198"/>
      <c r="DCD4" s="198"/>
      <c r="DCE4" s="198"/>
      <c r="DCF4" s="198"/>
      <c r="DCG4" s="198"/>
      <c r="DCH4" s="198"/>
      <c r="DCI4" s="198"/>
      <c r="DCJ4" s="198"/>
      <c r="DCK4" s="198"/>
      <c r="DCL4" s="198"/>
      <c r="DCM4" s="198"/>
      <c r="DCN4" s="198"/>
      <c r="DCO4" s="198"/>
      <c r="DCP4" s="198"/>
      <c r="DCQ4" s="198"/>
      <c r="DCR4" s="198"/>
      <c r="DCS4" s="198"/>
      <c r="DCT4" s="198"/>
      <c r="DCU4" s="198"/>
      <c r="DCV4" s="198"/>
      <c r="DCW4" s="198"/>
      <c r="DCX4" s="198"/>
      <c r="DCY4" s="198"/>
      <c r="DCZ4" s="198"/>
      <c r="DDA4" s="198"/>
      <c r="DDB4" s="198"/>
      <c r="DDC4" s="198"/>
      <c r="DDD4" s="198"/>
      <c r="DDE4" s="198"/>
      <c r="DDF4" s="198"/>
      <c r="DDG4" s="198"/>
      <c r="DDH4" s="198"/>
      <c r="DDI4" s="198"/>
      <c r="DDJ4" s="198"/>
      <c r="DDK4" s="198"/>
      <c r="DDL4" s="198"/>
      <c r="DDM4" s="198"/>
      <c r="DDN4" s="198"/>
      <c r="DDO4" s="198"/>
      <c r="DDP4" s="198"/>
      <c r="DDQ4" s="198"/>
      <c r="DDR4" s="198"/>
      <c r="DDS4" s="198"/>
      <c r="DDT4" s="198"/>
      <c r="DDU4" s="198"/>
      <c r="DDV4" s="198"/>
      <c r="DDW4" s="198"/>
      <c r="DDX4" s="198"/>
      <c r="DDY4" s="198"/>
      <c r="DDZ4" s="198"/>
      <c r="DEA4" s="198"/>
      <c r="DEB4" s="198"/>
      <c r="DEC4" s="198"/>
      <c r="DED4" s="198"/>
      <c r="DEE4" s="198"/>
      <c r="DEF4" s="198"/>
      <c r="DEG4" s="198"/>
      <c r="DEH4" s="198"/>
      <c r="DEI4" s="198"/>
      <c r="DEJ4" s="198"/>
      <c r="DEK4" s="198"/>
      <c r="DEL4" s="198"/>
      <c r="DEM4" s="198"/>
      <c r="DEN4" s="198"/>
      <c r="DEO4" s="198"/>
      <c r="DEP4" s="198"/>
      <c r="DEQ4" s="198"/>
      <c r="DER4" s="198"/>
      <c r="DES4" s="198"/>
      <c r="DET4" s="198"/>
      <c r="DEU4" s="198"/>
      <c r="DEV4" s="198"/>
      <c r="DEW4" s="198"/>
      <c r="DEX4" s="198"/>
      <c r="DEY4" s="198"/>
      <c r="DEZ4" s="198"/>
      <c r="DFA4" s="198"/>
      <c r="DFB4" s="198"/>
      <c r="DFC4" s="198"/>
      <c r="DFD4" s="198"/>
      <c r="DFE4" s="198"/>
      <c r="DFF4" s="198"/>
      <c r="DFG4" s="198"/>
      <c r="DFH4" s="198"/>
      <c r="DFI4" s="198"/>
      <c r="DFJ4" s="198"/>
      <c r="DFK4" s="198"/>
      <c r="DFL4" s="198"/>
      <c r="DFM4" s="198"/>
      <c r="DFN4" s="198"/>
      <c r="DFO4" s="198"/>
      <c r="DFP4" s="198"/>
      <c r="DFQ4" s="198"/>
      <c r="DFR4" s="198"/>
      <c r="DFS4" s="198"/>
      <c r="DFT4" s="198"/>
      <c r="DFU4" s="198"/>
      <c r="DFV4" s="198"/>
      <c r="DFW4" s="198"/>
      <c r="DFX4" s="198"/>
      <c r="DFY4" s="198"/>
      <c r="DFZ4" s="198"/>
      <c r="DGA4" s="198"/>
      <c r="DGB4" s="198"/>
      <c r="DGC4" s="198"/>
      <c r="DGD4" s="198"/>
      <c r="DGE4" s="198"/>
      <c r="DGF4" s="198"/>
      <c r="DGG4" s="198"/>
      <c r="DGH4" s="198"/>
      <c r="DGI4" s="198"/>
      <c r="DGJ4" s="198"/>
      <c r="DGK4" s="198"/>
      <c r="DGL4" s="198"/>
      <c r="DGM4" s="198"/>
      <c r="DGN4" s="198"/>
      <c r="DGO4" s="198"/>
      <c r="DGP4" s="198"/>
      <c r="DGQ4" s="198"/>
      <c r="DGR4" s="198"/>
      <c r="DGS4" s="198"/>
      <c r="DGT4" s="198"/>
      <c r="DGU4" s="198"/>
      <c r="DGV4" s="198"/>
      <c r="DGW4" s="198"/>
      <c r="DGX4" s="198"/>
      <c r="DGY4" s="198"/>
      <c r="DGZ4" s="198"/>
      <c r="DHA4" s="198"/>
      <c r="DHB4" s="198"/>
      <c r="DHC4" s="198"/>
      <c r="DHD4" s="198"/>
      <c r="DHE4" s="198"/>
      <c r="DHF4" s="198"/>
      <c r="DHG4" s="198"/>
      <c r="DHH4" s="198"/>
      <c r="DHI4" s="198"/>
      <c r="DHJ4" s="198"/>
      <c r="DHK4" s="198"/>
      <c r="DHL4" s="198"/>
      <c r="DHM4" s="198"/>
      <c r="DHN4" s="198"/>
      <c r="DHO4" s="198"/>
      <c r="DHP4" s="198"/>
      <c r="DHQ4" s="198"/>
      <c r="DHR4" s="198"/>
      <c r="DHS4" s="198"/>
      <c r="DHT4" s="198"/>
      <c r="DHU4" s="198"/>
      <c r="DHV4" s="198"/>
      <c r="DHW4" s="198"/>
      <c r="DHX4" s="198"/>
      <c r="DHY4" s="198"/>
      <c r="DHZ4" s="198"/>
      <c r="DIA4" s="198"/>
      <c r="DIB4" s="198"/>
      <c r="DIC4" s="198"/>
      <c r="DID4" s="198"/>
      <c r="DIE4" s="198"/>
      <c r="DIF4" s="198"/>
      <c r="DIG4" s="198"/>
      <c r="DIH4" s="198"/>
      <c r="DII4" s="198"/>
      <c r="DIJ4" s="198"/>
      <c r="DIK4" s="198"/>
      <c r="DIL4" s="198"/>
      <c r="DIM4" s="198"/>
      <c r="DIN4" s="198"/>
      <c r="DIO4" s="198"/>
      <c r="DIP4" s="198"/>
      <c r="DIQ4" s="198"/>
      <c r="DIR4" s="198"/>
      <c r="DIS4" s="198"/>
      <c r="DIT4" s="198"/>
      <c r="DIU4" s="198"/>
      <c r="DIV4" s="198"/>
      <c r="DIW4" s="198"/>
      <c r="DIX4" s="198"/>
      <c r="DIY4" s="198"/>
      <c r="DIZ4" s="198"/>
      <c r="DJA4" s="198"/>
      <c r="DJB4" s="198"/>
      <c r="DJC4" s="198"/>
      <c r="DJD4" s="198"/>
      <c r="DJE4" s="198"/>
      <c r="DJF4" s="198"/>
      <c r="DJG4" s="198"/>
      <c r="DJH4" s="198"/>
      <c r="DJI4" s="198"/>
      <c r="DJJ4" s="198"/>
      <c r="DJK4" s="198"/>
      <c r="DJL4" s="198"/>
      <c r="DJM4" s="198"/>
      <c r="DJN4" s="198"/>
      <c r="DJO4" s="198"/>
      <c r="DJP4" s="198"/>
      <c r="DJQ4" s="198"/>
      <c r="DJR4" s="198"/>
      <c r="DJS4" s="198"/>
      <c r="DJT4" s="198"/>
      <c r="DJU4" s="198"/>
      <c r="DJV4" s="198"/>
      <c r="DJW4" s="198"/>
      <c r="DJX4" s="198"/>
      <c r="DJY4" s="198"/>
      <c r="DJZ4" s="198"/>
      <c r="DKA4" s="198"/>
      <c r="DKB4" s="198"/>
      <c r="DKC4" s="198"/>
      <c r="DKD4" s="198"/>
      <c r="DKE4" s="198"/>
      <c r="DKF4" s="198"/>
      <c r="DKG4" s="198"/>
      <c r="DKH4" s="198"/>
      <c r="DKI4" s="198"/>
      <c r="DKJ4" s="198"/>
      <c r="DKK4" s="198"/>
      <c r="DKL4" s="198"/>
      <c r="DKM4" s="198"/>
      <c r="DKN4" s="198"/>
      <c r="DKO4" s="198"/>
      <c r="DKP4" s="198"/>
      <c r="DKQ4" s="198"/>
      <c r="DKR4" s="198"/>
      <c r="DKS4" s="198"/>
      <c r="DKT4" s="198"/>
      <c r="DKU4" s="198"/>
      <c r="DKV4" s="198"/>
      <c r="DKW4" s="198"/>
      <c r="DKX4" s="198"/>
      <c r="DKY4" s="198"/>
      <c r="DKZ4" s="198"/>
      <c r="DLA4" s="198"/>
      <c r="DLB4" s="198"/>
      <c r="DLC4" s="198"/>
      <c r="DLD4" s="198"/>
      <c r="DLE4" s="198"/>
      <c r="DLF4" s="198"/>
      <c r="DLG4" s="198"/>
      <c r="DLH4" s="198"/>
      <c r="DLI4" s="198"/>
      <c r="DLJ4" s="198"/>
      <c r="DLK4" s="198"/>
      <c r="DLL4" s="198"/>
      <c r="DLM4" s="198"/>
      <c r="DLN4" s="198"/>
      <c r="DLO4" s="198"/>
      <c r="DLP4" s="198"/>
      <c r="DLQ4" s="198"/>
      <c r="DLR4" s="198"/>
      <c r="DLS4" s="198"/>
      <c r="DLT4" s="198"/>
      <c r="DLU4" s="198"/>
      <c r="DLV4" s="198"/>
      <c r="DLW4" s="198"/>
      <c r="DLX4" s="198"/>
      <c r="DLY4" s="198"/>
      <c r="DLZ4" s="198"/>
      <c r="DMA4" s="198"/>
      <c r="DMB4" s="198"/>
      <c r="DMC4" s="198"/>
      <c r="DMD4" s="198"/>
      <c r="DME4" s="198"/>
      <c r="DMF4" s="198"/>
      <c r="DMG4" s="198"/>
      <c r="DMH4" s="198"/>
      <c r="DMI4" s="198"/>
      <c r="DMJ4" s="198"/>
      <c r="DMK4" s="198"/>
      <c r="DML4" s="198"/>
      <c r="DMM4" s="198"/>
      <c r="DMN4" s="198"/>
      <c r="DMO4" s="198"/>
      <c r="DMP4" s="198"/>
      <c r="DMQ4" s="198"/>
      <c r="DMR4" s="198"/>
      <c r="DMS4" s="198"/>
      <c r="DMT4" s="198"/>
      <c r="DMU4" s="198"/>
      <c r="DMV4" s="198"/>
      <c r="DMW4" s="198"/>
      <c r="DMX4" s="198"/>
      <c r="DMY4" s="198"/>
      <c r="DMZ4" s="198"/>
      <c r="DNA4" s="198"/>
      <c r="DNB4" s="198"/>
      <c r="DNC4" s="198"/>
      <c r="DND4" s="198"/>
      <c r="DNE4" s="198"/>
      <c r="DNF4" s="198"/>
      <c r="DNG4" s="198"/>
      <c r="DNH4" s="198"/>
      <c r="DNI4" s="198"/>
      <c r="DNJ4" s="198"/>
      <c r="DNK4" s="198"/>
      <c r="DNL4" s="198"/>
      <c r="DNM4" s="198"/>
      <c r="DNN4" s="198"/>
      <c r="DNO4" s="198"/>
      <c r="DNP4" s="198"/>
      <c r="DNQ4" s="198"/>
      <c r="DNR4" s="198"/>
      <c r="DNS4" s="198"/>
      <c r="DNT4" s="198"/>
      <c r="DNU4" s="198"/>
      <c r="DNV4" s="198"/>
      <c r="DNW4" s="198"/>
      <c r="DNX4" s="198"/>
      <c r="DNY4" s="198"/>
      <c r="DNZ4" s="198"/>
      <c r="DOA4" s="198"/>
      <c r="DOB4" s="198"/>
      <c r="DOC4" s="198"/>
      <c r="DOD4" s="198"/>
      <c r="DOE4" s="198"/>
      <c r="DOF4" s="198"/>
      <c r="DOG4" s="198"/>
      <c r="DOH4" s="198"/>
      <c r="DOI4" s="198"/>
      <c r="DOJ4" s="198"/>
      <c r="DOK4" s="198"/>
      <c r="DOL4" s="198"/>
      <c r="DOM4" s="198"/>
      <c r="DON4" s="198"/>
      <c r="DOO4" s="198"/>
      <c r="DOP4" s="198"/>
      <c r="DOQ4" s="198"/>
      <c r="DOR4" s="198"/>
      <c r="DOS4" s="198"/>
      <c r="DOT4" s="198"/>
      <c r="DOU4" s="198"/>
      <c r="DOV4" s="198"/>
      <c r="DOW4" s="198"/>
      <c r="DOX4" s="198"/>
      <c r="DOY4" s="198"/>
      <c r="DOZ4" s="198"/>
      <c r="DPA4" s="198"/>
      <c r="DPB4" s="198"/>
      <c r="DPC4" s="198"/>
      <c r="DPD4" s="198"/>
      <c r="DPE4" s="198"/>
      <c r="DPF4" s="198"/>
      <c r="DPG4" s="198"/>
      <c r="DPH4" s="198"/>
      <c r="DPI4" s="198"/>
      <c r="DPJ4" s="198"/>
      <c r="DPK4" s="198"/>
      <c r="DPL4" s="198"/>
      <c r="DPM4" s="198"/>
      <c r="DPN4" s="198"/>
      <c r="DPO4" s="198"/>
      <c r="DPP4" s="198"/>
      <c r="DPQ4" s="198"/>
      <c r="DPR4" s="198"/>
      <c r="DPS4" s="198"/>
      <c r="DPT4" s="198"/>
      <c r="DPU4" s="198"/>
      <c r="DPV4" s="198"/>
      <c r="DPW4" s="198"/>
      <c r="DPX4" s="198"/>
      <c r="DPY4" s="198"/>
      <c r="DPZ4" s="198"/>
      <c r="DQA4" s="198"/>
      <c r="DQB4" s="198"/>
      <c r="DQC4" s="198"/>
      <c r="DQD4" s="198"/>
      <c r="DQE4" s="198"/>
      <c r="DQF4" s="198"/>
      <c r="DQG4" s="198"/>
      <c r="DQH4" s="198"/>
      <c r="DQI4" s="198"/>
      <c r="DQJ4" s="198"/>
      <c r="DQK4" s="198"/>
      <c r="DQL4" s="198"/>
      <c r="DQM4" s="198"/>
      <c r="DQN4" s="198"/>
      <c r="DQO4" s="198"/>
      <c r="DQP4" s="198"/>
      <c r="DQQ4" s="198"/>
      <c r="DQR4" s="198"/>
      <c r="DQS4" s="198"/>
      <c r="DQT4" s="198"/>
      <c r="DQU4" s="198"/>
      <c r="DQV4" s="198"/>
      <c r="DQW4" s="198"/>
      <c r="DQX4" s="198"/>
      <c r="DQY4" s="198"/>
      <c r="DQZ4" s="198"/>
      <c r="DRA4" s="198"/>
      <c r="DRB4" s="198"/>
      <c r="DRC4" s="198"/>
      <c r="DRD4" s="198"/>
      <c r="DRE4" s="198"/>
      <c r="DRF4" s="198"/>
      <c r="DRG4" s="198"/>
      <c r="DRH4" s="198"/>
      <c r="DRI4" s="198"/>
      <c r="DRJ4" s="198"/>
      <c r="DRK4" s="198"/>
      <c r="DRL4" s="198"/>
      <c r="DRM4" s="198"/>
      <c r="DRN4" s="198"/>
      <c r="DRO4" s="198"/>
      <c r="DRP4" s="198"/>
      <c r="DRQ4" s="198"/>
      <c r="DRR4" s="198"/>
      <c r="DRS4" s="198"/>
      <c r="DRT4" s="198"/>
      <c r="DRU4" s="198"/>
      <c r="DRV4" s="198"/>
      <c r="DRW4" s="198"/>
      <c r="DRX4" s="198"/>
      <c r="DRY4" s="198"/>
      <c r="DRZ4" s="198"/>
      <c r="DSA4" s="198"/>
      <c r="DSB4" s="198"/>
      <c r="DSC4" s="198"/>
      <c r="DSD4" s="198"/>
      <c r="DSE4" s="198"/>
      <c r="DSF4" s="198"/>
      <c r="DSG4" s="198"/>
      <c r="DSH4" s="198"/>
      <c r="DSI4" s="198"/>
      <c r="DSJ4" s="198"/>
      <c r="DSK4" s="198"/>
      <c r="DSL4" s="198"/>
      <c r="DSM4" s="198"/>
      <c r="DSN4" s="198"/>
      <c r="DSO4" s="198"/>
      <c r="DSP4" s="198"/>
      <c r="DSQ4" s="198"/>
      <c r="DSR4" s="198"/>
      <c r="DSS4" s="198"/>
      <c r="DST4" s="198"/>
      <c r="DSU4" s="198"/>
      <c r="DSV4" s="198"/>
      <c r="DSW4" s="198"/>
      <c r="DSX4" s="198"/>
      <c r="DSY4" s="198"/>
      <c r="DSZ4" s="198"/>
      <c r="DTA4" s="198"/>
      <c r="DTB4" s="198"/>
      <c r="DTC4" s="198"/>
      <c r="DTD4" s="198"/>
      <c r="DTE4" s="198"/>
      <c r="DTF4" s="198"/>
      <c r="DTG4" s="198"/>
      <c r="DTH4" s="198"/>
      <c r="DTI4" s="198"/>
      <c r="DTJ4" s="198"/>
      <c r="DTK4" s="198"/>
      <c r="DTL4" s="198"/>
      <c r="DTM4" s="198"/>
      <c r="DTN4" s="198"/>
      <c r="DTO4" s="198"/>
      <c r="DTP4" s="198"/>
      <c r="DTQ4" s="198"/>
      <c r="DTR4" s="198"/>
      <c r="DTS4" s="198"/>
      <c r="DTT4" s="198"/>
      <c r="DTU4" s="198"/>
      <c r="DTV4" s="198"/>
      <c r="DTW4" s="198"/>
      <c r="DTX4" s="198"/>
      <c r="DTY4" s="198"/>
      <c r="DTZ4" s="198"/>
      <c r="DUA4" s="198"/>
      <c r="DUB4" s="198"/>
      <c r="DUC4" s="198"/>
      <c r="DUD4" s="198"/>
      <c r="DUE4" s="198"/>
      <c r="DUF4" s="198"/>
      <c r="DUG4" s="198"/>
      <c r="DUH4" s="198"/>
      <c r="DUI4" s="198"/>
      <c r="DUJ4" s="198"/>
      <c r="DUK4" s="198"/>
      <c r="DUL4" s="198"/>
      <c r="DUM4" s="198"/>
      <c r="DUN4" s="198"/>
      <c r="DUO4" s="198"/>
      <c r="DUP4" s="198"/>
      <c r="DUQ4" s="198"/>
      <c r="DUR4" s="198"/>
      <c r="DUS4" s="198"/>
      <c r="DUT4" s="198"/>
      <c r="DUU4" s="198"/>
      <c r="DUV4" s="198"/>
      <c r="DUW4" s="198"/>
      <c r="DUX4" s="198"/>
      <c r="DUY4" s="198"/>
      <c r="DUZ4" s="198"/>
      <c r="DVA4" s="198"/>
      <c r="DVB4" s="198"/>
      <c r="DVC4" s="198"/>
      <c r="DVD4" s="198"/>
      <c r="DVE4" s="198"/>
      <c r="DVF4" s="198"/>
      <c r="DVG4" s="198"/>
      <c r="DVH4" s="198"/>
      <c r="DVI4" s="198"/>
      <c r="DVJ4" s="198"/>
      <c r="DVK4" s="198"/>
      <c r="DVL4" s="198"/>
      <c r="DVM4" s="198"/>
      <c r="DVN4" s="198"/>
      <c r="DVO4" s="198"/>
      <c r="DVP4" s="198"/>
      <c r="DVQ4" s="198"/>
      <c r="DVR4" s="198"/>
      <c r="DVS4" s="198"/>
      <c r="DVT4" s="198"/>
      <c r="DVU4" s="198"/>
      <c r="DVV4" s="198"/>
      <c r="DVW4" s="198"/>
      <c r="DVX4" s="198"/>
      <c r="DVY4" s="198"/>
      <c r="DVZ4" s="198"/>
      <c r="DWA4" s="198"/>
      <c r="DWB4" s="198"/>
      <c r="DWC4" s="198"/>
      <c r="DWD4" s="198"/>
      <c r="DWE4" s="198"/>
      <c r="DWF4" s="198"/>
      <c r="DWG4" s="198"/>
      <c r="DWH4" s="198"/>
      <c r="DWI4" s="198"/>
      <c r="DWJ4" s="198"/>
      <c r="DWK4" s="198"/>
      <c r="DWL4" s="198"/>
      <c r="DWM4" s="198"/>
      <c r="DWN4" s="198"/>
      <c r="DWO4" s="198"/>
      <c r="DWP4" s="198"/>
      <c r="DWQ4" s="198"/>
      <c r="DWR4" s="198"/>
      <c r="DWS4" s="198"/>
      <c r="DWT4" s="198"/>
      <c r="DWU4" s="198"/>
      <c r="DWV4" s="198"/>
      <c r="DWW4" s="198"/>
      <c r="DWX4" s="198"/>
      <c r="DWY4" s="198"/>
      <c r="DWZ4" s="198"/>
      <c r="DXA4" s="198"/>
      <c r="DXB4" s="198"/>
      <c r="DXC4" s="198"/>
      <c r="DXD4" s="198"/>
      <c r="DXE4" s="198"/>
      <c r="DXF4" s="198"/>
      <c r="DXG4" s="198"/>
      <c r="DXH4" s="198"/>
      <c r="DXI4" s="198"/>
      <c r="DXJ4" s="198"/>
      <c r="DXK4" s="198"/>
      <c r="DXL4" s="198"/>
      <c r="DXM4" s="198"/>
      <c r="DXN4" s="198"/>
      <c r="DXO4" s="198"/>
      <c r="DXP4" s="198"/>
      <c r="DXQ4" s="198"/>
      <c r="DXR4" s="198"/>
      <c r="DXS4" s="198"/>
      <c r="DXT4" s="198"/>
      <c r="DXU4" s="198"/>
      <c r="DXV4" s="198"/>
      <c r="DXW4" s="198"/>
      <c r="DXX4" s="198"/>
      <c r="DXY4" s="198"/>
      <c r="DXZ4" s="198"/>
      <c r="DYA4" s="198"/>
      <c r="DYB4" s="198"/>
      <c r="DYC4" s="198"/>
      <c r="DYD4" s="198"/>
      <c r="DYE4" s="198"/>
      <c r="DYF4" s="198"/>
      <c r="DYG4" s="198"/>
      <c r="DYH4" s="198"/>
      <c r="DYI4" s="198"/>
      <c r="DYJ4" s="198"/>
      <c r="DYK4" s="198"/>
      <c r="DYL4" s="198"/>
      <c r="DYM4" s="198"/>
      <c r="DYN4" s="198"/>
      <c r="DYO4" s="198"/>
      <c r="DYP4" s="198"/>
      <c r="DYQ4" s="198"/>
      <c r="DYR4" s="198"/>
      <c r="DYS4" s="198"/>
      <c r="DYT4" s="198"/>
      <c r="DYU4" s="198"/>
      <c r="DYV4" s="198"/>
      <c r="DYW4" s="198"/>
      <c r="DYX4" s="198"/>
      <c r="DYY4" s="198"/>
      <c r="DYZ4" s="198"/>
      <c r="DZA4" s="198"/>
      <c r="DZB4" s="198"/>
      <c r="DZC4" s="198"/>
      <c r="DZD4" s="198"/>
      <c r="DZE4" s="198"/>
      <c r="DZF4" s="198"/>
      <c r="DZG4" s="198"/>
      <c r="DZH4" s="198"/>
      <c r="DZI4" s="198"/>
      <c r="DZJ4" s="198"/>
      <c r="DZK4" s="198"/>
      <c r="DZL4" s="198"/>
      <c r="DZM4" s="198"/>
      <c r="DZN4" s="198"/>
      <c r="DZO4" s="198"/>
      <c r="DZP4" s="198"/>
      <c r="DZQ4" s="198"/>
      <c r="DZR4" s="198"/>
      <c r="DZS4" s="198"/>
      <c r="DZT4" s="198"/>
      <c r="DZU4" s="198"/>
      <c r="DZV4" s="198"/>
      <c r="DZW4" s="198"/>
      <c r="DZX4" s="198"/>
      <c r="DZY4" s="198"/>
      <c r="DZZ4" s="198"/>
      <c r="EAA4" s="198"/>
      <c r="EAB4" s="198"/>
      <c r="EAC4" s="198"/>
      <c r="EAD4" s="198"/>
      <c r="EAE4" s="198"/>
      <c r="EAF4" s="198"/>
      <c r="EAG4" s="198"/>
      <c r="EAH4" s="198"/>
      <c r="EAI4" s="198"/>
      <c r="EAJ4" s="198"/>
      <c r="EAK4" s="198"/>
      <c r="EAL4" s="198"/>
      <c r="EAM4" s="198"/>
      <c r="EAN4" s="198"/>
      <c r="EAO4" s="198"/>
      <c r="EAP4" s="198"/>
      <c r="EAQ4" s="198"/>
      <c r="EAR4" s="198"/>
      <c r="EAS4" s="198"/>
      <c r="EAT4" s="198"/>
      <c r="EAU4" s="198"/>
      <c r="EAV4" s="198"/>
      <c r="EAW4" s="198"/>
      <c r="EAX4" s="198"/>
      <c r="EAY4" s="198"/>
      <c r="EAZ4" s="198"/>
      <c r="EBA4" s="198"/>
      <c r="EBB4" s="198"/>
      <c r="EBC4" s="198"/>
      <c r="EBD4" s="198"/>
      <c r="EBE4" s="198"/>
      <c r="EBF4" s="198"/>
      <c r="EBG4" s="198"/>
      <c r="EBH4" s="198"/>
      <c r="EBI4" s="198"/>
      <c r="EBJ4" s="198"/>
      <c r="EBK4" s="198"/>
      <c r="EBL4" s="198"/>
      <c r="EBM4" s="198"/>
      <c r="EBN4" s="198"/>
      <c r="EBO4" s="198"/>
      <c r="EBP4" s="198"/>
      <c r="EBQ4" s="198"/>
      <c r="EBR4" s="198"/>
      <c r="EBS4" s="198"/>
      <c r="EBT4" s="198"/>
      <c r="EBU4" s="198"/>
      <c r="EBV4" s="198"/>
      <c r="EBW4" s="198"/>
      <c r="EBX4" s="198"/>
      <c r="EBY4" s="198"/>
      <c r="EBZ4" s="198"/>
      <c r="ECA4" s="198"/>
      <c r="ECB4" s="198"/>
      <c r="ECC4" s="198"/>
      <c r="ECD4" s="198"/>
      <c r="ECE4" s="198"/>
      <c r="ECF4" s="198"/>
      <c r="ECG4" s="198"/>
      <c r="ECH4" s="198"/>
      <c r="ECI4" s="198"/>
      <c r="ECJ4" s="198"/>
      <c r="ECK4" s="198"/>
      <c r="ECL4" s="198"/>
      <c r="ECM4" s="198"/>
      <c r="ECN4" s="198"/>
      <c r="ECO4" s="198"/>
      <c r="ECP4" s="198"/>
      <c r="ECQ4" s="198"/>
      <c r="ECR4" s="198"/>
      <c r="ECS4" s="198"/>
      <c r="ECT4" s="198"/>
      <c r="ECU4" s="198"/>
      <c r="ECV4" s="198"/>
      <c r="ECW4" s="198"/>
      <c r="ECX4" s="198"/>
      <c r="ECY4" s="198"/>
      <c r="ECZ4" s="198"/>
      <c r="EDA4" s="198"/>
      <c r="EDB4" s="198"/>
      <c r="EDC4" s="198"/>
      <c r="EDD4" s="198"/>
      <c r="EDE4" s="198"/>
      <c r="EDF4" s="198"/>
      <c r="EDG4" s="198"/>
      <c r="EDH4" s="198"/>
      <c r="EDI4" s="198"/>
      <c r="EDJ4" s="198"/>
      <c r="EDK4" s="198"/>
      <c r="EDL4" s="198"/>
      <c r="EDM4" s="198"/>
      <c r="EDN4" s="198"/>
      <c r="EDO4" s="198"/>
      <c r="EDP4" s="198"/>
      <c r="EDQ4" s="198"/>
      <c r="EDR4" s="198"/>
      <c r="EDS4" s="198"/>
      <c r="EDT4" s="198"/>
      <c r="EDU4" s="198"/>
      <c r="EDV4" s="198"/>
      <c r="EDW4" s="198"/>
      <c r="EDX4" s="198"/>
      <c r="EDY4" s="198"/>
      <c r="EDZ4" s="198"/>
      <c r="EEA4" s="198"/>
      <c r="EEB4" s="198"/>
      <c r="EEC4" s="198"/>
      <c r="EED4" s="198"/>
      <c r="EEE4" s="198"/>
      <c r="EEF4" s="198"/>
      <c r="EEG4" s="198"/>
      <c r="EEH4" s="198"/>
      <c r="EEI4" s="198"/>
      <c r="EEJ4" s="198"/>
      <c r="EEK4" s="198"/>
      <c r="EEL4" s="198"/>
      <c r="EEM4" s="198"/>
      <c r="EEN4" s="198"/>
      <c r="EEO4" s="198"/>
      <c r="EEP4" s="198"/>
      <c r="EEQ4" s="198"/>
      <c r="EER4" s="198"/>
      <c r="EES4" s="198"/>
      <c r="EET4" s="198"/>
      <c r="EEU4" s="198"/>
      <c r="EEV4" s="198"/>
      <c r="EEW4" s="198"/>
      <c r="EEX4" s="198"/>
      <c r="EEY4" s="198"/>
      <c r="EEZ4" s="198"/>
      <c r="EFA4" s="198"/>
      <c r="EFB4" s="198"/>
      <c r="EFC4" s="198"/>
      <c r="EFD4" s="198"/>
      <c r="EFE4" s="198"/>
      <c r="EFF4" s="198"/>
      <c r="EFG4" s="198"/>
      <c r="EFH4" s="198"/>
      <c r="EFI4" s="198"/>
      <c r="EFJ4" s="198"/>
      <c r="EFK4" s="198"/>
      <c r="EFL4" s="198"/>
      <c r="EFM4" s="198"/>
      <c r="EFN4" s="198"/>
      <c r="EFO4" s="198"/>
      <c r="EFP4" s="198"/>
      <c r="EFQ4" s="198"/>
      <c r="EFR4" s="198"/>
      <c r="EFS4" s="198"/>
      <c r="EFT4" s="198"/>
      <c r="EFU4" s="198"/>
      <c r="EFV4" s="198"/>
      <c r="EFW4" s="198"/>
      <c r="EFX4" s="198"/>
      <c r="EFY4" s="198"/>
      <c r="EFZ4" s="198"/>
      <c r="EGA4" s="198"/>
      <c r="EGB4" s="198"/>
      <c r="EGC4" s="198"/>
      <c r="EGD4" s="198"/>
      <c r="EGE4" s="198"/>
      <c r="EGF4" s="198"/>
      <c r="EGG4" s="198"/>
      <c r="EGH4" s="198"/>
      <c r="EGI4" s="198"/>
      <c r="EGJ4" s="198"/>
      <c r="EGK4" s="198"/>
      <c r="EGL4" s="198"/>
      <c r="EGM4" s="198"/>
      <c r="EGN4" s="198"/>
      <c r="EGO4" s="198"/>
      <c r="EGP4" s="198"/>
      <c r="EGQ4" s="198"/>
      <c r="EGR4" s="198"/>
      <c r="EGS4" s="198"/>
      <c r="EGT4" s="198"/>
      <c r="EGU4" s="198"/>
      <c r="EGV4" s="198"/>
      <c r="EGW4" s="198"/>
      <c r="EGX4" s="198"/>
      <c r="EGY4" s="198"/>
      <c r="EGZ4" s="198"/>
      <c r="EHA4" s="198"/>
      <c r="EHB4" s="198"/>
      <c r="EHC4" s="198"/>
      <c r="EHD4" s="198"/>
      <c r="EHE4" s="198"/>
      <c r="EHF4" s="198"/>
      <c r="EHG4" s="198"/>
      <c r="EHH4" s="198"/>
      <c r="EHI4" s="198"/>
      <c r="EHJ4" s="198"/>
      <c r="EHK4" s="198"/>
      <c r="EHL4" s="198"/>
      <c r="EHM4" s="198"/>
      <c r="EHN4" s="198"/>
      <c r="EHO4" s="198"/>
      <c r="EHP4" s="198"/>
      <c r="EHQ4" s="198"/>
      <c r="EHR4" s="198"/>
      <c r="EHS4" s="198"/>
      <c r="EHT4" s="198"/>
      <c r="EHU4" s="198"/>
      <c r="EHV4" s="198"/>
      <c r="EHW4" s="198"/>
      <c r="EHX4" s="198"/>
      <c r="EHY4" s="198"/>
      <c r="EHZ4" s="198"/>
      <c r="EIA4" s="198"/>
      <c r="EIB4" s="198"/>
      <c r="EIC4" s="198"/>
      <c r="EID4" s="198"/>
      <c r="EIE4" s="198"/>
      <c r="EIF4" s="198"/>
      <c r="EIG4" s="198"/>
      <c r="EIH4" s="198"/>
      <c r="EII4" s="198"/>
      <c r="EIJ4" s="198"/>
      <c r="EIK4" s="198"/>
      <c r="EIL4" s="198"/>
      <c r="EIM4" s="198"/>
      <c r="EIN4" s="198"/>
      <c r="EIO4" s="198"/>
      <c r="EIP4" s="198"/>
      <c r="EIQ4" s="198"/>
      <c r="EIR4" s="198"/>
      <c r="EIS4" s="198"/>
      <c r="EIT4" s="198"/>
      <c r="EIU4" s="198"/>
      <c r="EIV4" s="198"/>
      <c r="EIW4" s="198"/>
      <c r="EIX4" s="198"/>
      <c r="EIY4" s="198"/>
      <c r="EIZ4" s="198"/>
      <c r="EJA4" s="198"/>
      <c r="EJB4" s="198"/>
      <c r="EJC4" s="198"/>
      <c r="EJD4" s="198"/>
      <c r="EJE4" s="198"/>
      <c r="EJF4" s="198"/>
      <c r="EJG4" s="198"/>
      <c r="EJH4" s="198"/>
      <c r="EJI4" s="198"/>
      <c r="EJJ4" s="198"/>
      <c r="EJK4" s="198"/>
      <c r="EJL4" s="198"/>
      <c r="EJM4" s="198"/>
      <c r="EJN4" s="198"/>
      <c r="EJO4" s="198"/>
      <c r="EJP4" s="198"/>
      <c r="EJQ4" s="198"/>
      <c r="EJR4" s="198"/>
      <c r="EJS4" s="198"/>
      <c r="EJT4" s="198"/>
      <c r="EJU4" s="198"/>
      <c r="EJV4" s="198"/>
      <c r="EJW4" s="198"/>
      <c r="EJX4" s="198"/>
      <c r="EJY4" s="198"/>
      <c r="EJZ4" s="198"/>
      <c r="EKA4" s="198"/>
      <c r="EKB4" s="198"/>
      <c r="EKC4" s="198"/>
      <c r="EKD4" s="198"/>
      <c r="EKE4" s="198"/>
      <c r="EKF4" s="198"/>
      <c r="EKG4" s="198"/>
      <c r="EKH4" s="198"/>
      <c r="EKI4" s="198"/>
      <c r="EKJ4" s="198"/>
      <c r="EKK4" s="198"/>
      <c r="EKL4" s="198"/>
      <c r="EKM4" s="198"/>
      <c r="EKN4" s="198"/>
      <c r="EKO4" s="198"/>
      <c r="EKP4" s="198"/>
      <c r="EKQ4" s="198"/>
      <c r="EKR4" s="198"/>
      <c r="EKS4" s="198"/>
      <c r="EKT4" s="198"/>
      <c r="EKU4" s="198"/>
      <c r="EKV4" s="198"/>
      <c r="EKW4" s="198"/>
      <c r="EKX4" s="198"/>
      <c r="EKY4" s="198"/>
      <c r="EKZ4" s="198"/>
      <c r="ELA4" s="198"/>
      <c r="ELB4" s="198"/>
      <c r="ELC4" s="198"/>
      <c r="ELD4" s="198"/>
      <c r="ELE4" s="198"/>
      <c r="ELF4" s="198"/>
      <c r="ELG4" s="198"/>
      <c r="ELH4" s="198"/>
      <c r="ELI4" s="198"/>
      <c r="ELJ4" s="198"/>
      <c r="ELK4" s="198"/>
      <c r="ELL4" s="198"/>
      <c r="ELM4" s="198"/>
      <c r="ELN4" s="198"/>
      <c r="ELO4" s="198"/>
      <c r="ELP4" s="198"/>
      <c r="ELQ4" s="198"/>
      <c r="ELR4" s="198"/>
      <c r="ELS4" s="198"/>
      <c r="ELT4" s="198"/>
      <c r="ELU4" s="198"/>
      <c r="ELV4" s="198"/>
      <c r="ELW4" s="198"/>
      <c r="ELX4" s="198"/>
      <c r="ELY4" s="198"/>
      <c r="ELZ4" s="198"/>
      <c r="EMA4" s="198"/>
      <c r="EMB4" s="198"/>
      <c r="EMC4" s="198"/>
      <c r="EMD4" s="198"/>
      <c r="EME4" s="198"/>
      <c r="EMF4" s="198"/>
      <c r="EMG4" s="198"/>
      <c r="EMH4" s="198"/>
      <c r="EMI4" s="198"/>
      <c r="EMJ4" s="198"/>
      <c r="EMK4" s="198"/>
      <c r="EML4" s="198"/>
      <c r="EMM4" s="198"/>
      <c r="EMN4" s="198"/>
      <c r="EMO4" s="198"/>
      <c r="EMP4" s="198"/>
      <c r="EMQ4" s="198"/>
      <c r="EMR4" s="198"/>
      <c r="EMS4" s="198"/>
      <c r="EMT4" s="198"/>
      <c r="EMU4" s="198"/>
      <c r="EMV4" s="198"/>
      <c r="EMW4" s="198"/>
      <c r="EMX4" s="198"/>
      <c r="EMY4" s="198"/>
      <c r="EMZ4" s="198"/>
      <c r="ENA4" s="198"/>
      <c r="ENB4" s="198"/>
      <c r="ENC4" s="198"/>
      <c r="END4" s="198"/>
      <c r="ENE4" s="198"/>
      <c r="ENF4" s="198"/>
      <c r="ENG4" s="198"/>
      <c r="ENH4" s="198"/>
      <c r="ENI4" s="198"/>
      <c r="ENJ4" s="198"/>
      <c r="ENK4" s="198"/>
      <c r="ENL4" s="198"/>
      <c r="ENM4" s="198"/>
      <c r="ENN4" s="198"/>
      <c r="ENO4" s="198"/>
      <c r="ENP4" s="198"/>
      <c r="ENQ4" s="198"/>
      <c r="ENR4" s="198"/>
      <c r="ENS4" s="198"/>
      <c r="ENT4" s="198"/>
      <c r="ENU4" s="198"/>
      <c r="ENV4" s="198"/>
      <c r="ENW4" s="198"/>
      <c r="ENX4" s="198"/>
      <c r="ENY4" s="198"/>
      <c r="ENZ4" s="198"/>
      <c r="EOA4" s="198"/>
      <c r="EOB4" s="198"/>
      <c r="EOC4" s="198"/>
      <c r="EOD4" s="198"/>
      <c r="EOE4" s="198"/>
      <c r="EOF4" s="198"/>
      <c r="EOG4" s="198"/>
      <c r="EOH4" s="198"/>
      <c r="EOI4" s="198"/>
      <c r="EOJ4" s="198"/>
      <c r="EOK4" s="198"/>
      <c r="EOL4" s="198"/>
      <c r="EOM4" s="198"/>
      <c r="EON4" s="198"/>
      <c r="EOO4" s="198"/>
      <c r="EOP4" s="198"/>
      <c r="EOQ4" s="198"/>
      <c r="EOR4" s="198"/>
      <c r="EOS4" s="198"/>
      <c r="EOT4" s="198"/>
      <c r="EOU4" s="198"/>
      <c r="EOV4" s="198"/>
      <c r="EOW4" s="198"/>
      <c r="EOX4" s="198"/>
      <c r="EOY4" s="198"/>
      <c r="EOZ4" s="198"/>
      <c r="EPA4" s="198"/>
      <c r="EPB4" s="198"/>
      <c r="EPC4" s="198"/>
      <c r="EPD4" s="198"/>
      <c r="EPE4" s="198"/>
      <c r="EPF4" s="198"/>
      <c r="EPG4" s="198"/>
      <c r="EPH4" s="198"/>
      <c r="EPI4" s="198"/>
      <c r="EPJ4" s="198"/>
      <c r="EPK4" s="198"/>
      <c r="EPL4" s="198"/>
      <c r="EPM4" s="198"/>
      <c r="EPN4" s="198"/>
      <c r="EPO4" s="198"/>
      <c r="EPP4" s="198"/>
      <c r="EPQ4" s="198"/>
      <c r="EPR4" s="198"/>
      <c r="EPS4" s="198"/>
      <c r="EPT4" s="198"/>
      <c r="EPU4" s="198"/>
      <c r="EPV4" s="198"/>
      <c r="EPW4" s="198"/>
      <c r="EPX4" s="198"/>
      <c r="EPY4" s="198"/>
      <c r="EPZ4" s="198"/>
      <c r="EQA4" s="198"/>
      <c r="EQB4" s="198"/>
      <c r="EQC4" s="198"/>
      <c r="EQD4" s="198"/>
      <c r="EQE4" s="198"/>
      <c r="EQF4" s="198"/>
      <c r="EQG4" s="198"/>
      <c r="EQH4" s="198"/>
      <c r="EQI4" s="198"/>
      <c r="EQJ4" s="198"/>
      <c r="EQK4" s="198"/>
      <c r="EQL4" s="198"/>
      <c r="EQM4" s="198"/>
      <c r="EQN4" s="198"/>
      <c r="EQO4" s="198"/>
      <c r="EQP4" s="198"/>
      <c r="EQQ4" s="198"/>
      <c r="EQR4" s="198"/>
      <c r="EQS4" s="198"/>
      <c r="EQT4" s="198"/>
      <c r="EQU4" s="198"/>
      <c r="EQV4" s="198"/>
      <c r="EQW4" s="198"/>
      <c r="EQX4" s="198"/>
      <c r="EQY4" s="198"/>
      <c r="EQZ4" s="198"/>
      <c r="ERA4" s="198"/>
      <c r="ERB4" s="198"/>
      <c r="ERC4" s="198"/>
      <c r="ERD4" s="198"/>
      <c r="ERE4" s="198"/>
      <c r="ERF4" s="198"/>
      <c r="ERG4" s="198"/>
      <c r="ERH4" s="198"/>
      <c r="ERI4" s="198"/>
      <c r="ERJ4" s="198"/>
      <c r="ERK4" s="198"/>
      <c r="ERL4" s="198"/>
      <c r="ERM4" s="198"/>
      <c r="ERN4" s="198"/>
      <c r="ERO4" s="198"/>
      <c r="ERP4" s="198"/>
      <c r="ERQ4" s="198"/>
      <c r="ERR4" s="198"/>
      <c r="ERS4" s="198"/>
      <c r="ERT4" s="198"/>
      <c r="ERU4" s="198"/>
      <c r="ERV4" s="198"/>
      <c r="ERW4" s="198"/>
      <c r="ERX4" s="198"/>
      <c r="ERY4" s="198"/>
      <c r="ERZ4" s="198"/>
      <c r="ESA4" s="198"/>
      <c r="ESB4" s="198"/>
      <c r="ESC4" s="198"/>
      <c r="ESD4" s="198"/>
      <c r="ESE4" s="198"/>
      <c r="ESF4" s="198"/>
      <c r="ESG4" s="198"/>
      <c r="ESH4" s="198"/>
      <c r="ESI4" s="198"/>
      <c r="ESJ4" s="198"/>
      <c r="ESK4" s="198"/>
      <c r="ESL4" s="198"/>
      <c r="ESM4" s="198"/>
      <c r="ESN4" s="198"/>
      <c r="ESO4" s="198"/>
      <c r="ESP4" s="198"/>
      <c r="ESQ4" s="198"/>
      <c r="ESR4" s="198"/>
      <c r="ESS4" s="198"/>
      <c r="EST4" s="198"/>
      <c r="ESU4" s="198"/>
      <c r="ESV4" s="198"/>
      <c r="ESW4" s="198"/>
      <c r="ESX4" s="198"/>
      <c r="ESY4" s="198"/>
      <c r="ESZ4" s="198"/>
      <c r="ETA4" s="198"/>
      <c r="ETB4" s="198"/>
      <c r="ETC4" s="198"/>
      <c r="ETD4" s="198"/>
      <c r="ETE4" s="198"/>
      <c r="ETF4" s="198"/>
      <c r="ETG4" s="198"/>
      <c r="ETH4" s="198"/>
      <c r="ETI4" s="198"/>
      <c r="ETJ4" s="198"/>
      <c r="ETK4" s="198"/>
      <c r="ETL4" s="198"/>
      <c r="ETM4" s="198"/>
      <c r="ETN4" s="198"/>
      <c r="ETO4" s="198"/>
      <c r="ETP4" s="198"/>
      <c r="ETQ4" s="198"/>
      <c r="ETR4" s="198"/>
      <c r="ETS4" s="198"/>
      <c r="ETT4" s="198"/>
      <c r="ETU4" s="198"/>
      <c r="ETV4" s="198"/>
      <c r="ETW4" s="198"/>
      <c r="ETX4" s="198"/>
      <c r="ETY4" s="198"/>
      <c r="ETZ4" s="198"/>
      <c r="EUA4" s="198"/>
      <c r="EUB4" s="198"/>
      <c r="EUC4" s="198"/>
      <c r="EUD4" s="198"/>
      <c r="EUE4" s="198"/>
      <c r="EUF4" s="198"/>
      <c r="EUG4" s="198"/>
      <c r="EUH4" s="198"/>
      <c r="EUI4" s="198"/>
      <c r="EUJ4" s="198"/>
      <c r="EUK4" s="198"/>
      <c r="EUL4" s="198"/>
      <c r="EUM4" s="198"/>
      <c r="EUN4" s="198"/>
      <c r="EUO4" s="198"/>
      <c r="EUP4" s="198"/>
      <c r="EUQ4" s="198"/>
      <c r="EUR4" s="198"/>
      <c r="EUS4" s="198"/>
      <c r="EUT4" s="198"/>
      <c r="EUU4" s="198"/>
      <c r="EUV4" s="198"/>
      <c r="EUW4" s="198"/>
      <c r="EUX4" s="198"/>
      <c r="EUY4" s="198"/>
      <c r="EUZ4" s="198"/>
      <c r="EVA4" s="198"/>
      <c r="EVB4" s="198"/>
      <c r="EVC4" s="198"/>
      <c r="EVD4" s="198"/>
      <c r="EVE4" s="198"/>
      <c r="EVF4" s="198"/>
      <c r="EVG4" s="198"/>
      <c r="EVH4" s="198"/>
      <c r="EVI4" s="198"/>
      <c r="EVJ4" s="198"/>
      <c r="EVK4" s="198"/>
      <c r="EVL4" s="198"/>
      <c r="EVM4" s="198"/>
      <c r="EVN4" s="198"/>
      <c r="EVO4" s="198"/>
      <c r="EVP4" s="198"/>
      <c r="EVQ4" s="198"/>
      <c r="EVR4" s="198"/>
      <c r="EVS4" s="198"/>
      <c r="EVT4" s="198"/>
      <c r="EVU4" s="198"/>
      <c r="EVV4" s="198"/>
      <c r="EVW4" s="198"/>
      <c r="EVX4" s="198"/>
      <c r="EVY4" s="198"/>
      <c r="EVZ4" s="198"/>
      <c r="EWA4" s="198"/>
      <c r="EWB4" s="198"/>
      <c r="EWC4" s="198"/>
      <c r="EWD4" s="198"/>
      <c r="EWE4" s="198"/>
      <c r="EWF4" s="198"/>
      <c r="EWG4" s="198"/>
      <c r="EWH4" s="198"/>
      <c r="EWI4" s="198"/>
      <c r="EWJ4" s="198"/>
      <c r="EWK4" s="198"/>
      <c r="EWL4" s="198"/>
      <c r="EWM4" s="198"/>
      <c r="EWN4" s="198"/>
      <c r="EWO4" s="198"/>
      <c r="EWP4" s="198"/>
      <c r="EWQ4" s="198"/>
      <c r="EWR4" s="198"/>
      <c r="EWS4" s="198"/>
      <c r="EWT4" s="198"/>
      <c r="EWU4" s="198"/>
      <c r="EWV4" s="198"/>
      <c r="EWW4" s="198"/>
      <c r="EWX4" s="198"/>
      <c r="EWY4" s="198"/>
      <c r="EWZ4" s="198"/>
      <c r="EXA4" s="198"/>
      <c r="EXB4" s="198"/>
      <c r="EXC4" s="198"/>
      <c r="EXD4" s="198"/>
      <c r="EXE4" s="198"/>
      <c r="EXF4" s="198"/>
      <c r="EXG4" s="198"/>
      <c r="EXH4" s="198"/>
      <c r="EXI4" s="198"/>
      <c r="EXJ4" s="198"/>
      <c r="EXK4" s="198"/>
      <c r="EXL4" s="198"/>
      <c r="EXM4" s="198"/>
      <c r="EXN4" s="198"/>
      <c r="EXO4" s="198"/>
      <c r="EXP4" s="198"/>
      <c r="EXQ4" s="198"/>
      <c r="EXR4" s="198"/>
      <c r="EXS4" s="198"/>
      <c r="EXT4" s="198"/>
      <c r="EXU4" s="198"/>
      <c r="EXV4" s="198"/>
      <c r="EXW4" s="198"/>
      <c r="EXX4" s="198"/>
      <c r="EXY4" s="198"/>
      <c r="EXZ4" s="198"/>
      <c r="EYA4" s="198"/>
      <c r="EYB4" s="198"/>
      <c r="EYC4" s="198"/>
      <c r="EYD4" s="198"/>
      <c r="EYE4" s="198"/>
      <c r="EYF4" s="198"/>
      <c r="EYG4" s="198"/>
      <c r="EYH4" s="198"/>
      <c r="EYI4" s="198"/>
      <c r="EYJ4" s="198"/>
      <c r="EYK4" s="198"/>
      <c r="EYL4" s="198"/>
      <c r="EYM4" s="198"/>
      <c r="EYN4" s="198"/>
      <c r="EYO4" s="198"/>
      <c r="EYP4" s="198"/>
      <c r="EYQ4" s="198"/>
      <c r="EYR4" s="198"/>
      <c r="EYS4" s="198"/>
      <c r="EYT4" s="198"/>
      <c r="EYU4" s="198"/>
      <c r="EYV4" s="198"/>
      <c r="EYW4" s="198"/>
      <c r="EYX4" s="198"/>
      <c r="EYY4" s="198"/>
      <c r="EYZ4" s="198"/>
      <c r="EZA4" s="198"/>
      <c r="EZB4" s="198"/>
      <c r="EZC4" s="198"/>
      <c r="EZD4" s="198"/>
      <c r="EZE4" s="198"/>
      <c r="EZF4" s="198"/>
      <c r="EZG4" s="198"/>
      <c r="EZH4" s="198"/>
      <c r="EZI4" s="198"/>
      <c r="EZJ4" s="198"/>
      <c r="EZK4" s="198"/>
      <c r="EZL4" s="198"/>
      <c r="EZM4" s="198"/>
      <c r="EZN4" s="198"/>
      <c r="EZO4" s="198"/>
      <c r="EZP4" s="198"/>
      <c r="EZQ4" s="198"/>
      <c r="EZR4" s="198"/>
      <c r="EZS4" s="198"/>
      <c r="EZT4" s="198"/>
      <c r="EZU4" s="198"/>
      <c r="EZV4" s="198"/>
      <c r="EZW4" s="198"/>
      <c r="EZX4" s="198"/>
      <c r="EZY4" s="198"/>
      <c r="EZZ4" s="198"/>
      <c r="FAA4" s="198"/>
      <c r="FAB4" s="198"/>
      <c r="FAC4" s="198"/>
      <c r="FAD4" s="198"/>
      <c r="FAE4" s="198"/>
      <c r="FAF4" s="198"/>
      <c r="FAG4" s="198"/>
      <c r="FAH4" s="198"/>
      <c r="FAI4" s="198"/>
      <c r="FAJ4" s="198"/>
      <c r="FAK4" s="198"/>
      <c r="FAL4" s="198"/>
      <c r="FAM4" s="198"/>
      <c r="FAN4" s="198"/>
      <c r="FAO4" s="198"/>
      <c r="FAP4" s="198"/>
      <c r="FAQ4" s="198"/>
      <c r="FAR4" s="198"/>
      <c r="FAS4" s="198"/>
      <c r="FAT4" s="198"/>
      <c r="FAU4" s="198"/>
      <c r="FAV4" s="198"/>
      <c r="FAW4" s="198"/>
      <c r="FAX4" s="198"/>
      <c r="FAY4" s="198"/>
      <c r="FAZ4" s="198"/>
      <c r="FBA4" s="198"/>
      <c r="FBB4" s="198"/>
      <c r="FBC4" s="198"/>
      <c r="FBD4" s="198"/>
      <c r="FBE4" s="198"/>
      <c r="FBF4" s="198"/>
      <c r="FBG4" s="198"/>
      <c r="FBH4" s="198"/>
      <c r="FBI4" s="198"/>
      <c r="FBJ4" s="198"/>
      <c r="FBK4" s="198"/>
      <c r="FBL4" s="198"/>
      <c r="FBM4" s="198"/>
      <c r="FBN4" s="198"/>
      <c r="FBO4" s="198"/>
      <c r="FBP4" s="198"/>
      <c r="FBQ4" s="198"/>
      <c r="FBR4" s="198"/>
      <c r="FBS4" s="198"/>
      <c r="FBT4" s="198"/>
      <c r="FBU4" s="198"/>
      <c r="FBV4" s="198"/>
      <c r="FBW4" s="198"/>
      <c r="FBX4" s="198"/>
      <c r="FBY4" s="198"/>
      <c r="FBZ4" s="198"/>
      <c r="FCA4" s="198"/>
      <c r="FCB4" s="198"/>
      <c r="FCC4" s="198"/>
      <c r="FCD4" s="198"/>
      <c r="FCE4" s="198"/>
      <c r="FCF4" s="198"/>
      <c r="FCG4" s="198"/>
      <c r="FCH4" s="198"/>
      <c r="FCI4" s="198"/>
      <c r="FCJ4" s="198"/>
      <c r="FCK4" s="198"/>
      <c r="FCL4" s="198"/>
      <c r="FCM4" s="198"/>
      <c r="FCN4" s="198"/>
      <c r="FCO4" s="198"/>
      <c r="FCP4" s="198"/>
      <c r="FCQ4" s="198"/>
      <c r="FCR4" s="198"/>
      <c r="FCS4" s="198"/>
      <c r="FCT4" s="198"/>
      <c r="FCU4" s="198"/>
      <c r="FCV4" s="198"/>
      <c r="FCW4" s="198"/>
      <c r="FCX4" s="198"/>
      <c r="FCY4" s="198"/>
      <c r="FCZ4" s="198"/>
      <c r="FDA4" s="198"/>
      <c r="FDB4" s="198"/>
      <c r="FDC4" s="198"/>
      <c r="FDD4" s="198"/>
      <c r="FDE4" s="198"/>
      <c r="FDF4" s="198"/>
      <c r="FDG4" s="198"/>
      <c r="FDH4" s="198"/>
      <c r="FDI4" s="198"/>
      <c r="FDJ4" s="198"/>
      <c r="FDK4" s="198"/>
      <c r="FDL4" s="198"/>
      <c r="FDM4" s="198"/>
      <c r="FDN4" s="198"/>
      <c r="FDO4" s="198"/>
      <c r="FDP4" s="198"/>
      <c r="FDQ4" s="198"/>
      <c r="FDR4" s="198"/>
      <c r="FDS4" s="198"/>
      <c r="FDT4" s="198"/>
      <c r="FDU4" s="198"/>
      <c r="FDV4" s="198"/>
      <c r="FDW4" s="198"/>
      <c r="FDX4" s="198"/>
      <c r="FDY4" s="198"/>
      <c r="FDZ4" s="198"/>
      <c r="FEA4" s="198"/>
      <c r="FEB4" s="198"/>
      <c r="FEC4" s="198"/>
      <c r="FED4" s="198"/>
      <c r="FEE4" s="198"/>
      <c r="FEF4" s="198"/>
      <c r="FEG4" s="198"/>
      <c r="FEH4" s="198"/>
      <c r="FEI4" s="198"/>
      <c r="FEJ4" s="198"/>
      <c r="FEK4" s="198"/>
      <c r="FEL4" s="198"/>
      <c r="FEM4" s="198"/>
      <c r="FEN4" s="198"/>
      <c r="FEO4" s="198"/>
      <c r="FEP4" s="198"/>
      <c r="FEQ4" s="198"/>
      <c r="FER4" s="198"/>
      <c r="FES4" s="198"/>
      <c r="FET4" s="198"/>
      <c r="FEU4" s="198"/>
      <c r="FEV4" s="198"/>
      <c r="FEW4" s="198"/>
      <c r="FEX4" s="198"/>
      <c r="FEY4" s="198"/>
      <c r="FEZ4" s="198"/>
      <c r="FFA4" s="198"/>
      <c r="FFB4" s="198"/>
      <c r="FFC4" s="198"/>
      <c r="FFD4" s="198"/>
      <c r="FFE4" s="198"/>
      <c r="FFF4" s="198"/>
      <c r="FFG4" s="198"/>
      <c r="FFH4" s="198"/>
      <c r="FFI4" s="198"/>
      <c r="FFJ4" s="198"/>
      <c r="FFK4" s="198"/>
      <c r="FFL4" s="198"/>
      <c r="FFM4" s="198"/>
      <c r="FFN4" s="198"/>
      <c r="FFO4" s="198"/>
      <c r="FFP4" s="198"/>
      <c r="FFQ4" s="198"/>
      <c r="FFR4" s="198"/>
      <c r="FFS4" s="198"/>
      <c r="FFT4" s="198"/>
      <c r="FFU4" s="198"/>
      <c r="FFV4" s="198"/>
      <c r="FFW4" s="198"/>
      <c r="FFX4" s="198"/>
      <c r="FFY4" s="198"/>
      <c r="FFZ4" s="198"/>
      <c r="FGA4" s="198"/>
      <c r="FGB4" s="198"/>
      <c r="FGC4" s="198"/>
      <c r="FGD4" s="198"/>
      <c r="FGE4" s="198"/>
      <c r="FGF4" s="198"/>
      <c r="FGG4" s="198"/>
      <c r="FGH4" s="198"/>
      <c r="FGI4" s="198"/>
      <c r="FGJ4" s="198"/>
      <c r="FGK4" s="198"/>
      <c r="FGL4" s="198"/>
      <c r="FGM4" s="198"/>
      <c r="FGN4" s="198"/>
      <c r="FGO4" s="198"/>
      <c r="FGP4" s="198"/>
      <c r="FGQ4" s="198"/>
      <c r="FGR4" s="198"/>
      <c r="FGS4" s="198"/>
      <c r="FGT4" s="198"/>
      <c r="FGU4" s="198"/>
      <c r="FGV4" s="198"/>
      <c r="FGW4" s="198"/>
      <c r="FGX4" s="198"/>
      <c r="FGY4" s="198"/>
      <c r="FGZ4" s="198"/>
      <c r="FHA4" s="198"/>
      <c r="FHB4" s="198"/>
      <c r="FHC4" s="198"/>
      <c r="FHD4" s="198"/>
      <c r="FHE4" s="198"/>
      <c r="FHF4" s="198"/>
      <c r="FHG4" s="198"/>
      <c r="FHH4" s="198"/>
      <c r="FHI4" s="198"/>
      <c r="FHJ4" s="198"/>
      <c r="FHK4" s="198"/>
      <c r="FHL4" s="198"/>
      <c r="FHM4" s="198"/>
      <c r="FHN4" s="198"/>
      <c r="FHO4" s="198"/>
      <c r="FHP4" s="198"/>
      <c r="FHQ4" s="198"/>
      <c r="FHR4" s="198"/>
      <c r="FHS4" s="198"/>
      <c r="FHT4" s="198"/>
      <c r="FHU4" s="198"/>
      <c r="FHV4" s="198"/>
      <c r="FHW4" s="198"/>
      <c r="FHX4" s="198"/>
      <c r="FHY4" s="198"/>
      <c r="FHZ4" s="198"/>
      <c r="FIA4" s="198"/>
      <c r="FIB4" s="198"/>
      <c r="FIC4" s="198"/>
      <c r="FID4" s="198"/>
      <c r="FIE4" s="198"/>
      <c r="FIF4" s="198"/>
      <c r="FIG4" s="198"/>
      <c r="FIH4" s="198"/>
      <c r="FII4" s="198"/>
      <c r="FIJ4" s="198"/>
      <c r="FIK4" s="198"/>
      <c r="FIL4" s="198"/>
      <c r="FIM4" s="198"/>
      <c r="FIN4" s="198"/>
      <c r="FIO4" s="198"/>
      <c r="FIP4" s="198"/>
      <c r="FIQ4" s="198"/>
      <c r="FIR4" s="198"/>
      <c r="FIS4" s="198"/>
      <c r="FIT4" s="198"/>
      <c r="FIU4" s="198"/>
      <c r="FIV4" s="198"/>
      <c r="FIW4" s="198"/>
      <c r="FIX4" s="198"/>
      <c r="FIY4" s="198"/>
      <c r="FIZ4" s="198"/>
      <c r="FJA4" s="198"/>
      <c r="FJB4" s="198"/>
      <c r="FJC4" s="198"/>
      <c r="FJD4" s="198"/>
      <c r="FJE4" s="198"/>
      <c r="FJF4" s="198"/>
      <c r="FJG4" s="198"/>
      <c r="FJH4" s="198"/>
      <c r="FJI4" s="198"/>
      <c r="FJJ4" s="198"/>
      <c r="FJK4" s="198"/>
      <c r="FJL4" s="198"/>
      <c r="FJM4" s="198"/>
      <c r="FJN4" s="198"/>
      <c r="FJO4" s="198"/>
      <c r="FJP4" s="198"/>
      <c r="FJQ4" s="198"/>
      <c r="FJR4" s="198"/>
      <c r="FJS4" s="198"/>
      <c r="FJT4" s="198"/>
      <c r="FJU4" s="198"/>
      <c r="FJV4" s="198"/>
      <c r="FJW4" s="198"/>
      <c r="FJX4" s="198"/>
      <c r="FJY4" s="198"/>
      <c r="FJZ4" s="198"/>
      <c r="FKA4" s="198"/>
      <c r="FKB4" s="198"/>
      <c r="FKC4" s="198"/>
      <c r="FKD4" s="198"/>
      <c r="FKE4" s="198"/>
      <c r="FKF4" s="198"/>
      <c r="FKG4" s="198"/>
      <c r="FKH4" s="198"/>
      <c r="FKI4" s="198"/>
      <c r="FKJ4" s="198"/>
      <c r="FKK4" s="198"/>
      <c r="FKL4" s="198"/>
      <c r="FKM4" s="198"/>
      <c r="FKN4" s="198"/>
      <c r="FKO4" s="198"/>
      <c r="FKP4" s="198"/>
      <c r="FKQ4" s="198"/>
      <c r="FKR4" s="198"/>
      <c r="FKS4" s="198"/>
      <c r="FKT4" s="198"/>
      <c r="FKU4" s="198"/>
      <c r="FKV4" s="198"/>
      <c r="FKW4" s="198"/>
      <c r="FKX4" s="198"/>
      <c r="FKY4" s="198"/>
      <c r="FKZ4" s="198"/>
      <c r="FLA4" s="198"/>
      <c r="FLB4" s="198"/>
      <c r="FLC4" s="198"/>
      <c r="FLD4" s="198"/>
      <c r="FLE4" s="198"/>
      <c r="FLF4" s="198"/>
      <c r="FLG4" s="198"/>
      <c r="FLH4" s="198"/>
      <c r="FLI4" s="198"/>
      <c r="FLJ4" s="198"/>
      <c r="FLK4" s="198"/>
      <c r="FLL4" s="198"/>
      <c r="FLM4" s="198"/>
      <c r="FLN4" s="198"/>
      <c r="FLO4" s="198"/>
      <c r="FLP4" s="198"/>
      <c r="FLQ4" s="198"/>
      <c r="FLR4" s="198"/>
      <c r="FLS4" s="198"/>
      <c r="FLT4" s="198"/>
      <c r="FLU4" s="198"/>
      <c r="FLV4" s="198"/>
      <c r="FLW4" s="198"/>
      <c r="FLX4" s="198"/>
      <c r="FLY4" s="198"/>
      <c r="FLZ4" s="198"/>
      <c r="FMA4" s="198"/>
      <c r="FMB4" s="198"/>
      <c r="FMC4" s="198"/>
      <c r="FMD4" s="198"/>
      <c r="FME4" s="198"/>
      <c r="FMF4" s="198"/>
      <c r="FMG4" s="198"/>
      <c r="FMH4" s="198"/>
      <c r="FMI4" s="198"/>
      <c r="FMJ4" s="198"/>
      <c r="FMK4" s="198"/>
      <c r="FML4" s="198"/>
      <c r="FMM4" s="198"/>
      <c r="FMN4" s="198"/>
      <c r="FMO4" s="198"/>
      <c r="FMP4" s="198"/>
      <c r="FMQ4" s="198"/>
      <c r="FMR4" s="198"/>
      <c r="FMS4" s="198"/>
      <c r="FMT4" s="198"/>
      <c r="FMU4" s="198"/>
      <c r="FMV4" s="198"/>
      <c r="FMW4" s="198"/>
      <c r="FMX4" s="198"/>
      <c r="FMY4" s="198"/>
      <c r="FMZ4" s="198"/>
      <c r="FNA4" s="198"/>
      <c r="FNB4" s="198"/>
      <c r="FNC4" s="198"/>
      <c r="FND4" s="198"/>
      <c r="FNE4" s="198"/>
      <c r="FNF4" s="198"/>
      <c r="FNG4" s="198"/>
      <c r="FNH4" s="198"/>
      <c r="FNI4" s="198"/>
      <c r="FNJ4" s="198"/>
      <c r="FNK4" s="198"/>
      <c r="FNL4" s="198"/>
      <c r="FNM4" s="198"/>
      <c r="FNN4" s="198"/>
      <c r="FNO4" s="198"/>
      <c r="FNP4" s="198"/>
      <c r="FNQ4" s="198"/>
      <c r="FNR4" s="198"/>
      <c r="FNS4" s="198"/>
      <c r="FNT4" s="198"/>
      <c r="FNU4" s="198"/>
      <c r="FNV4" s="198"/>
      <c r="FNW4" s="198"/>
      <c r="FNX4" s="198"/>
      <c r="FNY4" s="198"/>
      <c r="FNZ4" s="198"/>
      <c r="FOA4" s="198"/>
      <c r="FOB4" s="198"/>
      <c r="FOC4" s="198"/>
      <c r="FOD4" s="198"/>
      <c r="FOE4" s="198"/>
      <c r="FOF4" s="198"/>
      <c r="FOG4" s="198"/>
      <c r="FOH4" s="198"/>
      <c r="FOI4" s="198"/>
      <c r="FOJ4" s="198"/>
      <c r="FOK4" s="198"/>
      <c r="FOL4" s="198"/>
      <c r="FOM4" s="198"/>
      <c r="FON4" s="198"/>
      <c r="FOO4" s="198"/>
      <c r="FOP4" s="198"/>
      <c r="FOQ4" s="198"/>
      <c r="FOR4" s="198"/>
      <c r="FOS4" s="198"/>
      <c r="FOT4" s="198"/>
      <c r="FOU4" s="198"/>
      <c r="FOV4" s="198"/>
      <c r="FOW4" s="198"/>
      <c r="FOX4" s="198"/>
      <c r="FOY4" s="198"/>
      <c r="FOZ4" s="198"/>
      <c r="FPA4" s="198"/>
      <c r="FPB4" s="198"/>
      <c r="FPC4" s="198"/>
      <c r="FPD4" s="198"/>
      <c r="FPE4" s="198"/>
      <c r="FPF4" s="198"/>
      <c r="FPG4" s="198"/>
      <c r="FPH4" s="198"/>
      <c r="FPI4" s="198"/>
      <c r="FPJ4" s="198"/>
      <c r="FPK4" s="198"/>
      <c r="FPL4" s="198"/>
      <c r="FPM4" s="198"/>
      <c r="FPN4" s="198"/>
      <c r="FPO4" s="198"/>
      <c r="FPP4" s="198"/>
      <c r="FPQ4" s="198"/>
      <c r="FPR4" s="198"/>
      <c r="FPS4" s="198"/>
      <c r="FPT4" s="198"/>
      <c r="FPU4" s="198"/>
      <c r="FPV4" s="198"/>
      <c r="FPW4" s="198"/>
      <c r="FPX4" s="198"/>
      <c r="FPY4" s="198"/>
      <c r="FPZ4" s="198"/>
      <c r="FQA4" s="198"/>
      <c r="FQB4" s="198"/>
      <c r="FQC4" s="198"/>
      <c r="FQD4" s="198"/>
      <c r="FQE4" s="198"/>
      <c r="FQF4" s="198"/>
      <c r="FQG4" s="198"/>
      <c r="FQH4" s="198"/>
      <c r="FQI4" s="198"/>
      <c r="FQJ4" s="198"/>
      <c r="FQK4" s="198"/>
      <c r="FQL4" s="198"/>
      <c r="FQM4" s="198"/>
      <c r="FQN4" s="198"/>
      <c r="FQO4" s="198"/>
      <c r="FQP4" s="198"/>
      <c r="FQQ4" s="198"/>
      <c r="FQR4" s="198"/>
      <c r="FQS4" s="198"/>
      <c r="FQT4" s="198"/>
      <c r="FQU4" s="198"/>
      <c r="FQV4" s="198"/>
      <c r="FQW4" s="198"/>
      <c r="FQX4" s="198"/>
      <c r="FQY4" s="198"/>
      <c r="FQZ4" s="198"/>
      <c r="FRA4" s="198"/>
      <c r="FRB4" s="198"/>
      <c r="FRC4" s="198"/>
      <c r="FRD4" s="198"/>
      <c r="FRE4" s="198"/>
      <c r="FRF4" s="198"/>
      <c r="FRG4" s="198"/>
      <c r="FRH4" s="198"/>
      <c r="FRI4" s="198"/>
      <c r="FRJ4" s="198"/>
      <c r="FRK4" s="198"/>
      <c r="FRL4" s="198"/>
      <c r="FRM4" s="198"/>
      <c r="FRN4" s="198"/>
      <c r="FRO4" s="198"/>
      <c r="FRP4" s="198"/>
      <c r="FRQ4" s="198"/>
      <c r="FRR4" s="198"/>
      <c r="FRS4" s="198"/>
      <c r="FRT4" s="198"/>
      <c r="FRU4" s="198"/>
      <c r="FRV4" s="198"/>
      <c r="FRW4" s="198"/>
      <c r="FRX4" s="198"/>
      <c r="FRY4" s="198"/>
      <c r="FRZ4" s="198"/>
      <c r="FSA4" s="198"/>
      <c r="FSB4" s="198"/>
      <c r="FSC4" s="198"/>
      <c r="FSD4" s="198"/>
      <c r="FSE4" s="198"/>
      <c r="FSF4" s="198"/>
      <c r="FSG4" s="198"/>
      <c r="FSH4" s="198"/>
      <c r="FSI4" s="198"/>
      <c r="FSJ4" s="198"/>
      <c r="FSK4" s="198"/>
      <c r="FSL4" s="198"/>
      <c r="FSM4" s="198"/>
      <c r="FSN4" s="198"/>
      <c r="FSO4" s="198"/>
      <c r="FSP4" s="198"/>
      <c r="FSQ4" s="198"/>
      <c r="FSR4" s="198"/>
      <c r="FSS4" s="198"/>
      <c r="FST4" s="198"/>
      <c r="FSU4" s="198"/>
      <c r="FSV4" s="198"/>
      <c r="FSW4" s="198"/>
      <c r="FSX4" s="198"/>
      <c r="FSY4" s="198"/>
      <c r="FSZ4" s="198"/>
      <c r="FTA4" s="198"/>
      <c r="FTB4" s="198"/>
      <c r="FTC4" s="198"/>
      <c r="FTD4" s="198"/>
      <c r="FTE4" s="198"/>
      <c r="FTF4" s="198"/>
      <c r="FTG4" s="198"/>
      <c r="FTH4" s="198"/>
      <c r="FTI4" s="198"/>
      <c r="FTJ4" s="198"/>
      <c r="FTK4" s="198"/>
      <c r="FTL4" s="198"/>
      <c r="FTM4" s="198"/>
      <c r="FTN4" s="198"/>
      <c r="FTO4" s="198"/>
      <c r="FTP4" s="198"/>
      <c r="FTQ4" s="198"/>
      <c r="FTR4" s="198"/>
      <c r="FTS4" s="198"/>
      <c r="FTT4" s="198"/>
      <c r="FTU4" s="198"/>
      <c r="FTV4" s="198"/>
      <c r="FTW4" s="198"/>
      <c r="FTX4" s="198"/>
      <c r="FTY4" s="198"/>
      <c r="FTZ4" s="198"/>
      <c r="FUA4" s="198"/>
      <c r="FUB4" s="198"/>
      <c r="FUC4" s="198"/>
      <c r="FUD4" s="198"/>
      <c r="FUE4" s="198"/>
      <c r="FUF4" s="198"/>
      <c r="FUG4" s="198"/>
      <c r="FUH4" s="198"/>
      <c r="FUI4" s="198"/>
      <c r="FUJ4" s="198"/>
      <c r="FUK4" s="198"/>
      <c r="FUL4" s="198"/>
      <c r="FUM4" s="198"/>
      <c r="FUN4" s="198"/>
      <c r="FUO4" s="198"/>
      <c r="FUP4" s="198"/>
      <c r="FUQ4" s="198"/>
      <c r="FUR4" s="198"/>
      <c r="FUS4" s="198"/>
      <c r="FUT4" s="198"/>
      <c r="FUU4" s="198"/>
      <c r="FUV4" s="198"/>
      <c r="FUW4" s="198"/>
      <c r="FUX4" s="198"/>
      <c r="FUY4" s="198"/>
      <c r="FUZ4" s="198"/>
      <c r="FVA4" s="198"/>
      <c r="FVB4" s="198"/>
      <c r="FVC4" s="198"/>
      <c r="FVD4" s="198"/>
      <c r="FVE4" s="198"/>
      <c r="FVF4" s="198"/>
      <c r="FVG4" s="198"/>
      <c r="FVH4" s="198"/>
      <c r="FVI4" s="198"/>
      <c r="FVJ4" s="198"/>
      <c r="FVK4" s="198"/>
      <c r="FVL4" s="198"/>
      <c r="FVM4" s="198"/>
      <c r="FVN4" s="198"/>
      <c r="FVO4" s="198"/>
      <c r="FVP4" s="198"/>
      <c r="FVQ4" s="198"/>
      <c r="FVR4" s="198"/>
      <c r="FVS4" s="198"/>
      <c r="FVT4" s="198"/>
      <c r="FVU4" s="198"/>
      <c r="FVV4" s="198"/>
      <c r="FVW4" s="198"/>
      <c r="FVX4" s="198"/>
      <c r="FVY4" s="198"/>
      <c r="FVZ4" s="198"/>
      <c r="FWA4" s="198"/>
      <c r="FWB4" s="198"/>
      <c r="FWC4" s="198"/>
      <c r="FWD4" s="198"/>
      <c r="FWE4" s="198"/>
      <c r="FWF4" s="198"/>
      <c r="FWG4" s="198"/>
      <c r="FWH4" s="198"/>
      <c r="FWI4" s="198"/>
      <c r="FWJ4" s="198"/>
      <c r="FWK4" s="198"/>
      <c r="FWL4" s="198"/>
      <c r="FWM4" s="198"/>
      <c r="FWN4" s="198"/>
      <c r="FWO4" s="198"/>
      <c r="FWP4" s="198"/>
      <c r="FWQ4" s="198"/>
      <c r="FWR4" s="198"/>
      <c r="FWS4" s="198"/>
      <c r="FWT4" s="198"/>
      <c r="FWU4" s="198"/>
      <c r="FWV4" s="198"/>
      <c r="FWW4" s="198"/>
      <c r="FWX4" s="198"/>
      <c r="FWY4" s="198"/>
      <c r="FWZ4" s="198"/>
      <c r="FXA4" s="198"/>
      <c r="FXB4" s="198"/>
      <c r="FXC4" s="198"/>
      <c r="FXD4" s="198"/>
      <c r="FXE4" s="198"/>
      <c r="FXF4" s="198"/>
      <c r="FXG4" s="198"/>
      <c r="FXH4" s="198"/>
      <c r="FXI4" s="198"/>
      <c r="FXJ4" s="198"/>
      <c r="FXK4" s="198"/>
      <c r="FXL4" s="198"/>
      <c r="FXM4" s="198"/>
      <c r="FXN4" s="198"/>
      <c r="FXO4" s="198"/>
      <c r="FXP4" s="198"/>
      <c r="FXQ4" s="198"/>
      <c r="FXR4" s="198"/>
      <c r="FXS4" s="198"/>
      <c r="FXT4" s="198"/>
      <c r="FXU4" s="198"/>
      <c r="FXV4" s="198"/>
      <c r="FXW4" s="198"/>
      <c r="FXX4" s="198"/>
      <c r="FXY4" s="198"/>
      <c r="FXZ4" s="198"/>
      <c r="FYA4" s="198"/>
      <c r="FYB4" s="198"/>
      <c r="FYC4" s="198"/>
      <c r="FYD4" s="198"/>
      <c r="FYE4" s="198"/>
      <c r="FYF4" s="198"/>
      <c r="FYG4" s="198"/>
      <c r="FYH4" s="198"/>
      <c r="FYI4" s="198"/>
      <c r="FYJ4" s="198"/>
      <c r="FYK4" s="198"/>
      <c r="FYL4" s="198"/>
      <c r="FYM4" s="198"/>
      <c r="FYN4" s="198"/>
      <c r="FYO4" s="198"/>
      <c r="FYP4" s="198"/>
      <c r="FYQ4" s="198"/>
      <c r="FYR4" s="198"/>
      <c r="FYS4" s="198"/>
      <c r="FYT4" s="198"/>
      <c r="FYU4" s="198"/>
      <c r="FYV4" s="198"/>
      <c r="FYW4" s="198"/>
      <c r="FYX4" s="198"/>
      <c r="FYY4" s="198"/>
      <c r="FYZ4" s="198"/>
      <c r="FZA4" s="198"/>
      <c r="FZB4" s="198"/>
      <c r="FZC4" s="198"/>
      <c r="FZD4" s="198"/>
      <c r="FZE4" s="198"/>
      <c r="FZF4" s="198"/>
      <c r="FZG4" s="198"/>
      <c r="FZH4" s="198"/>
      <c r="FZI4" s="198"/>
      <c r="FZJ4" s="198"/>
      <c r="FZK4" s="198"/>
      <c r="FZL4" s="198"/>
      <c r="FZM4" s="198"/>
      <c r="FZN4" s="198"/>
      <c r="FZO4" s="198"/>
      <c r="FZP4" s="198"/>
      <c r="FZQ4" s="198"/>
      <c r="FZR4" s="198"/>
      <c r="FZS4" s="198"/>
      <c r="FZT4" s="198"/>
      <c r="FZU4" s="198"/>
      <c r="FZV4" s="198"/>
      <c r="FZW4" s="198"/>
      <c r="FZX4" s="198"/>
      <c r="FZY4" s="198"/>
      <c r="FZZ4" s="198"/>
      <c r="GAA4" s="198"/>
      <c r="GAB4" s="198"/>
      <c r="GAC4" s="198"/>
      <c r="GAD4" s="198"/>
      <c r="GAE4" s="198"/>
      <c r="GAF4" s="198"/>
      <c r="GAG4" s="198"/>
      <c r="GAH4" s="198"/>
      <c r="GAI4" s="198"/>
      <c r="GAJ4" s="198"/>
      <c r="GAK4" s="198"/>
      <c r="GAL4" s="198"/>
      <c r="GAM4" s="198"/>
      <c r="GAN4" s="198"/>
      <c r="GAO4" s="198"/>
      <c r="GAP4" s="198"/>
      <c r="GAQ4" s="198"/>
      <c r="GAR4" s="198"/>
      <c r="GAS4" s="198"/>
      <c r="GAT4" s="198"/>
      <c r="GAU4" s="198"/>
      <c r="GAV4" s="198"/>
      <c r="GAW4" s="198"/>
      <c r="GAX4" s="198"/>
      <c r="GAY4" s="198"/>
      <c r="GAZ4" s="198"/>
      <c r="GBA4" s="198"/>
      <c r="GBB4" s="198"/>
      <c r="GBC4" s="198"/>
      <c r="GBD4" s="198"/>
      <c r="GBE4" s="198"/>
      <c r="GBF4" s="198"/>
      <c r="GBG4" s="198"/>
      <c r="GBH4" s="198"/>
      <c r="GBI4" s="198"/>
      <c r="GBJ4" s="198"/>
      <c r="GBK4" s="198"/>
      <c r="GBL4" s="198"/>
      <c r="GBM4" s="198"/>
      <c r="GBN4" s="198"/>
      <c r="GBO4" s="198"/>
      <c r="GBP4" s="198"/>
      <c r="GBQ4" s="198"/>
      <c r="GBR4" s="198"/>
      <c r="GBS4" s="198"/>
      <c r="GBT4" s="198"/>
      <c r="GBU4" s="198"/>
      <c r="GBV4" s="198"/>
      <c r="GBW4" s="198"/>
      <c r="GBX4" s="198"/>
      <c r="GBY4" s="198"/>
      <c r="GBZ4" s="198"/>
      <c r="GCA4" s="198"/>
      <c r="GCB4" s="198"/>
      <c r="GCC4" s="198"/>
      <c r="GCD4" s="198"/>
      <c r="GCE4" s="198"/>
      <c r="GCF4" s="198"/>
      <c r="GCG4" s="198"/>
      <c r="GCH4" s="198"/>
      <c r="GCI4" s="198"/>
      <c r="GCJ4" s="198"/>
      <c r="GCK4" s="198"/>
      <c r="GCL4" s="198"/>
      <c r="GCM4" s="198"/>
      <c r="GCN4" s="198"/>
      <c r="GCO4" s="198"/>
      <c r="GCP4" s="198"/>
      <c r="GCQ4" s="198"/>
      <c r="GCR4" s="198"/>
      <c r="GCS4" s="198"/>
      <c r="GCT4" s="198"/>
      <c r="GCU4" s="198"/>
      <c r="GCV4" s="198"/>
      <c r="GCW4" s="198"/>
      <c r="GCX4" s="198"/>
      <c r="GCY4" s="198"/>
      <c r="GCZ4" s="198"/>
      <c r="GDA4" s="198"/>
      <c r="GDB4" s="198"/>
      <c r="GDC4" s="198"/>
      <c r="GDD4" s="198"/>
      <c r="GDE4" s="198"/>
      <c r="GDF4" s="198"/>
      <c r="GDG4" s="198"/>
      <c r="GDH4" s="198"/>
      <c r="GDI4" s="198"/>
      <c r="GDJ4" s="198"/>
      <c r="GDK4" s="198"/>
      <c r="GDL4" s="198"/>
      <c r="GDM4" s="198"/>
      <c r="GDN4" s="198"/>
      <c r="GDO4" s="198"/>
      <c r="GDP4" s="198"/>
      <c r="GDQ4" s="198"/>
      <c r="GDR4" s="198"/>
      <c r="GDS4" s="198"/>
      <c r="GDT4" s="198"/>
      <c r="GDU4" s="198"/>
      <c r="GDV4" s="198"/>
      <c r="GDW4" s="198"/>
      <c r="GDX4" s="198"/>
      <c r="GDY4" s="198"/>
      <c r="GDZ4" s="198"/>
      <c r="GEA4" s="198"/>
      <c r="GEB4" s="198"/>
      <c r="GEC4" s="198"/>
      <c r="GED4" s="198"/>
      <c r="GEE4" s="198"/>
      <c r="GEF4" s="198"/>
      <c r="GEG4" s="198"/>
      <c r="GEH4" s="198"/>
      <c r="GEI4" s="198"/>
      <c r="GEJ4" s="198"/>
      <c r="GEK4" s="198"/>
      <c r="GEL4" s="198"/>
      <c r="GEM4" s="198"/>
      <c r="GEN4" s="198"/>
      <c r="GEO4" s="198"/>
      <c r="GEP4" s="198"/>
      <c r="GEQ4" s="198"/>
      <c r="GER4" s="198"/>
      <c r="GES4" s="198"/>
      <c r="GET4" s="198"/>
      <c r="GEU4" s="198"/>
      <c r="GEV4" s="198"/>
      <c r="GEW4" s="198"/>
      <c r="GEX4" s="198"/>
      <c r="GEY4" s="198"/>
      <c r="GEZ4" s="198"/>
      <c r="GFA4" s="198"/>
      <c r="GFB4" s="198"/>
      <c r="GFC4" s="198"/>
      <c r="GFD4" s="198"/>
      <c r="GFE4" s="198"/>
      <c r="GFF4" s="198"/>
      <c r="GFG4" s="198"/>
      <c r="GFH4" s="198"/>
      <c r="GFI4" s="198"/>
      <c r="GFJ4" s="198"/>
      <c r="GFK4" s="198"/>
      <c r="GFL4" s="198"/>
      <c r="GFM4" s="198"/>
      <c r="GFN4" s="198"/>
      <c r="GFO4" s="198"/>
      <c r="GFP4" s="198"/>
      <c r="GFQ4" s="198"/>
      <c r="GFR4" s="198"/>
      <c r="GFS4" s="198"/>
      <c r="GFT4" s="198"/>
      <c r="GFU4" s="198"/>
      <c r="GFV4" s="198"/>
      <c r="GFW4" s="198"/>
      <c r="GFX4" s="198"/>
      <c r="GFY4" s="198"/>
      <c r="GFZ4" s="198"/>
      <c r="GGA4" s="198"/>
      <c r="GGB4" s="198"/>
      <c r="GGC4" s="198"/>
      <c r="GGD4" s="198"/>
      <c r="GGE4" s="198"/>
      <c r="GGF4" s="198"/>
      <c r="GGG4" s="198"/>
      <c r="GGH4" s="198"/>
      <c r="GGI4" s="198"/>
      <c r="GGJ4" s="198"/>
      <c r="GGK4" s="198"/>
      <c r="GGL4" s="198"/>
      <c r="GGM4" s="198"/>
      <c r="GGN4" s="198"/>
      <c r="GGO4" s="198"/>
      <c r="GGP4" s="198"/>
      <c r="GGQ4" s="198"/>
      <c r="GGR4" s="198"/>
      <c r="GGS4" s="198"/>
      <c r="GGT4" s="198"/>
      <c r="GGU4" s="198"/>
      <c r="GGV4" s="198"/>
      <c r="GGW4" s="198"/>
      <c r="GGX4" s="198"/>
      <c r="GGY4" s="198"/>
      <c r="GGZ4" s="198"/>
      <c r="GHA4" s="198"/>
      <c r="GHB4" s="198"/>
      <c r="GHC4" s="198"/>
      <c r="GHD4" s="198"/>
      <c r="GHE4" s="198"/>
      <c r="GHF4" s="198"/>
      <c r="GHG4" s="198"/>
      <c r="GHH4" s="198"/>
      <c r="GHI4" s="198"/>
      <c r="GHJ4" s="198"/>
      <c r="GHK4" s="198"/>
      <c r="GHL4" s="198"/>
      <c r="GHM4" s="198"/>
      <c r="GHN4" s="198"/>
      <c r="GHO4" s="198"/>
      <c r="GHP4" s="198"/>
      <c r="GHQ4" s="198"/>
      <c r="GHR4" s="198"/>
      <c r="GHS4" s="198"/>
      <c r="GHT4" s="198"/>
      <c r="GHU4" s="198"/>
      <c r="GHV4" s="198"/>
      <c r="GHW4" s="198"/>
      <c r="GHX4" s="198"/>
      <c r="GHY4" s="198"/>
      <c r="GHZ4" s="198"/>
      <c r="GIA4" s="198"/>
      <c r="GIB4" s="198"/>
      <c r="GIC4" s="198"/>
      <c r="GID4" s="198"/>
      <c r="GIE4" s="198"/>
      <c r="GIF4" s="198"/>
      <c r="GIG4" s="198"/>
      <c r="GIH4" s="198"/>
      <c r="GII4" s="198"/>
      <c r="GIJ4" s="198"/>
      <c r="GIK4" s="198"/>
      <c r="GIL4" s="198"/>
      <c r="GIM4" s="198"/>
      <c r="GIN4" s="198"/>
      <c r="GIO4" s="198"/>
      <c r="GIP4" s="198"/>
      <c r="GIQ4" s="198"/>
      <c r="GIR4" s="198"/>
      <c r="GIS4" s="198"/>
      <c r="GIT4" s="198"/>
      <c r="GIU4" s="198"/>
      <c r="GIV4" s="198"/>
      <c r="GIW4" s="198"/>
      <c r="GIX4" s="198"/>
      <c r="GIY4" s="198"/>
      <c r="GIZ4" s="198"/>
      <c r="GJA4" s="198"/>
      <c r="GJB4" s="198"/>
      <c r="GJC4" s="198"/>
      <c r="GJD4" s="198"/>
      <c r="GJE4" s="198"/>
      <c r="GJF4" s="198"/>
      <c r="GJG4" s="198"/>
      <c r="GJH4" s="198"/>
      <c r="GJI4" s="198"/>
      <c r="GJJ4" s="198"/>
      <c r="GJK4" s="198"/>
      <c r="GJL4" s="198"/>
      <c r="GJM4" s="198"/>
      <c r="GJN4" s="198"/>
      <c r="GJO4" s="198"/>
      <c r="GJP4" s="198"/>
      <c r="GJQ4" s="198"/>
      <c r="GJR4" s="198"/>
      <c r="GJS4" s="198"/>
      <c r="GJT4" s="198"/>
      <c r="GJU4" s="198"/>
      <c r="GJV4" s="198"/>
      <c r="GJW4" s="198"/>
      <c r="GJX4" s="198"/>
      <c r="GJY4" s="198"/>
      <c r="GJZ4" s="198"/>
      <c r="GKA4" s="198"/>
      <c r="GKB4" s="198"/>
      <c r="GKC4" s="198"/>
      <c r="GKD4" s="198"/>
      <c r="GKE4" s="198"/>
      <c r="GKF4" s="198"/>
      <c r="GKG4" s="198"/>
      <c r="GKH4" s="198"/>
      <c r="GKI4" s="198"/>
      <c r="GKJ4" s="198"/>
      <c r="GKK4" s="198"/>
      <c r="GKL4" s="198"/>
      <c r="GKM4" s="198"/>
      <c r="GKN4" s="198"/>
      <c r="GKO4" s="198"/>
      <c r="GKP4" s="198"/>
      <c r="GKQ4" s="198"/>
      <c r="GKR4" s="198"/>
      <c r="GKS4" s="198"/>
      <c r="GKT4" s="198"/>
      <c r="GKU4" s="198"/>
      <c r="GKV4" s="198"/>
      <c r="GKW4" s="198"/>
      <c r="GKX4" s="198"/>
      <c r="GKY4" s="198"/>
      <c r="GKZ4" s="198"/>
      <c r="GLA4" s="198"/>
      <c r="GLB4" s="198"/>
      <c r="GLC4" s="198"/>
      <c r="GLD4" s="198"/>
      <c r="GLE4" s="198"/>
      <c r="GLF4" s="198"/>
      <c r="GLG4" s="198"/>
      <c r="GLH4" s="198"/>
      <c r="GLI4" s="198"/>
      <c r="GLJ4" s="198"/>
      <c r="GLK4" s="198"/>
      <c r="GLL4" s="198"/>
      <c r="GLM4" s="198"/>
      <c r="GLN4" s="198"/>
      <c r="GLO4" s="198"/>
      <c r="GLP4" s="198"/>
      <c r="GLQ4" s="198"/>
      <c r="GLR4" s="198"/>
      <c r="GLS4" s="198"/>
      <c r="GLT4" s="198"/>
      <c r="GLU4" s="198"/>
      <c r="GLV4" s="198"/>
      <c r="GLW4" s="198"/>
      <c r="GLX4" s="198"/>
      <c r="GLY4" s="198"/>
      <c r="GLZ4" s="198"/>
      <c r="GMA4" s="198"/>
      <c r="GMB4" s="198"/>
      <c r="GMC4" s="198"/>
      <c r="GMD4" s="198"/>
      <c r="GME4" s="198"/>
      <c r="GMF4" s="198"/>
      <c r="GMG4" s="198"/>
      <c r="GMH4" s="198"/>
      <c r="GMI4" s="198"/>
      <c r="GMJ4" s="198"/>
      <c r="GMK4" s="198"/>
      <c r="GML4" s="198"/>
      <c r="GMM4" s="198"/>
      <c r="GMN4" s="198"/>
      <c r="GMO4" s="198"/>
      <c r="GMP4" s="198"/>
      <c r="GMQ4" s="198"/>
      <c r="GMR4" s="198"/>
      <c r="GMS4" s="198"/>
      <c r="GMT4" s="198"/>
      <c r="GMU4" s="198"/>
      <c r="GMV4" s="198"/>
      <c r="GMW4" s="198"/>
      <c r="GMX4" s="198"/>
      <c r="GMY4" s="198"/>
      <c r="GMZ4" s="198"/>
      <c r="GNA4" s="198"/>
      <c r="GNB4" s="198"/>
      <c r="GNC4" s="198"/>
      <c r="GND4" s="198"/>
      <c r="GNE4" s="198"/>
      <c r="GNF4" s="198"/>
      <c r="GNG4" s="198"/>
      <c r="GNH4" s="198"/>
      <c r="GNI4" s="198"/>
      <c r="GNJ4" s="198"/>
      <c r="GNK4" s="198"/>
      <c r="GNL4" s="198"/>
      <c r="GNM4" s="198"/>
      <c r="GNN4" s="198"/>
      <c r="GNO4" s="198"/>
      <c r="GNP4" s="198"/>
      <c r="GNQ4" s="198"/>
      <c r="GNR4" s="198"/>
      <c r="GNS4" s="198"/>
      <c r="GNT4" s="198"/>
      <c r="GNU4" s="198"/>
      <c r="GNV4" s="198"/>
      <c r="GNW4" s="198"/>
      <c r="GNX4" s="198"/>
      <c r="GNY4" s="198"/>
      <c r="GNZ4" s="198"/>
      <c r="GOA4" s="198"/>
      <c r="GOB4" s="198"/>
      <c r="GOC4" s="198"/>
      <c r="GOD4" s="198"/>
      <c r="GOE4" s="198"/>
      <c r="GOF4" s="198"/>
      <c r="GOG4" s="198"/>
      <c r="GOH4" s="198"/>
      <c r="GOI4" s="198"/>
      <c r="GOJ4" s="198"/>
      <c r="GOK4" s="198"/>
      <c r="GOL4" s="198"/>
      <c r="GOM4" s="198"/>
      <c r="GON4" s="198"/>
      <c r="GOO4" s="198"/>
      <c r="GOP4" s="198"/>
      <c r="GOQ4" s="198"/>
      <c r="GOR4" s="198"/>
      <c r="GOS4" s="198"/>
      <c r="GOT4" s="198"/>
      <c r="GOU4" s="198"/>
      <c r="GOV4" s="198"/>
      <c r="GOW4" s="198"/>
      <c r="GOX4" s="198"/>
      <c r="GOY4" s="198"/>
      <c r="GOZ4" s="198"/>
      <c r="GPA4" s="198"/>
      <c r="GPB4" s="198"/>
      <c r="GPC4" s="198"/>
      <c r="GPD4" s="198"/>
      <c r="GPE4" s="198"/>
      <c r="GPF4" s="198"/>
      <c r="GPG4" s="198"/>
      <c r="GPH4" s="198"/>
      <c r="GPI4" s="198"/>
      <c r="GPJ4" s="198"/>
      <c r="GPK4" s="198"/>
      <c r="GPL4" s="198"/>
      <c r="GPM4" s="198"/>
      <c r="GPN4" s="198"/>
      <c r="GPO4" s="198"/>
      <c r="GPP4" s="198"/>
      <c r="GPQ4" s="198"/>
      <c r="GPR4" s="198"/>
      <c r="GPS4" s="198"/>
      <c r="GPT4" s="198"/>
      <c r="GPU4" s="198"/>
      <c r="GPV4" s="198"/>
      <c r="GPW4" s="198"/>
      <c r="GPX4" s="198"/>
      <c r="GPY4" s="198"/>
      <c r="GPZ4" s="198"/>
      <c r="GQA4" s="198"/>
      <c r="GQB4" s="198"/>
      <c r="GQC4" s="198"/>
      <c r="GQD4" s="198"/>
      <c r="GQE4" s="198"/>
      <c r="GQF4" s="198"/>
      <c r="GQG4" s="198"/>
      <c r="GQH4" s="198"/>
      <c r="GQI4" s="198"/>
      <c r="GQJ4" s="198"/>
      <c r="GQK4" s="198"/>
      <c r="GQL4" s="198"/>
      <c r="GQM4" s="198"/>
      <c r="GQN4" s="198"/>
      <c r="GQO4" s="198"/>
      <c r="GQP4" s="198"/>
      <c r="GQQ4" s="198"/>
      <c r="GQR4" s="198"/>
      <c r="GQS4" s="198"/>
      <c r="GQT4" s="198"/>
      <c r="GQU4" s="198"/>
      <c r="GQV4" s="198"/>
      <c r="GQW4" s="198"/>
      <c r="GQX4" s="198"/>
      <c r="GQY4" s="198"/>
      <c r="GQZ4" s="198"/>
      <c r="GRA4" s="198"/>
      <c r="GRB4" s="198"/>
      <c r="GRC4" s="198"/>
      <c r="GRD4" s="198"/>
      <c r="GRE4" s="198"/>
      <c r="GRF4" s="198"/>
      <c r="GRG4" s="198"/>
      <c r="GRH4" s="198"/>
      <c r="GRI4" s="198"/>
      <c r="GRJ4" s="198"/>
      <c r="GRK4" s="198"/>
      <c r="GRL4" s="198"/>
      <c r="GRM4" s="198"/>
      <c r="GRN4" s="198"/>
      <c r="GRO4" s="198"/>
      <c r="GRP4" s="198"/>
      <c r="GRQ4" s="198"/>
      <c r="GRR4" s="198"/>
      <c r="GRS4" s="198"/>
      <c r="GRT4" s="198"/>
      <c r="GRU4" s="198"/>
      <c r="GRV4" s="198"/>
      <c r="GRW4" s="198"/>
      <c r="GRX4" s="198"/>
      <c r="GRY4" s="198"/>
      <c r="GRZ4" s="198"/>
      <c r="GSA4" s="198"/>
      <c r="GSB4" s="198"/>
      <c r="GSC4" s="198"/>
      <c r="GSD4" s="198"/>
      <c r="GSE4" s="198"/>
      <c r="GSF4" s="198"/>
      <c r="GSG4" s="198"/>
      <c r="GSH4" s="198"/>
      <c r="GSI4" s="198"/>
      <c r="GSJ4" s="198"/>
      <c r="GSK4" s="198"/>
      <c r="GSL4" s="198"/>
      <c r="GSM4" s="198"/>
      <c r="GSN4" s="198"/>
      <c r="GSO4" s="198"/>
      <c r="GSP4" s="198"/>
      <c r="GSQ4" s="198"/>
      <c r="GSR4" s="198"/>
      <c r="GSS4" s="198"/>
      <c r="GST4" s="198"/>
      <c r="GSU4" s="198"/>
      <c r="GSV4" s="198"/>
      <c r="GSW4" s="198"/>
      <c r="GSX4" s="198"/>
      <c r="GSY4" s="198"/>
      <c r="GSZ4" s="198"/>
      <c r="GTA4" s="198"/>
      <c r="GTB4" s="198"/>
      <c r="GTC4" s="198"/>
      <c r="GTD4" s="198"/>
      <c r="GTE4" s="198"/>
      <c r="GTF4" s="198"/>
      <c r="GTG4" s="198"/>
      <c r="GTH4" s="198"/>
      <c r="GTI4" s="198"/>
      <c r="GTJ4" s="198"/>
      <c r="GTK4" s="198"/>
      <c r="GTL4" s="198"/>
      <c r="GTM4" s="198"/>
      <c r="GTN4" s="198"/>
      <c r="GTO4" s="198"/>
      <c r="GTP4" s="198"/>
      <c r="GTQ4" s="198"/>
      <c r="GTR4" s="198"/>
      <c r="GTS4" s="198"/>
      <c r="GTT4" s="198"/>
      <c r="GTU4" s="198"/>
      <c r="GTV4" s="198"/>
      <c r="GTW4" s="198"/>
      <c r="GTX4" s="198"/>
      <c r="GTY4" s="198"/>
      <c r="GTZ4" s="198"/>
      <c r="GUA4" s="198"/>
      <c r="GUB4" s="198"/>
      <c r="GUC4" s="198"/>
      <c r="GUD4" s="198"/>
      <c r="GUE4" s="198"/>
      <c r="GUF4" s="198"/>
      <c r="GUG4" s="198"/>
      <c r="GUH4" s="198"/>
      <c r="GUI4" s="198"/>
      <c r="GUJ4" s="198"/>
      <c r="GUK4" s="198"/>
      <c r="GUL4" s="198"/>
      <c r="GUM4" s="198"/>
      <c r="GUN4" s="198"/>
      <c r="GUO4" s="198"/>
      <c r="GUP4" s="198"/>
      <c r="GUQ4" s="198"/>
      <c r="GUR4" s="198"/>
      <c r="GUS4" s="198"/>
      <c r="GUT4" s="198"/>
      <c r="GUU4" s="198"/>
      <c r="GUV4" s="198"/>
      <c r="GUW4" s="198"/>
      <c r="GUX4" s="198"/>
      <c r="GUY4" s="198"/>
      <c r="GUZ4" s="198"/>
      <c r="GVA4" s="198"/>
      <c r="GVB4" s="198"/>
      <c r="GVC4" s="198"/>
      <c r="GVD4" s="198"/>
      <c r="GVE4" s="198"/>
      <c r="GVF4" s="198"/>
      <c r="GVG4" s="198"/>
      <c r="GVH4" s="198"/>
      <c r="GVI4" s="198"/>
      <c r="GVJ4" s="198"/>
      <c r="GVK4" s="198"/>
      <c r="GVL4" s="198"/>
      <c r="GVM4" s="198"/>
      <c r="GVN4" s="198"/>
      <c r="GVO4" s="198"/>
      <c r="GVP4" s="198"/>
      <c r="GVQ4" s="198"/>
      <c r="GVR4" s="198"/>
      <c r="GVS4" s="198"/>
      <c r="GVT4" s="198"/>
      <c r="GVU4" s="198"/>
      <c r="GVV4" s="198"/>
      <c r="GVW4" s="198"/>
      <c r="GVX4" s="198"/>
      <c r="GVY4" s="198"/>
      <c r="GVZ4" s="198"/>
      <c r="GWA4" s="198"/>
      <c r="GWB4" s="198"/>
      <c r="GWC4" s="198"/>
      <c r="GWD4" s="198"/>
      <c r="GWE4" s="198"/>
      <c r="GWF4" s="198"/>
      <c r="GWG4" s="198"/>
      <c r="GWH4" s="198"/>
      <c r="GWI4" s="198"/>
      <c r="GWJ4" s="198"/>
      <c r="GWK4" s="198"/>
      <c r="GWL4" s="198"/>
      <c r="GWM4" s="198"/>
      <c r="GWN4" s="198"/>
      <c r="GWO4" s="198"/>
      <c r="GWP4" s="198"/>
      <c r="GWQ4" s="198"/>
      <c r="GWR4" s="198"/>
      <c r="GWS4" s="198"/>
      <c r="GWT4" s="198"/>
      <c r="GWU4" s="198"/>
      <c r="GWV4" s="198"/>
      <c r="GWW4" s="198"/>
      <c r="GWX4" s="198"/>
      <c r="GWY4" s="198"/>
      <c r="GWZ4" s="198"/>
      <c r="GXA4" s="198"/>
      <c r="GXB4" s="198"/>
      <c r="GXC4" s="198"/>
      <c r="GXD4" s="198"/>
      <c r="GXE4" s="198"/>
      <c r="GXF4" s="198"/>
      <c r="GXG4" s="198"/>
      <c r="GXH4" s="198"/>
      <c r="GXI4" s="198"/>
      <c r="GXJ4" s="198"/>
      <c r="GXK4" s="198"/>
      <c r="GXL4" s="198"/>
      <c r="GXM4" s="198"/>
      <c r="GXN4" s="198"/>
      <c r="GXO4" s="198"/>
      <c r="GXP4" s="198"/>
      <c r="GXQ4" s="198"/>
      <c r="GXR4" s="198"/>
      <c r="GXS4" s="198"/>
      <c r="GXT4" s="198"/>
      <c r="GXU4" s="198"/>
      <c r="GXV4" s="198"/>
      <c r="GXW4" s="198"/>
      <c r="GXX4" s="198"/>
      <c r="GXY4" s="198"/>
      <c r="GXZ4" s="198"/>
      <c r="GYA4" s="198"/>
      <c r="GYB4" s="198"/>
      <c r="GYC4" s="198"/>
      <c r="GYD4" s="198"/>
      <c r="GYE4" s="198"/>
      <c r="GYF4" s="198"/>
      <c r="GYG4" s="198"/>
      <c r="GYH4" s="198"/>
      <c r="GYI4" s="198"/>
      <c r="GYJ4" s="198"/>
      <c r="GYK4" s="198"/>
      <c r="GYL4" s="198"/>
      <c r="GYM4" s="198"/>
      <c r="GYN4" s="198"/>
      <c r="GYO4" s="198"/>
      <c r="GYP4" s="198"/>
      <c r="GYQ4" s="198"/>
      <c r="GYR4" s="198"/>
      <c r="GYS4" s="198"/>
      <c r="GYT4" s="198"/>
      <c r="GYU4" s="198"/>
      <c r="GYV4" s="198"/>
      <c r="GYW4" s="198"/>
      <c r="GYX4" s="198"/>
      <c r="GYY4" s="198"/>
      <c r="GYZ4" s="198"/>
      <c r="GZA4" s="198"/>
      <c r="GZB4" s="198"/>
      <c r="GZC4" s="198"/>
      <c r="GZD4" s="198"/>
      <c r="GZE4" s="198"/>
      <c r="GZF4" s="198"/>
      <c r="GZG4" s="198"/>
      <c r="GZH4" s="198"/>
      <c r="GZI4" s="198"/>
      <c r="GZJ4" s="198"/>
      <c r="GZK4" s="198"/>
      <c r="GZL4" s="198"/>
      <c r="GZM4" s="198"/>
      <c r="GZN4" s="198"/>
      <c r="GZO4" s="198"/>
      <c r="GZP4" s="198"/>
      <c r="GZQ4" s="198"/>
      <c r="GZR4" s="198"/>
      <c r="GZS4" s="198"/>
      <c r="GZT4" s="198"/>
      <c r="GZU4" s="198"/>
      <c r="GZV4" s="198"/>
      <c r="GZW4" s="198"/>
      <c r="GZX4" s="198"/>
      <c r="GZY4" s="198"/>
      <c r="GZZ4" s="198"/>
      <c r="HAA4" s="198"/>
      <c r="HAB4" s="198"/>
      <c r="HAC4" s="198"/>
      <c r="HAD4" s="198"/>
      <c r="HAE4" s="198"/>
      <c r="HAF4" s="198"/>
      <c r="HAG4" s="198"/>
      <c r="HAH4" s="198"/>
      <c r="HAI4" s="198"/>
      <c r="HAJ4" s="198"/>
      <c r="HAK4" s="198"/>
      <c r="HAL4" s="198"/>
      <c r="HAM4" s="198"/>
      <c r="HAN4" s="198"/>
      <c r="HAO4" s="198"/>
      <c r="HAP4" s="198"/>
      <c r="HAQ4" s="198"/>
      <c r="HAR4" s="198"/>
      <c r="HAS4" s="198"/>
      <c r="HAT4" s="198"/>
      <c r="HAU4" s="198"/>
      <c r="HAV4" s="198"/>
      <c r="HAW4" s="198"/>
      <c r="HAX4" s="198"/>
      <c r="HAY4" s="198"/>
      <c r="HAZ4" s="198"/>
      <c r="HBA4" s="198"/>
      <c r="HBB4" s="198"/>
      <c r="HBC4" s="198"/>
      <c r="HBD4" s="198"/>
      <c r="HBE4" s="198"/>
      <c r="HBF4" s="198"/>
      <c r="HBG4" s="198"/>
      <c r="HBH4" s="198"/>
      <c r="HBI4" s="198"/>
      <c r="HBJ4" s="198"/>
      <c r="HBK4" s="198"/>
      <c r="HBL4" s="198"/>
      <c r="HBM4" s="198"/>
      <c r="HBN4" s="198"/>
      <c r="HBO4" s="198"/>
      <c r="HBP4" s="198"/>
      <c r="HBQ4" s="198"/>
      <c r="HBR4" s="198"/>
      <c r="HBS4" s="198"/>
      <c r="HBT4" s="198"/>
      <c r="HBU4" s="198"/>
      <c r="HBV4" s="198"/>
      <c r="HBW4" s="198"/>
      <c r="HBX4" s="198"/>
      <c r="HBY4" s="198"/>
      <c r="HBZ4" s="198"/>
      <c r="HCA4" s="198"/>
      <c r="HCB4" s="198"/>
      <c r="HCC4" s="198"/>
      <c r="HCD4" s="198"/>
      <c r="HCE4" s="198"/>
      <c r="HCF4" s="198"/>
      <c r="HCG4" s="198"/>
      <c r="HCH4" s="198"/>
      <c r="HCI4" s="198"/>
      <c r="HCJ4" s="198"/>
      <c r="HCK4" s="198"/>
      <c r="HCL4" s="198"/>
      <c r="HCM4" s="198"/>
      <c r="HCN4" s="198"/>
      <c r="HCO4" s="198"/>
      <c r="HCP4" s="198"/>
      <c r="HCQ4" s="198"/>
      <c r="HCR4" s="198"/>
      <c r="HCS4" s="198"/>
      <c r="HCT4" s="198"/>
      <c r="HCU4" s="198"/>
      <c r="HCV4" s="198"/>
      <c r="HCW4" s="198"/>
      <c r="HCX4" s="198"/>
      <c r="HCY4" s="198"/>
      <c r="HCZ4" s="198"/>
      <c r="HDA4" s="198"/>
      <c r="HDB4" s="198"/>
      <c r="HDC4" s="198"/>
      <c r="HDD4" s="198"/>
      <c r="HDE4" s="198"/>
      <c r="HDF4" s="198"/>
      <c r="HDG4" s="198"/>
      <c r="HDH4" s="198"/>
      <c r="HDI4" s="198"/>
      <c r="HDJ4" s="198"/>
      <c r="HDK4" s="198"/>
      <c r="HDL4" s="198"/>
      <c r="HDM4" s="198"/>
      <c r="HDN4" s="198"/>
      <c r="HDO4" s="198"/>
      <c r="HDP4" s="198"/>
      <c r="HDQ4" s="198"/>
      <c r="HDR4" s="198"/>
      <c r="HDS4" s="198"/>
      <c r="HDT4" s="198"/>
      <c r="HDU4" s="198"/>
      <c r="HDV4" s="198"/>
      <c r="HDW4" s="198"/>
      <c r="HDX4" s="198"/>
      <c r="HDY4" s="198"/>
      <c r="HDZ4" s="198"/>
      <c r="HEA4" s="198"/>
      <c r="HEB4" s="198"/>
      <c r="HEC4" s="198"/>
      <c r="HED4" s="198"/>
      <c r="HEE4" s="198"/>
      <c r="HEF4" s="198"/>
      <c r="HEG4" s="198"/>
      <c r="HEH4" s="198"/>
      <c r="HEI4" s="198"/>
      <c r="HEJ4" s="198"/>
      <c r="HEK4" s="198"/>
      <c r="HEL4" s="198"/>
      <c r="HEM4" s="198"/>
      <c r="HEN4" s="198"/>
      <c r="HEO4" s="198"/>
      <c r="HEP4" s="198"/>
      <c r="HEQ4" s="198"/>
      <c r="HER4" s="198"/>
      <c r="HES4" s="198"/>
      <c r="HET4" s="198"/>
      <c r="HEU4" s="198"/>
      <c r="HEV4" s="198"/>
      <c r="HEW4" s="198"/>
      <c r="HEX4" s="198"/>
      <c r="HEY4" s="198"/>
      <c r="HEZ4" s="198"/>
      <c r="HFA4" s="198"/>
      <c r="HFB4" s="198"/>
      <c r="HFC4" s="198"/>
      <c r="HFD4" s="198"/>
      <c r="HFE4" s="198"/>
      <c r="HFF4" s="198"/>
      <c r="HFG4" s="198"/>
      <c r="HFH4" s="198"/>
      <c r="HFI4" s="198"/>
      <c r="HFJ4" s="198"/>
      <c r="HFK4" s="198"/>
      <c r="HFL4" s="198"/>
      <c r="HFM4" s="198"/>
      <c r="HFN4" s="198"/>
      <c r="HFO4" s="198"/>
      <c r="HFP4" s="198"/>
      <c r="HFQ4" s="198"/>
      <c r="HFR4" s="198"/>
      <c r="HFS4" s="198"/>
      <c r="HFT4" s="198"/>
      <c r="HFU4" s="198"/>
      <c r="HFV4" s="198"/>
      <c r="HFW4" s="198"/>
      <c r="HFX4" s="198"/>
      <c r="HFY4" s="198"/>
      <c r="HFZ4" s="198"/>
      <c r="HGA4" s="198"/>
      <c r="HGB4" s="198"/>
      <c r="HGC4" s="198"/>
      <c r="HGD4" s="198"/>
      <c r="HGE4" s="198"/>
      <c r="HGF4" s="198"/>
      <c r="HGG4" s="198"/>
      <c r="HGH4" s="198"/>
      <c r="HGI4" s="198"/>
      <c r="HGJ4" s="198"/>
      <c r="HGK4" s="198"/>
      <c r="HGL4" s="198"/>
      <c r="HGM4" s="198"/>
      <c r="HGN4" s="198"/>
      <c r="HGO4" s="198"/>
      <c r="HGP4" s="198"/>
      <c r="HGQ4" s="198"/>
      <c r="HGR4" s="198"/>
      <c r="HGS4" s="198"/>
      <c r="HGT4" s="198"/>
      <c r="HGU4" s="198"/>
      <c r="HGV4" s="198"/>
      <c r="HGW4" s="198"/>
      <c r="HGX4" s="198"/>
      <c r="HGY4" s="198"/>
      <c r="HGZ4" s="198"/>
      <c r="HHA4" s="198"/>
      <c r="HHB4" s="198"/>
      <c r="HHC4" s="198"/>
      <c r="HHD4" s="198"/>
      <c r="HHE4" s="198"/>
      <c r="HHF4" s="198"/>
      <c r="HHG4" s="198"/>
      <c r="HHH4" s="198"/>
      <c r="HHI4" s="198"/>
      <c r="HHJ4" s="198"/>
      <c r="HHK4" s="198"/>
      <c r="HHL4" s="198"/>
      <c r="HHM4" s="198"/>
      <c r="HHN4" s="198"/>
      <c r="HHO4" s="198"/>
      <c r="HHP4" s="198"/>
      <c r="HHQ4" s="198"/>
      <c r="HHR4" s="198"/>
      <c r="HHS4" s="198"/>
      <c r="HHT4" s="198"/>
      <c r="HHU4" s="198"/>
      <c r="HHV4" s="198"/>
      <c r="HHW4" s="198"/>
      <c r="HHX4" s="198"/>
      <c r="HHY4" s="198"/>
      <c r="HHZ4" s="198"/>
      <c r="HIA4" s="198"/>
      <c r="HIB4" s="198"/>
      <c r="HIC4" s="198"/>
      <c r="HID4" s="198"/>
      <c r="HIE4" s="198"/>
      <c r="HIF4" s="198"/>
      <c r="HIG4" s="198"/>
      <c r="HIH4" s="198"/>
      <c r="HII4" s="198"/>
      <c r="HIJ4" s="198"/>
      <c r="HIK4" s="198"/>
      <c r="HIL4" s="198"/>
      <c r="HIM4" s="198"/>
      <c r="HIN4" s="198"/>
      <c r="HIO4" s="198"/>
      <c r="HIP4" s="198"/>
      <c r="HIQ4" s="198"/>
      <c r="HIR4" s="198"/>
      <c r="HIS4" s="198"/>
      <c r="HIT4" s="198"/>
      <c r="HIU4" s="198"/>
      <c r="HIV4" s="198"/>
      <c r="HIW4" s="198"/>
      <c r="HIX4" s="198"/>
      <c r="HIY4" s="198"/>
      <c r="HIZ4" s="198"/>
      <c r="HJA4" s="198"/>
      <c r="HJB4" s="198"/>
      <c r="HJC4" s="198"/>
      <c r="HJD4" s="198"/>
      <c r="HJE4" s="198"/>
      <c r="HJF4" s="198"/>
      <c r="HJG4" s="198"/>
      <c r="HJH4" s="198"/>
      <c r="HJI4" s="198"/>
      <c r="HJJ4" s="198"/>
      <c r="HJK4" s="198"/>
      <c r="HJL4" s="198"/>
      <c r="HJM4" s="198"/>
      <c r="HJN4" s="198"/>
      <c r="HJO4" s="198"/>
      <c r="HJP4" s="198"/>
      <c r="HJQ4" s="198"/>
      <c r="HJR4" s="198"/>
      <c r="HJS4" s="198"/>
      <c r="HJT4" s="198"/>
      <c r="HJU4" s="198"/>
      <c r="HJV4" s="198"/>
      <c r="HJW4" s="198"/>
      <c r="HJX4" s="198"/>
      <c r="HJY4" s="198"/>
      <c r="HJZ4" s="198"/>
      <c r="HKA4" s="198"/>
      <c r="HKB4" s="198"/>
      <c r="HKC4" s="198"/>
      <c r="HKD4" s="198"/>
      <c r="HKE4" s="198"/>
      <c r="HKF4" s="198"/>
      <c r="HKG4" s="198"/>
      <c r="HKH4" s="198"/>
      <c r="HKI4" s="198"/>
      <c r="HKJ4" s="198"/>
      <c r="HKK4" s="198"/>
      <c r="HKL4" s="198"/>
      <c r="HKM4" s="198"/>
      <c r="HKN4" s="198"/>
      <c r="HKO4" s="198"/>
      <c r="HKP4" s="198"/>
      <c r="HKQ4" s="198"/>
      <c r="HKR4" s="198"/>
      <c r="HKS4" s="198"/>
      <c r="HKT4" s="198"/>
      <c r="HKU4" s="198"/>
      <c r="HKV4" s="198"/>
      <c r="HKW4" s="198"/>
      <c r="HKX4" s="198"/>
      <c r="HKY4" s="198"/>
      <c r="HKZ4" s="198"/>
      <c r="HLA4" s="198"/>
      <c r="HLB4" s="198"/>
      <c r="HLC4" s="198"/>
      <c r="HLD4" s="198"/>
      <c r="HLE4" s="198"/>
      <c r="HLF4" s="198"/>
      <c r="HLG4" s="198"/>
      <c r="HLH4" s="198"/>
      <c r="HLI4" s="198"/>
      <c r="HLJ4" s="198"/>
      <c r="HLK4" s="198"/>
      <c r="HLL4" s="198"/>
      <c r="HLM4" s="198"/>
      <c r="HLN4" s="198"/>
      <c r="HLO4" s="198"/>
      <c r="HLP4" s="198"/>
      <c r="HLQ4" s="198"/>
      <c r="HLR4" s="198"/>
      <c r="HLS4" s="198"/>
      <c r="HLT4" s="198"/>
      <c r="HLU4" s="198"/>
      <c r="HLV4" s="198"/>
      <c r="HLW4" s="198"/>
      <c r="HLX4" s="198"/>
      <c r="HLY4" s="198"/>
      <c r="HLZ4" s="198"/>
      <c r="HMA4" s="198"/>
      <c r="HMB4" s="198"/>
      <c r="HMC4" s="198"/>
      <c r="HMD4" s="198"/>
      <c r="HME4" s="198"/>
      <c r="HMF4" s="198"/>
      <c r="HMG4" s="198"/>
      <c r="HMH4" s="198"/>
      <c r="HMI4" s="198"/>
      <c r="HMJ4" s="198"/>
      <c r="HMK4" s="198"/>
      <c r="HML4" s="198"/>
      <c r="HMM4" s="198"/>
      <c r="HMN4" s="198"/>
      <c r="HMO4" s="198"/>
      <c r="HMP4" s="198"/>
      <c r="HMQ4" s="198"/>
      <c r="HMR4" s="198"/>
      <c r="HMS4" s="198"/>
      <c r="HMT4" s="198"/>
      <c r="HMU4" s="198"/>
      <c r="HMV4" s="198"/>
      <c r="HMW4" s="198"/>
      <c r="HMX4" s="198"/>
      <c r="HMY4" s="198"/>
      <c r="HMZ4" s="198"/>
      <c r="HNA4" s="198"/>
      <c r="HNB4" s="198"/>
      <c r="HNC4" s="198"/>
      <c r="HND4" s="198"/>
      <c r="HNE4" s="198"/>
      <c r="HNF4" s="198"/>
      <c r="HNG4" s="198"/>
      <c r="HNH4" s="198"/>
      <c r="HNI4" s="198"/>
      <c r="HNJ4" s="198"/>
      <c r="HNK4" s="198"/>
      <c r="HNL4" s="198"/>
      <c r="HNM4" s="198"/>
      <c r="HNN4" s="198"/>
      <c r="HNO4" s="198"/>
      <c r="HNP4" s="198"/>
      <c r="HNQ4" s="198"/>
      <c r="HNR4" s="198"/>
      <c r="HNS4" s="198"/>
      <c r="HNT4" s="198"/>
      <c r="HNU4" s="198"/>
      <c r="HNV4" s="198"/>
      <c r="HNW4" s="198"/>
      <c r="HNX4" s="198"/>
      <c r="HNY4" s="198"/>
      <c r="HNZ4" s="198"/>
      <c r="HOA4" s="198"/>
      <c r="HOB4" s="198"/>
      <c r="HOC4" s="198"/>
      <c r="HOD4" s="198"/>
      <c r="HOE4" s="198"/>
      <c r="HOF4" s="198"/>
      <c r="HOG4" s="198"/>
      <c r="HOH4" s="198"/>
      <c r="HOI4" s="198"/>
      <c r="HOJ4" s="198"/>
      <c r="HOK4" s="198"/>
      <c r="HOL4" s="198"/>
      <c r="HOM4" s="198"/>
      <c r="HON4" s="198"/>
      <c r="HOO4" s="198"/>
      <c r="HOP4" s="198"/>
      <c r="HOQ4" s="198"/>
      <c r="HOR4" s="198"/>
      <c r="HOS4" s="198"/>
      <c r="HOT4" s="198"/>
      <c r="HOU4" s="198"/>
      <c r="HOV4" s="198"/>
      <c r="HOW4" s="198"/>
      <c r="HOX4" s="198"/>
      <c r="HOY4" s="198"/>
      <c r="HOZ4" s="198"/>
      <c r="HPA4" s="198"/>
      <c r="HPB4" s="198"/>
      <c r="HPC4" s="198"/>
      <c r="HPD4" s="198"/>
      <c r="HPE4" s="198"/>
      <c r="HPF4" s="198"/>
      <c r="HPG4" s="198"/>
      <c r="HPH4" s="198"/>
      <c r="HPI4" s="198"/>
      <c r="HPJ4" s="198"/>
      <c r="HPK4" s="198"/>
      <c r="HPL4" s="198"/>
      <c r="HPM4" s="198"/>
      <c r="HPN4" s="198"/>
      <c r="HPO4" s="198"/>
      <c r="HPP4" s="198"/>
      <c r="HPQ4" s="198"/>
      <c r="HPR4" s="198"/>
      <c r="HPS4" s="198"/>
      <c r="HPT4" s="198"/>
      <c r="HPU4" s="198"/>
      <c r="HPV4" s="198"/>
      <c r="HPW4" s="198"/>
      <c r="HPX4" s="198"/>
      <c r="HPY4" s="198"/>
      <c r="HPZ4" s="198"/>
      <c r="HQA4" s="198"/>
      <c r="HQB4" s="198"/>
      <c r="HQC4" s="198"/>
      <c r="HQD4" s="198"/>
      <c r="HQE4" s="198"/>
      <c r="HQF4" s="198"/>
      <c r="HQG4" s="198"/>
      <c r="HQH4" s="198"/>
      <c r="HQI4" s="198"/>
      <c r="HQJ4" s="198"/>
      <c r="HQK4" s="198"/>
      <c r="HQL4" s="198"/>
      <c r="HQM4" s="198"/>
      <c r="HQN4" s="198"/>
      <c r="HQO4" s="198"/>
      <c r="HQP4" s="198"/>
      <c r="HQQ4" s="198"/>
      <c r="HQR4" s="198"/>
      <c r="HQS4" s="198"/>
      <c r="HQT4" s="198"/>
      <c r="HQU4" s="198"/>
      <c r="HQV4" s="198"/>
      <c r="HQW4" s="198"/>
      <c r="HQX4" s="198"/>
      <c r="HQY4" s="198"/>
      <c r="HQZ4" s="198"/>
      <c r="HRA4" s="198"/>
      <c r="HRB4" s="198"/>
      <c r="HRC4" s="198"/>
      <c r="HRD4" s="198"/>
      <c r="HRE4" s="198"/>
      <c r="HRF4" s="198"/>
      <c r="HRG4" s="198"/>
      <c r="HRH4" s="198"/>
      <c r="HRI4" s="198"/>
      <c r="HRJ4" s="198"/>
      <c r="HRK4" s="198"/>
      <c r="HRL4" s="198"/>
      <c r="HRM4" s="198"/>
      <c r="HRN4" s="198"/>
      <c r="HRO4" s="198"/>
      <c r="HRP4" s="198"/>
      <c r="HRQ4" s="198"/>
      <c r="HRR4" s="198"/>
      <c r="HRS4" s="198"/>
      <c r="HRT4" s="198"/>
      <c r="HRU4" s="198"/>
      <c r="HRV4" s="198"/>
      <c r="HRW4" s="198"/>
      <c r="HRX4" s="198"/>
      <c r="HRY4" s="198"/>
      <c r="HRZ4" s="198"/>
      <c r="HSA4" s="198"/>
      <c r="HSB4" s="198"/>
      <c r="HSC4" s="198"/>
      <c r="HSD4" s="198"/>
      <c r="HSE4" s="198"/>
      <c r="HSF4" s="198"/>
      <c r="HSG4" s="198"/>
      <c r="HSH4" s="198"/>
      <c r="HSI4" s="198"/>
      <c r="HSJ4" s="198"/>
      <c r="HSK4" s="198"/>
      <c r="HSL4" s="198"/>
      <c r="HSM4" s="198"/>
      <c r="HSN4" s="198"/>
      <c r="HSO4" s="198"/>
      <c r="HSP4" s="198"/>
      <c r="HSQ4" s="198"/>
      <c r="HSR4" s="198"/>
      <c r="HSS4" s="198"/>
      <c r="HST4" s="198"/>
      <c r="HSU4" s="198"/>
      <c r="HSV4" s="198"/>
      <c r="HSW4" s="198"/>
      <c r="HSX4" s="198"/>
      <c r="HSY4" s="198"/>
      <c r="HSZ4" s="198"/>
      <c r="HTA4" s="198"/>
      <c r="HTB4" s="198"/>
      <c r="HTC4" s="198"/>
      <c r="HTD4" s="198"/>
      <c r="HTE4" s="198"/>
      <c r="HTF4" s="198"/>
      <c r="HTG4" s="198"/>
      <c r="HTH4" s="198"/>
      <c r="HTI4" s="198"/>
      <c r="HTJ4" s="198"/>
      <c r="HTK4" s="198"/>
      <c r="HTL4" s="198"/>
      <c r="HTM4" s="198"/>
      <c r="HTN4" s="198"/>
      <c r="HTO4" s="198"/>
      <c r="HTP4" s="198"/>
      <c r="HTQ4" s="198"/>
      <c r="HTR4" s="198"/>
      <c r="HTS4" s="198"/>
      <c r="HTT4" s="198"/>
      <c r="HTU4" s="198"/>
      <c r="HTV4" s="198"/>
      <c r="HTW4" s="198"/>
      <c r="HTX4" s="198"/>
      <c r="HTY4" s="198"/>
      <c r="HTZ4" s="198"/>
      <c r="HUA4" s="198"/>
      <c r="HUB4" s="198"/>
      <c r="HUC4" s="198"/>
      <c r="HUD4" s="198"/>
      <c r="HUE4" s="198"/>
      <c r="HUF4" s="198"/>
      <c r="HUG4" s="198"/>
      <c r="HUH4" s="198"/>
      <c r="HUI4" s="198"/>
      <c r="HUJ4" s="198"/>
      <c r="HUK4" s="198"/>
      <c r="HUL4" s="198"/>
      <c r="HUM4" s="198"/>
      <c r="HUN4" s="198"/>
      <c r="HUO4" s="198"/>
      <c r="HUP4" s="198"/>
      <c r="HUQ4" s="198"/>
      <c r="HUR4" s="198"/>
      <c r="HUS4" s="198"/>
      <c r="HUT4" s="198"/>
      <c r="HUU4" s="198"/>
      <c r="HUV4" s="198"/>
      <c r="HUW4" s="198"/>
      <c r="HUX4" s="198"/>
      <c r="HUY4" s="198"/>
      <c r="HUZ4" s="198"/>
      <c r="HVA4" s="198"/>
      <c r="HVB4" s="198"/>
      <c r="HVC4" s="198"/>
      <c r="HVD4" s="198"/>
      <c r="HVE4" s="198"/>
      <c r="HVF4" s="198"/>
      <c r="HVG4" s="198"/>
      <c r="HVH4" s="198"/>
      <c r="HVI4" s="198"/>
      <c r="HVJ4" s="198"/>
      <c r="HVK4" s="198"/>
      <c r="HVL4" s="198"/>
      <c r="HVM4" s="198"/>
      <c r="HVN4" s="198"/>
      <c r="HVO4" s="198"/>
      <c r="HVP4" s="198"/>
      <c r="HVQ4" s="198"/>
      <c r="HVR4" s="198"/>
      <c r="HVS4" s="198"/>
      <c r="HVT4" s="198"/>
      <c r="HVU4" s="198"/>
      <c r="HVV4" s="198"/>
      <c r="HVW4" s="198"/>
      <c r="HVX4" s="198"/>
      <c r="HVY4" s="198"/>
      <c r="HVZ4" s="198"/>
      <c r="HWA4" s="198"/>
      <c r="HWB4" s="198"/>
      <c r="HWC4" s="198"/>
      <c r="HWD4" s="198"/>
      <c r="HWE4" s="198"/>
      <c r="HWF4" s="198"/>
      <c r="HWG4" s="198"/>
      <c r="HWH4" s="198"/>
      <c r="HWI4" s="198"/>
      <c r="HWJ4" s="198"/>
      <c r="HWK4" s="198"/>
      <c r="HWL4" s="198"/>
      <c r="HWM4" s="198"/>
      <c r="HWN4" s="198"/>
      <c r="HWO4" s="198"/>
      <c r="HWP4" s="198"/>
      <c r="HWQ4" s="198"/>
      <c r="HWR4" s="198"/>
      <c r="HWS4" s="198"/>
      <c r="HWT4" s="198"/>
      <c r="HWU4" s="198"/>
      <c r="HWV4" s="198"/>
      <c r="HWW4" s="198"/>
      <c r="HWX4" s="198"/>
      <c r="HWY4" s="198"/>
      <c r="HWZ4" s="198"/>
      <c r="HXA4" s="198"/>
      <c r="HXB4" s="198"/>
      <c r="HXC4" s="198"/>
      <c r="HXD4" s="198"/>
      <c r="HXE4" s="198"/>
      <c r="HXF4" s="198"/>
      <c r="HXG4" s="198"/>
      <c r="HXH4" s="198"/>
      <c r="HXI4" s="198"/>
      <c r="HXJ4" s="198"/>
      <c r="HXK4" s="198"/>
      <c r="HXL4" s="198"/>
      <c r="HXM4" s="198"/>
      <c r="HXN4" s="198"/>
      <c r="HXO4" s="198"/>
      <c r="HXP4" s="198"/>
      <c r="HXQ4" s="198"/>
      <c r="HXR4" s="198"/>
      <c r="HXS4" s="198"/>
      <c r="HXT4" s="198"/>
      <c r="HXU4" s="198"/>
      <c r="HXV4" s="198"/>
      <c r="HXW4" s="198"/>
      <c r="HXX4" s="198"/>
      <c r="HXY4" s="198"/>
      <c r="HXZ4" s="198"/>
      <c r="HYA4" s="198"/>
      <c r="HYB4" s="198"/>
      <c r="HYC4" s="198"/>
      <c r="HYD4" s="198"/>
      <c r="HYE4" s="198"/>
      <c r="HYF4" s="198"/>
      <c r="HYG4" s="198"/>
      <c r="HYH4" s="198"/>
      <c r="HYI4" s="198"/>
      <c r="HYJ4" s="198"/>
      <c r="HYK4" s="198"/>
      <c r="HYL4" s="198"/>
      <c r="HYM4" s="198"/>
      <c r="HYN4" s="198"/>
      <c r="HYO4" s="198"/>
      <c r="HYP4" s="198"/>
      <c r="HYQ4" s="198"/>
      <c r="HYR4" s="198"/>
      <c r="HYS4" s="198"/>
      <c r="HYT4" s="198"/>
      <c r="HYU4" s="198"/>
      <c r="HYV4" s="198"/>
      <c r="HYW4" s="198"/>
      <c r="HYX4" s="198"/>
      <c r="HYY4" s="198"/>
      <c r="HYZ4" s="198"/>
      <c r="HZA4" s="198"/>
      <c r="HZB4" s="198"/>
      <c r="HZC4" s="198"/>
      <c r="HZD4" s="198"/>
      <c r="HZE4" s="198"/>
      <c r="HZF4" s="198"/>
      <c r="HZG4" s="198"/>
      <c r="HZH4" s="198"/>
      <c r="HZI4" s="198"/>
      <c r="HZJ4" s="198"/>
      <c r="HZK4" s="198"/>
      <c r="HZL4" s="198"/>
      <c r="HZM4" s="198"/>
      <c r="HZN4" s="198"/>
      <c r="HZO4" s="198"/>
      <c r="HZP4" s="198"/>
      <c r="HZQ4" s="198"/>
      <c r="HZR4" s="198"/>
      <c r="HZS4" s="198"/>
      <c r="HZT4" s="198"/>
      <c r="HZU4" s="198"/>
      <c r="HZV4" s="198"/>
      <c r="HZW4" s="198"/>
      <c r="HZX4" s="198"/>
      <c r="HZY4" s="198"/>
      <c r="HZZ4" s="198"/>
      <c r="IAA4" s="198"/>
      <c r="IAB4" s="198"/>
      <c r="IAC4" s="198"/>
      <c r="IAD4" s="198"/>
      <c r="IAE4" s="198"/>
      <c r="IAF4" s="198"/>
      <c r="IAG4" s="198"/>
      <c r="IAH4" s="198"/>
      <c r="IAI4" s="198"/>
      <c r="IAJ4" s="198"/>
      <c r="IAK4" s="198"/>
      <c r="IAL4" s="198"/>
      <c r="IAM4" s="198"/>
      <c r="IAN4" s="198"/>
      <c r="IAO4" s="198"/>
      <c r="IAP4" s="198"/>
      <c r="IAQ4" s="198"/>
      <c r="IAR4" s="198"/>
      <c r="IAS4" s="198"/>
      <c r="IAT4" s="198"/>
      <c r="IAU4" s="198"/>
      <c r="IAV4" s="198"/>
      <c r="IAW4" s="198"/>
      <c r="IAX4" s="198"/>
      <c r="IAY4" s="198"/>
      <c r="IAZ4" s="198"/>
      <c r="IBA4" s="198"/>
      <c r="IBB4" s="198"/>
      <c r="IBC4" s="198"/>
      <c r="IBD4" s="198"/>
      <c r="IBE4" s="198"/>
      <c r="IBF4" s="198"/>
      <c r="IBG4" s="198"/>
      <c r="IBH4" s="198"/>
      <c r="IBI4" s="198"/>
      <c r="IBJ4" s="198"/>
      <c r="IBK4" s="198"/>
      <c r="IBL4" s="198"/>
      <c r="IBM4" s="198"/>
      <c r="IBN4" s="198"/>
      <c r="IBO4" s="198"/>
      <c r="IBP4" s="198"/>
      <c r="IBQ4" s="198"/>
      <c r="IBR4" s="198"/>
      <c r="IBS4" s="198"/>
      <c r="IBT4" s="198"/>
      <c r="IBU4" s="198"/>
      <c r="IBV4" s="198"/>
      <c r="IBW4" s="198"/>
      <c r="IBX4" s="198"/>
      <c r="IBY4" s="198"/>
      <c r="IBZ4" s="198"/>
      <c r="ICA4" s="198"/>
      <c r="ICB4" s="198"/>
      <c r="ICC4" s="198"/>
      <c r="ICD4" s="198"/>
      <c r="ICE4" s="198"/>
      <c r="ICF4" s="198"/>
      <c r="ICG4" s="198"/>
      <c r="ICH4" s="198"/>
      <c r="ICI4" s="198"/>
      <c r="ICJ4" s="198"/>
      <c r="ICK4" s="198"/>
      <c r="ICL4" s="198"/>
      <c r="ICM4" s="198"/>
      <c r="ICN4" s="198"/>
      <c r="ICO4" s="198"/>
      <c r="ICP4" s="198"/>
      <c r="ICQ4" s="198"/>
      <c r="ICR4" s="198"/>
      <c r="ICS4" s="198"/>
      <c r="ICT4" s="198"/>
      <c r="ICU4" s="198"/>
      <c r="ICV4" s="198"/>
      <c r="ICW4" s="198"/>
      <c r="ICX4" s="198"/>
      <c r="ICY4" s="198"/>
      <c r="ICZ4" s="198"/>
      <c r="IDA4" s="198"/>
      <c r="IDB4" s="198"/>
      <c r="IDC4" s="198"/>
      <c r="IDD4" s="198"/>
      <c r="IDE4" s="198"/>
      <c r="IDF4" s="198"/>
      <c r="IDG4" s="198"/>
      <c r="IDH4" s="198"/>
      <c r="IDI4" s="198"/>
      <c r="IDJ4" s="198"/>
      <c r="IDK4" s="198"/>
      <c r="IDL4" s="198"/>
      <c r="IDM4" s="198"/>
      <c r="IDN4" s="198"/>
      <c r="IDO4" s="198"/>
      <c r="IDP4" s="198"/>
      <c r="IDQ4" s="198"/>
      <c r="IDR4" s="198"/>
      <c r="IDS4" s="198"/>
      <c r="IDT4" s="198"/>
      <c r="IDU4" s="198"/>
      <c r="IDV4" s="198"/>
      <c r="IDW4" s="198"/>
      <c r="IDX4" s="198"/>
      <c r="IDY4" s="198"/>
      <c r="IDZ4" s="198"/>
      <c r="IEA4" s="198"/>
      <c r="IEB4" s="198"/>
      <c r="IEC4" s="198"/>
      <c r="IED4" s="198"/>
      <c r="IEE4" s="198"/>
      <c r="IEF4" s="198"/>
      <c r="IEG4" s="198"/>
      <c r="IEH4" s="198"/>
      <c r="IEI4" s="198"/>
      <c r="IEJ4" s="198"/>
      <c r="IEK4" s="198"/>
      <c r="IEL4" s="198"/>
      <c r="IEM4" s="198"/>
      <c r="IEN4" s="198"/>
      <c r="IEO4" s="198"/>
      <c r="IEP4" s="198"/>
      <c r="IEQ4" s="198"/>
      <c r="IER4" s="198"/>
      <c r="IES4" s="198"/>
      <c r="IET4" s="198"/>
      <c r="IEU4" s="198"/>
      <c r="IEV4" s="198"/>
      <c r="IEW4" s="198"/>
      <c r="IEX4" s="198"/>
      <c r="IEY4" s="198"/>
      <c r="IEZ4" s="198"/>
      <c r="IFA4" s="198"/>
      <c r="IFB4" s="198"/>
      <c r="IFC4" s="198"/>
      <c r="IFD4" s="198"/>
      <c r="IFE4" s="198"/>
      <c r="IFF4" s="198"/>
      <c r="IFG4" s="198"/>
      <c r="IFH4" s="198"/>
      <c r="IFI4" s="198"/>
      <c r="IFJ4" s="198"/>
      <c r="IFK4" s="198"/>
      <c r="IFL4" s="198"/>
      <c r="IFM4" s="198"/>
      <c r="IFN4" s="198"/>
      <c r="IFO4" s="198"/>
      <c r="IFP4" s="198"/>
      <c r="IFQ4" s="198"/>
      <c r="IFR4" s="198"/>
      <c r="IFS4" s="198"/>
      <c r="IFT4" s="198"/>
      <c r="IFU4" s="198"/>
      <c r="IFV4" s="198"/>
      <c r="IFW4" s="198"/>
      <c r="IFX4" s="198"/>
      <c r="IFY4" s="198"/>
      <c r="IFZ4" s="198"/>
      <c r="IGA4" s="198"/>
      <c r="IGB4" s="198"/>
      <c r="IGC4" s="198"/>
      <c r="IGD4" s="198"/>
      <c r="IGE4" s="198"/>
      <c r="IGF4" s="198"/>
      <c r="IGG4" s="198"/>
      <c r="IGH4" s="198"/>
      <c r="IGI4" s="198"/>
      <c r="IGJ4" s="198"/>
      <c r="IGK4" s="198"/>
      <c r="IGL4" s="198"/>
      <c r="IGM4" s="198"/>
      <c r="IGN4" s="198"/>
      <c r="IGO4" s="198"/>
      <c r="IGP4" s="198"/>
      <c r="IGQ4" s="198"/>
      <c r="IGR4" s="198"/>
      <c r="IGS4" s="198"/>
      <c r="IGT4" s="198"/>
      <c r="IGU4" s="198"/>
      <c r="IGV4" s="198"/>
      <c r="IGW4" s="198"/>
      <c r="IGX4" s="198"/>
      <c r="IGY4" s="198"/>
      <c r="IGZ4" s="198"/>
      <c r="IHA4" s="198"/>
      <c r="IHB4" s="198"/>
      <c r="IHC4" s="198"/>
      <c r="IHD4" s="198"/>
      <c r="IHE4" s="198"/>
      <c r="IHF4" s="198"/>
      <c r="IHG4" s="198"/>
      <c r="IHH4" s="198"/>
      <c r="IHI4" s="198"/>
      <c r="IHJ4" s="198"/>
      <c r="IHK4" s="198"/>
      <c r="IHL4" s="198"/>
      <c r="IHM4" s="198"/>
      <c r="IHN4" s="198"/>
      <c r="IHO4" s="198"/>
      <c r="IHP4" s="198"/>
      <c r="IHQ4" s="198"/>
      <c r="IHR4" s="198"/>
      <c r="IHS4" s="198"/>
      <c r="IHT4" s="198"/>
      <c r="IHU4" s="198"/>
      <c r="IHV4" s="198"/>
      <c r="IHW4" s="198"/>
      <c r="IHX4" s="198"/>
      <c r="IHY4" s="198"/>
      <c r="IHZ4" s="198"/>
      <c r="IIA4" s="198"/>
      <c r="IIB4" s="198"/>
      <c r="IIC4" s="198"/>
      <c r="IID4" s="198"/>
      <c r="IIE4" s="198"/>
      <c r="IIF4" s="198"/>
      <c r="IIG4" s="198"/>
      <c r="IIH4" s="198"/>
      <c r="III4" s="198"/>
      <c r="IIJ4" s="198"/>
      <c r="IIK4" s="198"/>
      <c r="IIL4" s="198"/>
      <c r="IIM4" s="198"/>
      <c r="IIN4" s="198"/>
      <c r="IIO4" s="198"/>
      <c r="IIP4" s="198"/>
      <c r="IIQ4" s="198"/>
      <c r="IIR4" s="198"/>
      <c r="IIS4" s="198"/>
      <c r="IIT4" s="198"/>
      <c r="IIU4" s="198"/>
      <c r="IIV4" s="198"/>
      <c r="IIW4" s="198"/>
      <c r="IIX4" s="198"/>
      <c r="IIY4" s="198"/>
      <c r="IIZ4" s="198"/>
      <c r="IJA4" s="198"/>
      <c r="IJB4" s="198"/>
      <c r="IJC4" s="198"/>
      <c r="IJD4" s="198"/>
      <c r="IJE4" s="198"/>
      <c r="IJF4" s="198"/>
      <c r="IJG4" s="198"/>
      <c r="IJH4" s="198"/>
      <c r="IJI4" s="198"/>
      <c r="IJJ4" s="198"/>
      <c r="IJK4" s="198"/>
      <c r="IJL4" s="198"/>
      <c r="IJM4" s="198"/>
      <c r="IJN4" s="198"/>
      <c r="IJO4" s="198"/>
      <c r="IJP4" s="198"/>
      <c r="IJQ4" s="198"/>
      <c r="IJR4" s="198"/>
      <c r="IJS4" s="198"/>
      <c r="IJT4" s="198"/>
      <c r="IJU4" s="198"/>
      <c r="IJV4" s="198"/>
      <c r="IJW4" s="198"/>
      <c r="IJX4" s="198"/>
      <c r="IJY4" s="198"/>
      <c r="IJZ4" s="198"/>
      <c r="IKA4" s="198"/>
      <c r="IKB4" s="198"/>
      <c r="IKC4" s="198"/>
      <c r="IKD4" s="198"/>
      <c r="IKE4" s="198"/>
      <c r="IKF4" s="198"/>
      <c r="IKG4" s="198"/>
      <c r="IKH4" s="198"/>
      <c r="IKI4" s="198"/>
      <c r="IKJ4" s="198"/>
      <c r="IKK4" s="198"/>
      <c r="IKL4" s="198"/>
      <c r="IKM4" s="198"/>
      <c r="IKN4" s="198"/>
      <c r="IKO4" s="198"/>
      <c r="IKP4" s="198"/>
      <c r="IKQ4" s="198"/>
      <c r="IKR4" s="198"/>
      <c r="IKS4" s="198"/>
      <c r="IKT4" s="198"/>
      <c r="IKU4" s="198"/>
      <c r="IKV4" s="198"/>
      <c r="IKW4" s="198"/>
      <c r="IKX4" s="198"/>
      <c r="IKY4" s="198"/>
      <c r="IKZ4" s="198"/>
      <c r="ILA4" s="198"/>
      <c r="ILB4" s="198"/>
      <c r="ILC4" s="198"/>
      <c r="ILD4" s="198"/>
      <c r="ILE4" s="198"/>
      <c r="ILF4" s="198"/>
      <c r="ILG4" s="198"/>
      <c r="ILH4" s="198"/>
      <c r="ILI4" s="198"/>
      <c r="ILJ4" s="198"/>
      <c r="ILK4" s="198"/>
      <c r="ILL4" s="198"/>
      <c r="ILM4" s="198"/>
      <c r="ILN4" s="198"/>
      <c r="ILO4" s="198"/>
      <c r="ILP4" s="198"/>
      <c r="ILQ4" s="198"/>
      <c r="ILR4" s="198"/>
      <c r="ILS4" s="198"/>
      <c r="ILT4" s="198"/>
      <c r="ILU4" s="198"/>
      <c r="ILV4" s="198"/>
      <c r="ILW4" s="198"/>
      <c r="ILX4" s="198"/>
      <c r="ILY4" s="198"/>
      <c r="ILZ4" s="198"/>
      <c r="IMA4" s="198"/>
      <c r="IMB4" s="198"/>
      <c r="IMC4" s="198"/>
      <c r="IMD4" s="198"/>
      <c r="IME4" s="198"/>
      <c r="IMF4" s="198"/>
      <c r="IMG4" s="198"/>
      <c r="IMH4" s="198"/>
      <c r="IMI4" s="198"/>
      <c r="IMJ4" s="198"/>
      <c r="IMK4" s="198"/>
      <c r="IML4" s="198"/>
      <c r="IMM4" s="198"/>
      <c r="IMN4" s="198"/>
      <c r="IMO4" s="198"/>
      <c r="IMP4" s="198"/>
      <c r="IMQ4" s="198"/>
      <c r="IMR4" s="198"/>
      <c r="IMS4" s="198"/>
      <c r="IMT4" s="198"/>
      <c r="IMU4" s="198"/>
      <c r="IMV4" s="198"/>
      <c r="IMW4" s="198"/>
      <c r="IMX4" s="198"/>
      <c r="IMY4" s="198"/>
      <c r="IMZ4" s="198"/>
      <c r="INA4" s="198"/>
      <c r="INB4" s="198"/>
      <c r="INC4" s="198"/>
      <c r="IND4" s="198"/>
      <c r="INE4" s="198"/>
      <c r="INF4" s="198"/>
      <c r="ING4" s="198"/>
      <c r="INH4" s="198"/>
      <c r="INI4" s="198"/>
      <c r="INJ4" s="198"/>
      <c r="INK4" s="198"/>
      <c r="INL4" s="198"/>
      <c r="INM4" s="198"/>
      <c r="INN4" s="198"/>
      <c r="INO4" s="198"/>
      <c r="INP4" s="198"/>
      <c r="INQ4" s="198"/>
      <c r="INR4" s="198"/>
      <c r="INS4" s="198"/>
      <c r="INT4" s="198"/>
      <c r="INU4" s="198"/>
      <c r="INV4" s="198"/>
      <c r="INW4" s="198"/>
      <c r="INX4" s="198"/>
      <c r="INY4" s="198"/>
      <c r="INZ4" s="198"/>
      <c r="IOA4" s="198"/>
      <c r="IOB4" s="198"/>
      <c r="IOC4" s="198"/>
      <c r="IOD4" s="198"/>
      <c r="IOE4" s="198"/>
      <c r="IOF4" s="198"/>
      <c r="IOG4" s="198"/>
      <c r="IOH4" s="198"/>
      <c r="IOI4" s="198"/>
      <c r="IOJ4" s="198"/>
      <c r="IOK4" s="198"/>
      <c r="IOL4" s="198"/>
      <c r="IOM4" s="198"/>
      <c r="ION4" s="198"/>
      <c r="IOO4" s="198"/>
      <c r="IOP4" s="198"/>
      <c r="IOQ4" s="198"/>
      <c r="IOR4" s="198"/>
      <c r="IOS4" s="198"/>
      <c r="IOT4" s="198"/>
      <c r="IOU4" s="198"/>
      <c r="IOV4" s="198"/>
      <c r="IOW4" s="198"/>
      <c r="IOX4" s="198"/>
      <c r="IOY4" s="198"/>
      <c r="IOZ4" s="198"/>
      <c r="IPA4" s="198"/>
      <c r="IPB4" s="198"/>
      <c r="IPC4" s="198"/>
      <c r="IPD4" s="198"/>
      <c r="IPE4" s="198"/>
      <c r="IPF4" s="198"/>
      <c r="IPG4" s="198"/>
      <c r="IPH4" s="198"/>
      <c r="IPI4" s="198"/>
      <c r="IPJ4" s="198"/>
      <c r="IPK4" s="198"/>
      <c r="IPL4" s="198"/>
      <c r="IPM4" s="198"/>
      <c r="IPN4" s="198"/>
      <c r="IPO4" s="198"/>
      <c r="IPP4" s="198"/>
      <c r="IPQ4" s="198"/>
      <c r="IPR4" s="198"/>
      <c r="IPS4" s="198"/>
      <c r="IPT4" s="198"/>
      <c r="IPU4" s="198"/>
      <c r="IPV4" s="198"/>
      <c r="IPW4" s="198"/>
      <c r="IPX4" s="198"/>
      <c r="IPY4" s="198"/>
      <c r="IPZ4" s="198"/>
      <c r="IQA4" s="198"/>
      <c r="IQB4" s="198"/>
      <c r="IQC4" s="198"/>
      <c r="IQD4" s="198"/>
      <c r="IQE4" s="198"/>
      <c r="IQF4" s="198"/>
      <c r="IQG4" s="198"/>
      <c r="IQH4" s="198"/>
      <c r="IQI4" s="198"/>
      <c r="IQJ4" s="198"/>
      <c r="IQK4" s="198"/>
      <c r="IQL4" s="198"/>
      <c r="IQM4" s="198"/>
      <c r="IQN4" s="198"/>
      <c r="IQO4" s="198"/>
      <c r="IQP4" s="198"/>
      <c r="IQQ4" s="198"/>
      <c r="IQR4" s="198"/>
      <c r="IQS4" s="198"/>
      <c r="IQT4" s="198"/>
      <c r="IQU4" s="198"/>
      <c r="IQV4" s="198"/>
      <c r="IQW4" s="198"/>
      <c r="IQX4" s="198"/>
      <c r="IQY4" s="198"/>
      <c r="IQZ4" s="198"/>
      <c r="IRA4" s="198"/>
      <c r="IRB4" s="198"/>
      <c r="IRC4" s="198"/>
      <c r="IRD4" s="198"/>
      <c r="IRE4" s="198"/>
      <c r="IRF4" s="198"/>
      <c r="IRG4" s="198"/>
      <c r="IRH4" s="198"/>
      <c r="IRI4" s="198"/>
      <c r="IRJ4" s="198"/>
      <c r="IRK4" s="198"/>
      <c r="IRL4" s="198"/>
      <c r="IRM4" s="198"/>
      <c r="IRN4" s="198"/>
      <c r="IRO4" s="198"/>
      <c r="IRP4" s="198"/>
      <c r="IRQ4" s="198"/>
      <c r="IRR4" s="198"/>
      <c r="IRS4" s="198"/>
      <c r="IRT4" s="198"/>
      <c r="IRU4" s="198"/>
      <c r="IRV4" s="198"/>
      <c r="IRW4" s="198"/>
      <c r="IRX4" s="198"/>
      <c r="IRY4" s="198"/>
      <c r="IRZ4" s="198"/>
      <c r="ISA4" s="198"/>
      <c r="ISB4" s="198"/>
      <c r="ISC4" s="198"/>
      <c r="ISD4" s="198"/>
      <c r="ISE4" s="198"/>
      <c r="ISF4" s="198"/>
      <c r="ISG4" s="198"/>
      <c r="ISH4" s="198"/>
      <c r="ISI4" s="198"/>
      <c r="ISJ4" s="198"/>
      <c r="ISK4" s="198"/>
      <c r="ISL4" s="198"/>
      <c r="ISM4" s="198"/>
      <c r="ISN4" s="198"/>
      <c r="ISO4" s="198"/>
      <c r="ISP4" s="198"/>
      <c r="ISQ4" s="198"/>
      <c r="ISR4" s="198"/>
      <c r="ISS4" s="198"/>
      <c r="IST4" s="198"/>
      <c r="ISU4" s="198"/>
      <c r="ISV4" s="198"/>
      <c r="ISW4" s="198"/>
      <c r="ISX4" s="198"/>
      <c r="ISY4" s="198"/>
      <c r="ISZ4" s="198"/>
      <c r="ITA4" s="198"/>
      <c r="ITB4" s="198"/>
      <c r="ITC4" s="198"/>
      <c r="ITD4" s="198"/>
      <c r="ITE4" s="198"/>
      <c r="ITF4" s="198"/>
      <c r="ITG4" s="198"/>
      <c r="ITH4" s="198"/>
      <c r="ITI4" s="198"/>
      <c r="ITJ4" s="198"/>
      <c r="ITK4" s="198"/>
      <c r="ITL4" s="198"/>
      <c r="ITM4" s="198"/>
      <c r="ITN4" s="198"/>
      <c r="ITO4" s="198"/>
      <c r="ITP4" s="198"/>
      <c r="ITQ4" s="198"/>
      <c r="ITR4" s="198"/>
      <c r="ITS4" s="198"/>
      <c r="ITT4" s="198"/>
      <c r="ITU4" s="198"/>
      <c r="ITV4" s="198"/>
      <c r="ITW4" s="198"/>
      <c r="ITX4" s="198"/>
      <c r="ITY4" s="198"/>
      <c r="ITZ4" s="198"/>
      <c r="IUA4" s="198"/>
      <c r="IUB4" s="198"/>
      <c r="IUC4" s="198"/>
      <c r="IUD4" s="198"/>
      <c r="IUE4" s="198"/>
      <c r="IUF4" s="198"/>
      <c r="IUG4" s="198"/>
      <c r="IUH4" s="198"/>
      <c r="IUI4" s="198"/>
      <c r="IUJ4" s="198"/>
      <c r="IUK4" s="198"/>
      <c r="IUL4" s="198"/>
      <c r="IUM4" s="198"/>
      <c r="IUN4" s="198"/>
      <c r="IUO4" s="198"/>
      <c r="IUP4" s="198"/>
      <c r="IUQ4" s="198"/>
      <c r="IUR4" s="198"/>
      <c r="IUS4" s="198"/>
      <c r="IUT4" s="198"/>
      <c r="IUU4" s="198"/>
      <c r="IUV4" s="198"/>
      <c r="IUW4" s="198"/>
      <c r="IUX4" s="198"/>
      <c r="IUY4" s="198"/>
      <c r="IUZ4" s="198"/>
      <c r="IVA4" s="198"/>
      <c r="IVB4" s="198"/>
      <c r="IVC4" s="198"/>
      <c r="IVD4" s="198"/>
      <c r="IVE4" s="198"/>
      <c r="IVF4" s="198"/>
      <c r="IVG4" s="198"/>
      <c r="IVH4" s="198"/>
      <c r="IVI4" s="198"/>
      <c r="IVJ4" s="198"/>
      <c r="IVK4" s="198"/>
      <c r="IVL4" s="198"/>
      <c r="IVM4" s="198"/>
      <c r="IVN4" s="198"/>
      <c r="IVO4" s="198"/>
      <c r="IVP4" s="198"/>
      <c r="IVQ4" s="198"/>
      <c r="IVR4" s="198"/>
      <c r="IVS4" s="198"/>
      <c r="IVT4" s="198"/>
      <c r="IVU4" s="198"/>
      <c r="IVV4" s="198"/>
      <c r="IVW4" s="198"/>
      <c r="IVX4" s="198"/>
      <c r="IVY4" s="198"/>
      <c r="IVZ4" s="198"/>
      <c r="IWA4" s="198"/>
      <c r="IWB4" s="198"/>
      <c r="IWC4" s="198"/>
      <c r="IWD4" s="198"/>
      <c r="IWE4" s="198"/>
      <c r="IWF4" s="198"/>
      <c r="IWG4" s="198"/>
      <c r="IWH4" s="198"/>
      <c r="IWI4" s="198"/>
      <c r="IWJ4" s="198"/>
      <c r="IWK4" s="198"/>
      <c r="IWL4" s="198"/>
      <c r="IWM4" s="198"/>
      <c r="IWN4" s="198"/>
      <c r="IWO4" s="198"/>
      <c r="IWP4" s="198"/>
      <c r="IWQ4" s="198"/>
      <c r="IWR4" s="198"/>
      <c r="IWS4" s="198"/>
      <c r="IWT4" s="198"/>
      <c r="IWU4" s="198"/>
      <c r="IWV4" s="198"/>
      <c r="IWW4" s="198"/>
      <c r="IWX4" s="198"/>
      <c r="IWY4" s="198"/>
      <c r="IWZ4" s="198"/>
      <c r="IXA4" s="198"/>
      <c r="IXB4" s="198"/>
      <c r="IXC4" s="198"/>
      <c r="IXD4" s="198"/>
      <c r="IXE4" s="198"/>
      <c r="IXF4" s="198"/>
      <c r="IXG4" s="198"/>
      <c r="IXH4" s="198"/>
      <c r="IXI4" s="198"/>
      <c r="IXJ4" s="198"/>
      <c r="IXK4" s="198"/>
      <c r="IXL4" s="198"/>
      <c r="IXM4" s="198"/>
      <c r="IXN4" s="198"/>
      <c r="IXO4" s="198"/>
      <c r="IXP4" s="198"/>
      <c r="IXQ4" s="198"/>
      <c r="IXR4" s="198"/>
      <c r="IXS4" s="198"/>
      <c r="IXT4" s="198"/>
      <c r="IXU4" s="198"/>
      <c r="IXV4" s="198"/>
      <c r="IXW4" s="198"/>
      <c r="IXX4" s="198"/>
      <c r="IXY4" s="198"/>
      <c r="IXZ4" s="198"/>
      <c r="IYA4" s="198"/>
      <c r="IYB4" s="198"/>
      <c r="IYC4" s="198"/>
      <c r="IYD4" s="198"/>
      <c r="IYE4" s="198"/>
      <c r="IYF4" s="198"/>
      <c r="IYG4" s="198"/>
      <c r="IYH4" s="198"/>
      <c r="IYI4" s="198"/>
      <c r="IYJ4" s="198"/>
      <c r="IYK4" s="198"/>
      <c r="IYL4" s="198"/>
      <c r="IYM4" s="198"/>
      <c r="IYN4" s="198"/>
      <c r="IYO4" s="198"/>
      <c r="IYP4" s="198"/>
      <c r="IYQ4" s="198"/>
      <c r="IYR4" s="198"/>
      <c r="IYS4" s="198"/>
      <c r="IYT4" s="198"/>
      <c r="IYU4" s="198"/>
      <c r="IYV4" s="198"/>
      <c r="IYW4" s="198"/>
      <c r="IYX4" s="198"/>
      <c r="IYY4" s="198"/>
      <c r="IYZ4" s="198"/>
      <c r="IZA4" s="198"/>
      <c r="IZB4" s="198"/>
      <c r="IZC4" s="198"/>
      <c r="IZD4" s="198"/>
      <c r="IZE4" s="198"/>
      <c r="IZF4" s="198"/>
      <c r="IZG4" s="198"/>
      <c r="IZH4" s="198"/>
      <c r="IZI4" s="198"/>
      <c r="IZJ4" s="198"/>
      <c r="IZK4" s="198"/>
      <c r="IZL4" s="198"/>
      <c r="IZM4" s="198"/>
      <c r="IZN4" s="198"/>
      <c r="IZO4" s="198"/>
      <c r="IZP4" s="198"/>
      <c r="IZQ4" s="198"/>
      <c r="IZR4" s="198"/>
      <c r="IZS4" s="198"/>
      <c r="IZT4" s="198"/>
      <c r="IZU4" s="198"/>
      <c r="IZV4" s="198"/>
      <c r="IZW4" s="198"/>
      <c r="IZX4" s="198"/>
      <c r="IZY4" s="198"/>
      <c r="IZZ4" s="198"/>
      <c r="JAA4" s="198"/>
      <c r="JAB4" s="198"/>
      <c r="JAC4" s="198"/>
      <c r="JAD4" s="198"/>
      <c r="JAE4" s="198"/>
      <c r="JAF4" s="198"/>
      <c r="JAG4" s="198"/>
      <c r="JAH4" s="198"/>
      <c r="JAI4" s="198"/>
      <c r="JAJ4" s="198"/>
      <c r="JAK4" s="198"/>
      <c r="JAL4" s="198"/>
      <c r="JAM4" s="198"/>
      <c r="JAN4" s="198"/>
      <c r="JAO4" s="198"/>
      <c r="JAP4" s="198"/>
      <c r="JAQ4" s="198"/>
      <c r="JAR4" s="198"/>
      <c r="JAS4" s="198"/>
      <c r="JAT4" s="198"/>
      <c r="JAU4" s="198"/>
      <c r="JAV4" s="198"/>
      <c r="JAW4" s="198"/>
      <c r="JAX4" s="198"/>
      <c r="JAY4" s="198"/>
      <c r="JAZ4" s="198"/>
      <c r="JBA4" s="198"/>
      <c r="JBB4" s="198"/>
      <c r="JBC4" s="198"/>
      <c r="JBD4" s="198"/>
      <c r="JBE4" s="198"/>
      <c r="JBF4" s="198"/>
      <c r="JBG4" s="198"/>
      <c r="JBH4" s="198"/>
      <c r="JBI4" s="198"/>
      <c r="JBJ4" s="198"/>
      <c r="JBK4" s="198"/>
      <c r="JBL4" s="198"/>
      <c r="JBM4" s="198"/>
      <c r="JBN4" s="198"/>
      <c r="JBO4" s="198"/>
      <c r="JBP4" s="198"/>
      <c r="JBQ4" s="198"/>
      <c r="JBR4" s="198"/>
      <c r="JBS4" s="198"/>
      <c r="JBT4" s="198"/>
      <c r="JBU4" s="198"/>
      <c r="JBV4" s="198"/>
      <c r="JBW4" s="198"/>
      <c r="JBX4" s="198"/>
      <c r="JBY4" s="198"/>
      <c r="JBZ4" s="198"/>
      <c r="JCA4" s="198"/>
      <c r="JCB4" s="198"/>
      <c r="JCC4" s="198"/>
      <c r="JCD4" s="198"/>
      <c r="JCE4" s="198"/>
      <c r="JCF4" s="198"/>
      <c r="JCG4" s="198"/>
      <c r="JCH4" s="198"/>
      <c r="JCI4" s="198"/>
      <c r="JCJ4" s="198"/>
      <c r="JCK4" s="198"/>
      <c r="JCL4" s="198"/>
      <c r="JCM4" s="198"/>
      <c r="JCN4" s="198"/>
      <c r="JCO4" s="198"/>
      <c r="JCP4" s="198"/>
      <c r="JCQ4" s="198"/>
      <c r="JCR4" s="198"/>
      <c r="JCS4" s="198"/>
      <c r="JCT4" s="198"/>
      <c r="JCU4" s="198"/>
      <c r="JCV4" s="198"/>
      <c r="JCW4" s="198"/>
      <c r="JCX4" s="198"/>
      <c r="JCY4" s="198"/>
      <c r="JCZ4" s="198"/>
      <c r="JDA4" s="198"/>
      <c r="JDB4" s="198"/>
      <c r="JDC4" s="198"/>
      <c r="JDD4" s="198"/>
      <c r="JDE4" s="198"/>
      <c r="JDF4" s="198"/>
      <c r="JDG4" s="198"/>
      <c r="JDH4" s="198"/>
      <c r="JDI4" s="198"/>
      <c r="JDJ4" s="198"/>
      <c r="JDK4" s="198"/>
      <c r="JDL4" s="198"/>
      <c r="JDM4" s="198"/>
      <c r="JDN4" s="198"/>
      <c r="JDO4" s="198"/>
      <c r="JDP4" s="198"/>
      <c r="JDQ4" s="198"/>
      <c r="JDR4" s="198"/>
      <c r="JDS4" s="198"/>
      <c r="JDT4" s="198"/>
      <c r="JDU4" s="198"/>
      <c r="JDV4" s="198"/>
      <c r="JDW4" s="198"/>
      <c r="JDX4" s="198"/>
      <c r="JDY4" s="198"/>
      <c r="JDZ4" s="198"/>
      <c r="JEA4" s="198"/>
      <c r="JEB4" s="198"/>
      <c r="JEC4" s="198"/>
      <c r="JED4" s="198"/>
      <c r="JEE4" s="198"/>
      <c r="JEF4" s="198"/>
      <c r="JEG4" s="198"/>
      <c r="JEH4" s="198"/>
      <c r="JEI4" s="198"/>
      <c r="JEJ4" s="198"/>
      <c r="JEK4" s="198"/>
      <c r="JEL4" s="198"/>
      <c r="JEM4" s="198"/>
      <c r="JEN4" s="198"/>
      <c r="JEO4" s="198"/>
      <c r="JEP4" s="198"/>
      <c r="JEQ4" s="198"/>
      <c r="JER4" s="198"/>
      <c r="JES4" s="198"/>
      <c r="JET4" s="198"/>
      <c r="JEU4" s="198"/>
      <c r="JEV4" s="198"/>
      <c r="JEW4" s="198"/>
      <c r="JEX4" s="198"/>
      <c r="JEY4" s="198"/>
      <c r="JEZ4" s="198"/>
      <c r="JFA4" s="198"/>
      <c r="JFB4" s="198"/>
      <c r="JFC4" s="198"/>
      <c r="JFD4" s="198"/>
      <c r="JFE4" s="198"/>
      <c r="JFF4" s="198"/>
      <c r="JFG4" s="198"/>
      <c r="JFH4" s="198"/>
      <c r="JFI4" s="198"/>
      <c r="JFJ4" s="198"/>
      <c r="JFK4" s="198"/>
      <c r="JFL4" s="198"/>
      <c r="JFM4" s="198"/>
      <c r="JFN4" s="198"/>
      <c r="JFO4" s="198"/>
      <c r="JFP4" s="198"/>
      <c r="JFQ4" s="198"/>
      <c r="JFR4" s="198"/>
      <c r="JFS4" s="198"/>
      <c r="JFT4" s="198"/>
      <c r="JFU4" s="198"/>
      <c r="JFV4" s="198"/>
      <c r="JFW4" s="198"/>
      <c r="JFX4" s="198"/>
      <c r="JFY4" s="198"/>
      <c r="JFZ4" s="198"/>
      <c r="JGA4" s="198"/>
      <c r="JGB4" s="198"/>
      <c r="JGC4" s="198"/>
      <c r="JGD4" s="198"/>
      <c r="JGE4" s="198"/>
      <c r="JGF4" s="198"/>
      <c r="JGG4" s="198"/>
      <c r="JGH4" s="198"/>
      <c r="JGI4" s="198"/>
      <c r="JGJ4" s="198"/>
      <c r="JGK4" s="198"/>
      <c r="JGL4" s="198"/>
      <c r="JGM4" s="198"/>
      <c r="JGN4" s="198"/>
      <c r="JGO4" s="198"/>
      <c r="JGP4" s="198"/>
      <c r="JGQ4" s="198"/>
      <c r="JGR4" s="198"/>
      <c r="JGS4" s="198"/>
      <c r="JGT4" s="198"/>
      <c r="JGU4" s="198"/>
      <c r="JGV4" s="198"/>
      <c r="JGW4" s="198"/>
      <c r="JGX4" s="198"/>
      <c r="JGY4" s="198"/>
      <c r="JGZ4" s="198"/>
      <c r="JHA4" s="198"/>
      <c r="JHB4" s="198"/>
      <c r="JHC4" s="198"/>
      <c r="JHD4" s="198"/>
      <c r="JHE4" s="198"/>
      <c r="JHF4" s="198"/>
      <c r="JHG4" s="198"/>
      <c r="JHH4" s="198"/>
      <c r="JHI4" s="198"/>
      <c r="JHJ4" s="198"/>
      <c r="JHK4" s="198"/>
      <c r="JHL4" s="198"/>
      <c r="JHM4" s="198"/>
      <c r="JHN4" s="198"/>
      <c r="JHO4" s="198"/>
      <c r="JHP4" s="198"/>
      <c r="JHQ4" s="198"/>
      <c r="JHR4" s="198"/>
      <c r="JHS4" s="198"/>
      <c r="JHT4" s="198"/>
      <c r="JHU4" s="198"/>
      <c r="JHV4" s="198"/>
      <c r="JHW4" s="198"/>
      <c r="JHX4" s="198"/>
      <c r="JHY4" s="198"/>
      <c r="JHZ4" s="198"/>
      <c r="JIA4" s="198"/>
      <c r="JIB4" s="198"/>
      <c r="JIC4" s="198"/>
      <c r="JID4" s="198"/>
      <c r="JIE4" s="198"/>
      <c r="JIF4" s="198"/>
      <c r="JIG4" s="198"/>
      <c r="JIH4" s="198"/>
      <c r="JII4" s="198"/>
      <c r="JIJ4" s="198"/>
      <c r="JIK4" s="198"/>
      <c r="JIL4" s="198"/>
      <c r="JIM4" s="198"/>
      <c r="JIN4" s="198"/>
      <c r="JIO4" s="198"/>
      <c r="JIP4" s="198"/>
      <c r="JIQ4" s="198"/>
      <c r="JIR4" s="198"/>
      <c r="JIS4" s="198"/>
      <c r="JIT4" s="198"/>
      <c r="JIU4" s="198"/>
      <c r="JIV4" s="198"/>
      <c r="JIW4" s="198"/>
      <c r="JIX4" s="198"/>
      <c r="JIY4" s="198"/>
      <c r="JIZ4" s="198"/>
      <c r="JJA4" s="198"/>
      <c r="JJB4" s="198"/>
      <c r="JJC4" s="198"/>
      <c r="JJD4" s="198"/>
      <c r="JJE4" s="198"/>
      <c r="JJF4" s="198"/>
      <c r="JJG4" s="198"/>
      <c r="JJH4" s="198"/>
      <c r="JJI4" s="198"/>
      <c r="JJJ4" s="198"/>
      <c r="JJK4" s="198"/>
      <c r="JJL4" s="198"/>
      <c r="JJM4" s="198"/>
      <c r="JJN4" s="198"/>
      <c r="JJO4" s="198"/>
      <c r="JJP4" s="198"/>
      <c r="JJQ4" s="198"/>
      <c r="JJR4" s="198"/>
      <c r="JJS4" s="198"/>
      <c r="JJT4" s="198"/>
      <c r="JJU4" s="198"/>
      <c r="JJV4" s="198"/>
      <c r="JJW4" s="198"/>
      <c r="JJX4" s="198"/>
      <c r="JJY4" s="198"/>
      <c r="JJZ4" s="198"/>
      <c r="JKA4" s="198"/>
      <c r="JKB4" s="198"/>
      <c r="JKC4" s="198"/>
      <c r="JKD4" s="198"/>
      <c r="JKE4" s="198"/>
      <c r="JKF4" s="198"/>
      <c r="JKG4" s="198"/>
      <c r="JKH4" s="198"/>
      <c r="JKI4" s="198"/>
      <c r="JKJ4" s="198"/>
      <c r="JKK4" s="198"/>
      <c r="JKL4" s="198"/>
      <c r="JKM4" s="198"/>
      <c r="JKN4" s="198"/>
      <c r="JKO4" s="198"/>
      <c r="JKP4" s="198"/>
      <c r="JKQ4" s="198"/>
      <c r="JKR4" s="198"/>
      <c r="JKS4" s="198"/>
      <c r="JKT4" s="198"/>
      <c r="JKU4" s="198"/>
      <c r="JKV4" s="198"/>
      <c r="JKW4" s="198"/>
      <c r="JKX4" s="198"/>
      <c r="JKY4" s="198"/>
      <c r="JKZ4" s="198"/>
      <c r="JLA4" s="198"/>
      <c r="JLB4" s="198"/>
      <c r="JLC4" s="198"/>
      <c r="JLD4" s="198"/>
      <c r="JLE4" s="198"/>
      <c r="JLF4" s="198"/>
      <c r="JLG4" s="198"/>
      <c r="JLH4" s="198"/>
      <c r="JLI4" s="198"/>
      <c r="JLJ4" s="198"/>
      <c r="JLK4" s="198"/>
      <c r="JLL4" s="198"/>
      <c r="JLM4" s="198"/>
      <c r="JLN4" s="198"/>
      <c r="JLO4" s="198"/>
      <c r="JLP4" s="198"/>
      <c r="JLQ4" s="198"/>
      <c r="JLR4" s="198"/>
      <c r="JLS4" s="198"/>
      <c r="JLT4" s="198"/>
      <c r="JLU4" s="198"/>
      <c r="JLV4" s="198"/>
      <c r="JLW4" s="198"/>
      <c r="JLX4" s="198"/>
      <c r="JLY4" s="198"/>
      <c r="JLZ4" s="198"/>
      <c r="JMA4" s="198"/>
      <c r="JMB4" s="198"/>
      <c r="JMC4" s="198"/>
      <c r="JMD4" s="198"/>
      <c r="JME4" s="198"/>
      <c r="JMF4" s="198"/>
      <c r="JMG4" s="198"/>
      <c r="JMH4" s="198"/>
      <c r="JMI4" s="198"/>
      <c r="JMJ4" s="198"/>
      <c r="JMK4" s="198"/>
      <c r="JML4" s="198"/>
      <c r="JMM4" s="198"/>
      <c r="JMN4" s="198"/>
      <c r="JMO4" s="198"/>
      <c r="JMP4" s="198"/>
      <c r="JMQ4" s="198"/>
      <c r="JMR4" s="198"/>
      <c r="JMS4" s="198"/>
      <c r="JMT4" s="198"/>
      <c r="JMU4" s="198"/>
      <c r="JMV4" s="198"/>
      <c r="JMW4" s="198"/>
      <c r="JMX4" s="198"/>
      <c r="JMY4" s="198"/>
      <c r="JMZ4" s="198"/>
      <c r="JNA4" s="198"/>
      <c r="JNB4" s="198"/>
      <c r="JNC4" s="198"/>
      <c r="JND4" s="198"/>
      <c r="JNE4" s="198"/>
      <c r="JNF4" s="198"/>
      <c r="JNG4" s="198"/>
      <c r="JNH4" s="198"/>
      <c r="JNI4" s="198"/>
      <c r="JNJ4" s="198"/>
      <c r="JNK4" s="198"/>
      <c r="JNL4" s="198"/>
      <c r="JNM4" s="198"/>
      <c r="JNN4" s="198"/>
      <c r="JNO4" s="198"/>
      <c r="JNP4" s="198"/>
      <c r="JNQ4" s="198"/>
      <c r="JNR4" s="198"/>
      <c r="JNS4" s="198"/>
      <c r="JNT4" s="198"/>
      <c r="JNU4" s="198"/>
      <c r="JNV4" s="198"/>
      <c r="JNW4" s="198"/>
      <c r="JNX4" s="198"/>
      <c r="JNY4" s="198"/>
      <c r="JNZ4" s="198"/>
      <c r="JOA4" s="198"/>
      <c r="JOB4" s="198"/>
      <c r="JOC4" s="198"/>
      <c r="JOD4" s="198"/>
      <c r="JOE4" s="198"/>
      <c r="JOF4" s="198"/>
      <c r="JOG4" s="198"/>
      <c r="JOH4" s="198"/>
      <c r="JOI4" s="198"/>
      <c r="JOJ4" s="198"/>
      <c r="JOK4" s="198"/>
      <c r="JOL4" s="198"/>
      <c r="JOM4" s="198"/>
      <c r="JON4" s="198"/>
      <c r="JOO4" s="198"/>
      <c r="JOP4" s="198"/>
      <c r="JOQ4" s="198"/>
      <c r="JOR4" s="198"/>
      <c r="JOS4" s="198"/>
      <c r="JOT4" s="198"/>
      <c r="JOU4" s="198"/>
      <c r="JOV4" s="198"/>
      <c r="JOW4" s="198"/>
      <c r="JOX4" s="198"/>
      <c r="JOY4" s="198"/>
      <c r="JOZ4" s="198"/>
      <c r="JPA4" s="198"/>
      <c r="JPB4" s="198"/>
      <c r="JPC4" s="198"/>
      <c r="JPD4" s="198"/>
      <c r="JPE4" s="198"/>
      <c r="JPF4" s="198"/>
      <c r="JPG4" s="198"/>
      <c r="JPH4" s="198"/>
      <c r="JPI4" s="198"/>
      <c r="JPJ4" s="198"/>
      <c r="JPK4" s="198"/>
      <c r="JPL4" s="198"/>
      <c r="JPM4" s="198"/>
      <c r="JPN4" s="198"/>
      <c r="JPO4" s="198"/>
      <c r="JPP4" s="198"/>
      <c r="JPQ4" s="198"/>
      <c r="JPR4" s="198"/>
      <c r="JPS4" s="198"/>
      <c r="JPT4" s="198"/>
      <c r="JPU4" s="198"/>
      <c r="JPV4" s="198"/>
      <c r="JPW4" s="198"/>
      <c r="JPX4" s="198"/>
      <c r="JPY4" s="198"/>
      <c r="JPZ4" s="198"/>
      <c r="JQA4" s="198"/>
      <c r="JQB4" s="198"/>
      <c r="JQC4" s="198"/>
      <c r="JQD4" s="198"/>
      <c r="JQE4" s="198"/>
      <c r="JQF4" s="198"/>
      <c r="JQG4" s="198"/>
      <c r="JQH4" s="198"/>
      <c r="JQI4" s="198"/>
      <c r="JQJ4" s="198"/>
      <c r="JQK4" s="198"/>
      <c r="JQL4" s="198"/>
      <c r="JQM4" s="198"/>
      <c r="JQN4" s="198"/>
      <c r="JQO4" s="198"/>
      <c r="JQP4" s="198"/>
      <c r="JQQ4" s="198"/>
      <c r="JQR4" s="198"/>
      <c r="JQS4" s="198"/>
      <c r="JQT4" s="198"/>
      <c r="JQU4" s="198"/>
      <c r="JQV4" s="198"/>
      <c r="JQW4" s="198"/>
      <c r="JQX4" s="198"/>
      <c r="JQY4" s="198"/>
      <c r="JQZ4" s="198"/>
      <c r="JRA4" s="198"/>
      <c r="JRB4" s="198"/>
      <c r="JRC4" s="198"/>
      <c r="JRD4" s="198"/>
      <c r="JRE4" s="198"/>
      <c r="JRF4" s="198"/>
      <c r="JRG4" s="198"/>
      <c r="JRH4" s="198"/>
      <c r="JRI4" s="198"/>
      <c r="JRJ4" s="198"/>
      <c r="JRK4" s="198"/>
      <c r="JRL4" s="198"/>
      <c r="JRM4" s="198"/>
      <c r="JRN4" s="198"/>
      <c r="JRO4" s="198"/>
      <c r="JRP4" s="198"/>
      <c r="JRQ4" s="198"/>
      <c r="JRR4" s="198"/>
      <c r="JRS4" s="198"/>
      <c r="JRT4" s="198"/>
      <c r="JRU4" s="198"/>
      <c r="JRV4" s="198"/>
      <c r="JRW4" s="198"/>
      <c r="JRX4" s="198"/>
      <c r="JRY4" s="198"/>
      <c r="JRZ4" s="198"/>
      <c r="JSA4" s="198"/>
      <c r="JSB4" s="198"/>
      <c r="JSC4" s="198"/>
      <c r="JSD4" s="198"/>
      <c r="JSE4" s="198"/>
      <c r="JSF4" s="198"/>
      <c r="JSG4" s="198"/>
      <c r="JSH4" s="198"/>
      <c r="JSI4" s="198"/>
      <c r="JSJ4" s="198"/>
      <c r="JSK4" s="198"/>
      <c r="JSL4" s="198"/>
      <c r="JSM4" s="198"/>
      <c r="JSN4" s="198"/>
      <c r="JSO4" s="198"/>
      <c r="JSP4" s="198"/>
      <c r="JSQ4" s="198"/>
      <c r="JSR4" s="198"/>
      <c r="JSS4" s="198"/>
      <c r="JST4" s="198"/>
      <c r="JSU4" s="198"/>
      <c r="JSV4" s="198"/>
      <c r="JSW4" s="198"/>
      <c r="JSX4" s="198"/>
      <c r="JSY4" s="198"/>
      <c r="JSZ4" s="198"/>
      <c r="JTA4" s="198"/>
      <c r="JTB4" s="198"/>
      <c r="JTC4" s="198"/>
      <c r="JTD4" s="198"/>
      <c r="JTE4" s="198"/>
      <c r="JTF4" s="198"/>
      <c r="JTG4" s="198"/>
      <c r="JTH4" s="198"/>
      <c r="JTI4" s="198"/>
      <c r="JTJ4" s="198"/>
      <c r="JTK4" s="198"/>
      <c r="JTL4" s="198"/>
      <c r="JTM4" s="198"/>
      <c r="JTN4" s="198"/>
      <c r="JTO4" s="198"/>
      <c r="JTP4" s="198"/>
      <c r="JTQ4" s="198"/>
      <c r="JTR4" s="198"/>
      <c r="JTS4" s="198"/>
      <c r="JTT4" s="198"/>
      <c r="JTU4" s="198"/>
      <c r="JTV4" s="198"/>
      <c r="JTW4" s="198"/>
      <c r="JTX4" s="198"/>
      <c r="JTY4" s="198"/>
      <c r="JTZ4" s="198"/>
      <c r="JUA4" s="198"/>
      <c r="JUB4" s="198"/>
      <c r="JUC4" s="198"/>
      <c r="JUD4" s="198"/>
      <c r="JUE4" s="198"/>
      <c r="JUF4" s="198"/>
      <c r="JUG4" s="198"/>
      <c r="JUH4" s="198"/>
      <c r="JUI4" s="198"/>
      <c r="JUJ4" s="198"/>
      <c r="JUK4" s="198"/>
      <c r="JUL4" s="198"/>
      <c r="JUM4" s="198"/>
      <c r="JUN4" s="198"/>
      <c r="JUO4" s="198"/>
      <c r="JUP4" s="198"/>
      <c r="JUQ4" s="198"/>
      <c r="JUR4" s="198"/>
      <c r="JUS4" s="198"/>
      <c r="JUT4" s="198"/>
      <c r="JUU4" s="198"/>
      <c r="JUV4" s="198"/>
      <c r="JUW4" s="198"/>
      <c r="JUX4" s="198"/>
      <c r="JUY4" s="198"/>
      <c r="JUZ4" s="198"/>
      <c r="JVA4" s="198"/>
      <c r="JVB4" s="198"/>
      <c r="JVC4" s="198"/>
      <c r="JVD4" s="198"/>
      <c r="JVE4" s="198"/>
      <c r="JVF4" s="198"/>
      <c r="JVG4" s="198"/>
      <c r="JVH4" s="198"/>
      <c r="JVI4" s="198"/>
      <c r="JVJ4" s="198"/>
      <c r="JVK4" s="198"/>
      <c r="JVL4" s="198"/>
      <c r="JVM4" s="198"/>
      <c r="JVN4" s="198"/>
      <c r="JVO4" s="198"/>
      <c r="JVP4" s="198"/>
      <c r="JVQ4" s="198"/>
      <c r="JVR4" s="198"/>
      <c r="JVS4" s="198"/>
      <c r="JVT4" s="198"/>
      <c r="JVU4" s="198"/>
      <c r="JVV4" s="198"/>
      <c r="JVW4" s="198"/>
      <c r="JVX4" s="198"/>
      <c r="JVY4" s="198"/>
      <c r="JVZ4" s="198"/>
      <c r="JWA4" s="198"/>
      <c r="JWB4" s="198"/>
      <c r="JWC4" s="198"/>
      <c r="JWD4" s="198"/>
      <c r="JWE4" s="198"/>
      <c r="JWF4" s="198"/>
      <c r="JWG4" s="198"/>
      <c r="JWH4" s="198"/>
      <c r="JWI4" s="198"/>
      <c r="JWJ4" s="198"/>
      <c r="JWK4" s="198"/>
      <c r="JWL4" s="198"/>
      <c r="JWM4" s="198"/>
      <c r="JWN4" s="198"/>
      <c r="JWO4" s="198"/>
      <c r="JWP4" s="198"/>
      <c r="JWQ4" s="198"/>
      <c r="JWR4" s="198"/>
      <c r="JWS4" s="198"/>
      <c r="JWT4" s="198"/>
      <c r="JWU4" s="198"/>
      <c r="JWV4" s="198"/>
      <c r="JWW4" s="198"/>
      <c r="JWX4" s="198"/>
      <c r="JWY4" s="198"/>
      <c r="JWZ4" s="198"/>
      <c r="JXA4" s="198"/>
      <c r="JXB4" s="198"/>
      <c r="JXC4" s="198"/>
      <c r="JXD4" s="198"/>
      <c r="JXE4" s="198"/>
      <c r="JXF4" s="198"/>
      <c r="JXG4" s="198"/>
      <c r="JXH4" s="198"/>
      <c r="JXI4" s="198"/>
      <c r="JXJ4" s="198"/>
      <c r="JXK4" s="198"/>
      <c r="JXL4" s="198"/>
      <c r="JXM4" s="198"/>
      <c r="JXN4" s="198"/>
      <c r="JXO4" s="198"/>
      <c r="JXP4" s="198"/>
      <c r="JXQ4" s="198"/>
      <c r="JXR4" s="198"/>
      <c r="JXS4" s="198"/>
      <c r="JXT4" s="198"/>
      <c r="JXU4" s="198"/>
      <c r="JXV4" s="198"/>
      <c r="JXW4" s="198"/>
      <c r="JXX4" s="198"/>
      <c r="JXY4" s="198"/>
      <c r="JXZ4" s="198"/>
      <c r="JYA4" s="198"/>
      <c r="JYB4" s="198"/>
      <c r="JYC4" s="198"/>
      <c r="JYD4" s="198"/>
      <c r="JYE4" s="198"/>
      <c r="JYF4" s="198"/>
      <c r="JYG4" s="198"/>
      <c r="JYH4" s="198"/>
      <c r="JYI4" s="198"/>
      <c r="JYJ4" s="198"/>
      <c r="JYK4" s="198"/>
      <c r="JYL4" s="198"/>
      <c r="JYM4" s="198"/>
      <c r="JYN4" s="198"/>
      <c r="JYO4" s="198"/>
      <c r="JYP4" s="198"/>
      <c r="JYQ4" s="198"/>
      <c r="JYR4" s="198"/>
      <c r="JYS4" s="198"/>
      <c r="JYT4" s="198"/>
      <c r="JYU4" s="198"/>
      <c r="JYV4" s="198"/>
      <c r="JYW4" s="198"/>
      <c r="JYX4" s="198"/>
      <c r="JYY4" s="198"/>
      <c r="JYZ4" s="198"/>
      <c r="JZA4" s="198"/>
      <c r="JZB4" s="198"/>
      <c r="JZC4" s="198"/>
      <c r="JZD4" s="198"/>
      <c r="JZE4" s="198"/>
      <c r="JZF4" s="198"/>
      <c r="JZG4" s="198"/>
      <c r="JZH4" s="198"/>
      <c r="JZI4" s="198"/>
      <c r="JZJ4" s="198"/>
      <c r="JZK4" s="198"/>
      <c r="JZL4" s="198"/>
      <c r="JZM4" s="198"/>
      <c r="JZN4" s="198"/>
      <c r="JZO4" s="198"/>
      <c r="JZP4" s="198"/>
      <c r="JZQ4" s="198"/>
      <c r="JZR4" s="198"/>
      <c r="JZS4" s="198"/>
      <c r="JZT4" s="198"/>
      <c r="JZU4" s="198"/>
      <c r="JZV4" s="198"/>
      <c r="JZW4" s="198"/>
      <c r="JZX4" s="198"/>
      <c r="JZY4" s="198"/>
      <c r="JZZ4" s="198"/>
      <c r="KAA4" s="198"/>
      <c r="KAB4" s="198"/>
      <c r="KAC4" s="198"/>
      <c r="KAD4" s="198"/>
      <c r="KAE4" s="198"/>
      <c r="KAF4" s="198"/>
      <c r="KAG4" s="198"/>
      <c r="KAH4" s="198"/>
      <c r="KAI4" s="198"/>
      <c r="KAJ4" s="198"/>
      <c r="KAK4" s="198"/>
      <c r="KAL4" s="198"/>
      <c r="KAM4" s="198"/>
      <c r="KAN4" s="198"/>
      <c r="KAO4" s="198"/>
      <c r="KAP4" s="198"/>
      <c r="KAQ4" s="198"/>
      <c r="KAR4" s="198"/>
      <c r="KAS4" s="198"/>
      <c r="KAT4" s="198"/>
      <c r="KAU4" s="198"/>
      <c r="KAV4" s="198"/>
      <c r="KAW4" s="198"/>
      <c r="KAX4" s="198"/>
      <c r="KAY4" s="198"/>
      <c r="KAZ4" s="198"/>
      <c r="KBA4" s="198"/>
      <c r="KBB4" s="198"/>
      <c r="KBC4" s="198"/>
      <c r="KBD4" s="198"/>
      <c r="KBE4" s="198"/>
      <c r="KBF4" s="198"/>
      <c r="KBG4" s="198"/>
      <c r="KBH4" s="198"/>
      <c r="KBI4" s="198"/>
      <c r="KBJ4" s="198"/>
      <c r="KBK4" s="198"/>
      <c r="KBL4" s="198"/>
      <c r="KBM4" s="198"/>
      <c r="KBN4" s="198"/>
      <c r="KBO4" s="198"/>
      <c r="KBP4" s="198"/>
      <c r="KBQ4" s="198"/>
      <c r="KBR4" s="198"/>
      <c r="KBS4" s="198"/>
      <c r="KBT4" s="198"/>
      <c r="KBU4" s="198"/>
      <c r="KBV4" s="198"/>
      <c r="KBW4" s="198"/>
      <c r="KBX4" s="198"/>
      <c r="KBY4" s="198"/>
      <c r="KBZ4" s="198"/>
      <c r="KCA4" s="198"/>
      <c r="KCB4" s="198"/>
      <c r="KCC4" s="198"/>
      <c r="KCD4" s="198"/>
      <c r="KCE4" s="198"/>
      <c r="KCF4" s="198"/>
      <c r="KCG4" s="198"/>
      <c r="KCH4" s="198"/>
      <c r="KCI4" s="198"/>
      <c r="KCJ4" s="198"/>
      <c r="KCK4" s="198"/>
      <c r="KCL4" s="198"/>
      <c r="KCM4" s="198"/>
      <c r="KCN4" s="198"/>
      <c r="KCO4" s="198"/>
      <c r="KCP4" s="198"/>
      <c r="KCQ4" s="198"/>
      <c r="KCR4" s="198"/>
      <c r="KCS4" s="198"/>
      <c r="KCT4" s="198"/>
      <c r="KCU4" s="198"/>
      <c r="KCV4" s="198"/>
      <c r="KCW4" s="198"/>
      <c r="KCX4" s="198"/>
      <c r="KCY4" s="198"/>
      <c r="KCZ4" s="198"/>
      <c r="KDA4" s="198"/>
      <c r="KDB4" s="198"/>
      <c r="KDC4" s="198"/>
      <c r="KDD4" s="198"/>
      <c r="KDE4" s="198"/>
      <c r="KDF4" s="198"/>
      <c r="KDG4" s="198"/>
      <c r="KDH4" s="198"/>
      <c r="KDI4" s="198"/>
      <c r="KDJ4" s="198"/>
      <c r="KDK4" s="198"/>
      <c r="KDL4" s="198"/>
      <c r="KDM4" s="198"/>
      <c r="KDN4" s="198"/>
      <c r="KDO4" s="198"/>
      <c r="KDP4" s="198"/>
      <c r="KDQ4" s="198"/>
      <c r="KDR4" s="198"/>
      <c r="KDS4" s="198"/>
      <c r="KDT4" s="198"/>
      <c r="KDU4" s="198"/>
      <c r="KDV4" s="198"/>
      <c r="KDW4" s="198"/>
      <c r="KDX4" s="198"/>
      <c r="KDY4" s="198"/>
      <c r="KDZ4" s="198"/>
      <c r="KEA4" s="198"/>
      <c r="KEB4" s="198"/>
      <c r="KEC4" s="198"/>
      <c r="KED4" s="198"/>
      <c r="KEE4" s="198"/>
      <c r="KEF4" s="198"/>
      <c r="KEG4" s="198"/>
      <c r="KEH4" s="198"/>
      <c r="KEI4" s="198"/>
      <c r="KEJ4" s="198"/>
      <c r="KEK4" s="198"/>
      <c r="KEL4" s="198"/>
      <c r="KEM4" s="198"/>
      <c r="KEN4" s="198"/>
      <c r="KEO4" s="198"/>
      <c r="KEP4" s="198"/>
      <c r="KEQ4" s="198"/>
      <c r="KER4" s="198"/>
      <c r="KES4" s="198"/>
      <c r="KET4" s="198"/>
      <c r="KEU4" s="198"/>
      <c r="KEV4" s="198"/>
      <c r="KEW4" s="198"/>
      <c r="KEX4" s="198"/>
      <c r="KEY4" s="198"/>
      <c r="KEZ4" s="198"/>
      <c r="KFA4" s="198"/>
      <c r="KFB4" s="198"/>
      <c r="KFC4" s="198"/>
      <c r="KFD4" s="198"/>
      <c r="KFE4" s="198"/>
      <c r="KFF4" s="198"/>
      <c r="KFG4" s="198"/>
      <c r="KFH4" s="198"/>
      <c r="KFI4" s="198"/>
      <c r="KFJ4" s="198"/>
      <c r="KFK4" s="198"/>
      <c r="KFL4" s="198"/>
      <c r="KFM4" s="198"/>
      <c r="KFN4" s="198"/>
      <c r="KFO4" s="198"/>
      <c r="KFP4" s="198"/>
      <c r="KFQ4" s="198"/>
      <c r="KFR4" s="198"/>
      <c r="KFS4" s="198"/>
      <c r="KFT4" s="198"/>
      <c r="KFU4" s="198"/>
      <c r="KFV4" s="198"/>
      <c r="KFW4" s="198"/>
      <c r="KFX4" s="198"/>
      <c r="KFY4" s="198"/>
      <c r="KFZ4" s="198"/>
      <c r="KGA4" s="198"/>
      <c r="KGB4" s="198"/>
      <c r="KGC4" s="198"/>
      <c r="KGD4" s="198"/>
      <c r="KGE4" s="198"/>
      <c r="KGF4" s="198"/>
      <c r="KGG4" s="198"/>
      <c r="KGH4" s="198"/>
      <c r="KGI4" s="198"/>
      <c r="KGJ4" s="198"/>
      <c r="KGK4" s="198"/>
      <c r="KGL4" s="198"/>
      <c r="KGM4" s="198"/>
      <c r="KGN4" s="198"/>
      <c r="KGO4" s="198"/>
      <c r="KGP4" s="198"/>
      <c r="KGQ4" s="198"/>
      <c r="KGR4" s="198"/>
      <c r="KGS4" s="198"/>
      <c r="KGT4" s="198"/>
      <c r="KGU4" s="198"/>
      <c r="KGV4" s="198"/>
      <c r="KGW4" s="198"/>
      <c r="KGX4" s="198"/>
      <c r="KGY4" s="198"/>
      <c r="KGZ4" s="198"/>
      <c r="KHA4" s="198"/>
      <c r="KHB4" s="198"/>
      <c r="KHC4" s="198"/>
      <c r="KHD4" s="198"/>
      <c r="KHE4" s="198"/>
      <c r="KHF4" s="198"/>
      <c r="KHG4" s="198"/>
      <c r="KHH4" s="198"/>
      <c r="KHI4" s="198"/>
      <c r="KHJ4" s="198"/>
      <c r="KHK4" s="198"/>
      <c r="KHL4" s="198"/>
      <c r="KHM4" s="198"/>
      <c r="KHN4" s="198"/>
      <c r="KHO4" s="198"/>
      <c r="KHP4" s="198"/>
      <c r="KHQ4" s="198"/>
      <c r="KHR4" s="198"/>
      <c r="KHS4" s="198"/>
      <c r="KHT4" s="198"/>
      <c r="KHU4" s="198"/>
      <c r="KHV4" s="198"/>
      <c r="KHW4" s="198"/>
      <c r="KHX4" s="198"/>
      <c r="KHY4" s="198"/>
      <c r="KHZ4" s="198"/>
      <c r="KIA4" s="198"/>
      <c r="KIB4" s="198"/>
      <c r="KIC4" s="198"/>
      <c r="KID4" s="198"/>
      <c r="KIE4" s="198"/>
      <c r="KIF4" s="198"/>
      <c r="KIG4" s="198"/>
      <c r="KIH4" s="198"/>
      <c r="KII4" s="198"/>
      <c r="KIJ4" s="198"/>
      <c r="KIK4" s="198"/>
      <c r="KIL4" s="198"/>
      <c r="KIM4" s="198"/>
      <c r="KIN4" s="198"/>
      <c r="KIO4" s="198"/>
      <c r="KIP4" s="198"/>
      <c r="KIQ4" s="198"/>
      <c r="KIR4" s="198"/>
      <c r="KIS4" s="198"/>
      <c r="KIT4" s="198"/>
      <c r="KIU4" s="198"/>
      <c r="KIV4" s="198"/>
      <c r="KIW4" s="198"/>
      <c r="KIX4" s="198"/>
      <c r="KIY4" s="198"/>
      <c r="KIZ4" s="198"/>
      <c r="KJA4" s="198"/>
      <c r="KJB4" s="198"/>
      <c r="KJC4" s="198"/>
      <c r="KJD4" s="198"/>
      <c r="KJE4" s="198"/>
      <c r="KJF4" s="198"/>
      <c r="KJG4" s="198"/>
      <c r="KJH4" s="198"/>
      <c r="KJI4" s="198"/>
      <c r="KJJ4" s="198"/>
      <c r="KJK4" s="198"/>
      <c r="KJL4" s="198"/>
      <c r="KJM4" s="198"/>
      <c r="KJN4" s="198"/>
      <c r="KJO4" s="198"/>
      <c r="KJP4" s="198"/>
      <c r="KJQ4" s="198"/>
      <c r="KJR4" s="198"/>
      <c r="KJS4" s="198"/>
      <c r="KJT4" s="198"/>
      <c r="KJU4" s="198"/>
      <c r="KJV4" s="198"/>
      <c r="KJW4" s="198"/>
      <c r="KJX4" s="198"/>
      <c r="KJY4" s="198"/>
      <c r="KJZ4" s="198"/>
      <c r="KKA4" s="198"/>
      <c r="KKB4" s="198"/>
      <c r="KKC4" s="198"/>
      <c r="KKD4" s="198"/>
      <c r="KKE4" s="198"/>
      <c r="KKF4" s="198"/>
      <c r="KKG4" s="198"/>
      <c r="KKH4" s="198"/>
      <c r="KKI4" s="198"/>
      <c r="KKJ4" s="198"/>
      <c r="KKK4" s="198"/>
      <c r="KKL4" s="198"/>
      <c r="KKM4" s="198"/>
      <c r="KKN4" s="198"/>
      <c r="KKO4" s="198"/>
      <c r="KKP4" s="198"/>
      <c r="KKQ4" s="198"/>
      <c r="KKR4" s="198"/>
      <c r="KKS4" s="198"/>
      <c r="KKT4" s="198"/>
      <c r="KKU4" s="198"/>
      <c r="KKV4" s="198"/>
      <c r="KKW4" s="198"/>
      <c r="KKX4" s="198"/>
      <c r="KKY4" s="198"/>
      <c r="KKZ4" s="198"/>
      <c r="KLA4" s="198"/>
      <c r="KLB4" s="198"/>
      <c r="KLC4" s="198"/>
      <c r="KLD4" s="198"/>
      <c r="KLE4" s="198"/>
      <c r="KLF4" s="198"/>
      <c r="KLG4" s="198"/>
      <c r="KLH4" s="198"/>
      <c r="KLI4" s="198"/>
      <c r="KLJ4" s="198"/>
      <c r="KLK4" s="198"/>
      <c r="KLL4" s="198"/>
      <c r="KLM4" s="198"/>
      <c r="KLN4" s="198"/>
      <c r="KLO4" s="198"/>
      <c r="KLP4" s="198"/>
      <c r="KLQ4" s="198"/>
      <c r="KLR4" s="198"/>
      <c r="KLS4" s="198"/>
      <c r="KLT4" s="198"/>
      <c r="KLU4" s="198"/>
      <c r="KLV4" s="198"/>
      <c r="KLW4" s="198"/>
      <c r="KLX4" s="198"/>
      <c r="KLY4" s="198"/>
      <c r="KLZ4" s="198"/>
      <c r="KMA4" s="198"/>
      <c r="KMB4" s="198"/>
      <c r="KMC4" s="198"/>
      <c r="KMD4" s="198"/>
      <c r="KME4" s="198"/>
      <c r="KMF4" s="198"/>
      <c r="KMG4" s="198"/>
      <c r="KMH4" s="198"/>
      <c r="KMI4" s="198"/>
      <c r="KMJ4" s="198"/>
      <c r="KMK4" s="198"/>
      <c r="KML4" s="198"/>
      <c r="KMM4" s="198"/>
      <c r="KMN4" s="198"/>
      <c r="KMO4" s="198"/>
      <c r="KMP4" s="198"/>
      <c r="KMQ4" s="198"/>
      <c r="KMR4" s="198"/>
      <c r="KMS4" s="198"/>
      <c r="KMT4" s="198"/>
      <c r="KMU4" s="198"/>
      <c r="KMV4" s="198"/>
      <c r="KMW4" s="198"/>
      <c r="KMX4" s="198"/>
      <c r="KMY4" s="198"/>
      <c r="KMZ4" s="198"/>
      <c r="KNA4" s="198"/>
      <c r="KNB4" s="198"/>
      <c r="KNC4" s="198"/>
      <c r="KND4" s="198"/>
      <c r="KNE4" s="198"/>
      <c r="KNF4" s="198"/>
      <c r="KNG4" s="198"/>
      <c r="KNH4" s="198"/>
      <c r="KNI4" s="198"/>
      <c r="KNJ4" s="198"/>
      <c r="KNK4" s="198"/>
      <c r="KNL4" s="198"/>
      <c r="KNM4" s="198"/>
      <c r="KNN4" s="198"/>
      <c r="KNO4" s="198"/>
      <c r="KNP4" s="198"/>
      <c r="KNQ4" s="198"/>
      <c r="KNR4" s="198"/>
      <c r="KNS4" s="198"/>
      <c r="KNT4" s="198"/>
      <c r="KNU4" s="198"/>
      <c r="KNV4" s="198"/>
      <c r="KNW4" s="198"/>
      <c r="KNX4" s="198"/>
      <c r="KNY4" s="198"/>
      <c r="KNZ4" s="198"/>
      <c r="KOA4" s="198"/>
      <c r="KOB4" s="198"/>
      <c r="KOC4" s="198"/>
      <c r="KOD4" s="198"/>
      <c r="KOE4" s="198"/>
      <c r="KOF4" s="198"/>
      <c r="KOG4" s="198"/>
      <c r="KOH4" s="198"/>
      <c r="KOI4" s="198"/>
      <c r="KOJ4" s="198"/>
      <c r="KOK4" s="198"/>
      <c r="KOL4" s="198"/>
      <c r="KOM4" s="198"/>
      <c r="KON4" s="198"/>
      <c r="KOO4" s="198"/>
      <c r="KOP4" s="198"/>
      <c r="KOQ4" s="198"/>
      <c r="KOR4" s="198"/>
      <c r="KOS4" s="198"/>
      <c r="KOT4" s="198"/>
      <c r="KOU4" s="198"/>
      <c r="KOV4" s="198"/>
      <c r="KOW4" s="198"/>
      <c r="KOX4" s="198"/>
      <c r="KOY4" s="198"/>
      <c r="KOZ4" s="198"/>
      <c r="KPA4" s="198"/>
      <c r="KPB4" s="198"/>
      <c r="KPC4" s="198"/>
      <c r="KPD4" s="198"/>
      <c r="KPE4" s="198"/>
      <c r="KPF4" s="198"/>
      <c r="KPG4" s="198"/>
      <c r="KPH4" s="198"/>
      <c r="KPI4" s="198"/>
      <c r="KPJ4" s="198"/>
      <c r="KPK4" s="198"/>
      <c r="KPL4" s="198"/>
      <c r="KPM4" s="198"/>
      <c r="KPN4" s="198"/>
      <c r="KPO4" s="198"/>
      <c r="KPP4" s="198"/>
      <c r="KPQ4" s="198"/>
      <c r="KPR4" s="198"/>
      <c r="KPS4" s="198"/>
      <c r="KPT4" s="198"/>
      <c r="KPU4" s="198"/>
      <c r="KPV4" s="198"/>
      <c r="KPW4" s="198"/>
      <c r="KPX4" s="198"/>
      <c r="KPY4" s="198"/>
      <c r="KPZ4" s="198"/>
      <c r="KQA4" s="198"/>
      <c r="KQB4" s="198"/>
      <c r="KQC4" s="198"/>
      <c r="KQD4" s="198"/>
      <c r="KQE4" s="198"/>
      <c r="KQF4" s="198"/>
      <c r="KQG4" s="198"/>
      <c r="KQH4" s="198"/>
      <c r="KQI4" s="198"/>
      <c r="KQJ4" s="198"/>
      <c r="KQK4" s="198"/>
      <c r="KQL4" s="198"/>
      <c r="KQM4" s="198"/>
      <c r="KQN4" s="198"/>
      <c r="KQO4" s="198"/>
      <c r="KQP4" s="198"/>
      <c r="KQQ4" s="198"/>
      <c r="KQR4" s="198"/>
      <c r="KQS4" s="198"/>
      <c r="KQT4" s="198"/>
      <c r="KQU4" s="198"/>
      <c r="KQV4" s="198"/>
      <c r="KQW4" s="198"/>
      <c r="KQX4" s="198"/>
      <c r="KQY4" s="198"/>
      <c r="KQZ4" s="198"/>
      <c r="KRA4" s="198"/>
      <c r="KRB4" s="198"/>
      <c r="KRC4" s="198"/>
      <c r="KRD4" s="198"/>
      <c r="KRE4" s="198"/>
      <c r="KRF4" s="198"/>
      <c r="KRG4" s="198"/>
      <c r="KRH4" s="198"/>
      <c r="KRI4" s="198"/>
      <c r="KRJ4" s="198"/>
      <c r="KRK4" s="198"/>
      <c r="KRL4" s="198"/>
      <c r="KRM4" s="198"/>
      <c r="KRN4" s="198"/>
      <c r="KRO4" s="198"/>
      <c r="KRP4" s="198"/>
      <c r="KRQ4" s="198"/>
      <c r="KRR4" s="198"/>
      <c r="KRS4" s="198"/>
      <c r="KRT4" s="198"/>
      <c r="KRU4" s="198"/>
      <c r="KRV4" s="198"/>
      <c r="KRW4" s="198"/>
      <c r="KRX4" s="198"/>
      <c r="KRY4" s="198"/>
      <c r="KRZ4" s="198"/>
      <c r="KSA4" s="198"/>
      <c r="KSB4" s="198"/>
      <c r="KSC4" s="198"/>
      <c r="KSD4" s="198"/>
      <c r="KSE4" s="198"/>
      <c r="KSF4" s="198"/>
      <c r="KSG4" s="198"/>
      <c r="KSH4" s="198"/>
      <c r="KSI4" s="198"/>
      <c r="KSJ4" s="198"/>
      <c r="KSK4" s="198"/>
      <c r="KSL4" s="198"/>
      <c r="KSM4" s="198"/>
      <c r="KSN4" s="198"/>
      <c r="KSO4" s="198"/>
      <c r="KSP4" s="198"/>
      <c r="KSQ4" s="198"/>
      <c r="KSR4" s="198"/>
      <c r="KSS4" s="198"/>
      <c r="KST4" s="198"/>
      <c r="KSU4" s="198"/>
      <c r="KSV4" s="198"/>
      <c r="KSW4" s="198"/>
      <c r="KSX4" s="198"/>
      <c r="KSY4" s="198"/>
      <c r="KSZ4" s="198"/>
      <c r="KTA4" s="198"/>
      <c r="KTB4" s="198"/>
      <c r="KTC4" s="198"/>
      <c r="KTD4" s="198"/>
      <c r="KTE4" s="198"/>
      <c r="KTF4" s="198"/>
      <c r="KTG4" s="198"/>
      <c r="KTH4" s="198"/>
      <c r="KTI4" s="198"/>
      <c r="KTJ4" s="198"/>
      <c r="KTK4" s="198"/>
      <c r="KTL4" s="198"/>
      <c r="KTM4" s="198"/>
      <c r="KTN4" s="198"/>
      <c r="KTO4" s="198"/>
      <c r="KTP4" s="198"/>
      <c r="KTQ4" s="198"/>
      <c r="KTR4" s="198"/>
      <c r="KTS4" s="198"/>
      <c r="KTT4" s="198"/>
      <c r="KTU4" s="198"/>
      <c r="KTV4" s="198"/>
      <c r="KTW4" s="198"/>
      <c r="KTX4" s="198"/>
      <c r="KTY4" s="198"/>
      <c r="KTZ4" s="198"/>
      <c r="KUA4" s="198"/>
      <c r="KUB4" s="198"/>
      <c r="KUC4" s="198"/>
      <c r="KUD4" s="198"/>
      <c r="KUE4" s="198"/>
      <c r="KUF4" s="198"/>
      <c r="KUG4" s="198"/>
      <c r="KUH4" s="198"/>
      <c r="KUI4" s="198"/>
      <c r="KUJ4" s="198"/>
      <c r="KUK4" s="198"/>
      <c r="KUL4" s="198"/>
      <c r="KUM4" s="198"/>
      <c r="KUN4" s="198"/>
      <c r="KUO4" s="198"/>
      <c r="KUP4" s="198"/>
      <c r="KUQ4" s="198"/>
      <c r="KUR4" s="198"/>
      <c r="KUS4" s="198"/>
      <c r="KUT4" s="198"/>
      <c r="KUU4" s="198"/>
      <c r="KUV4" s="198"/>
      <c r="KUW4" s="198"/>
      <c r="KUX4" s="198"/>
      <c r="KUY4" s="198"/>
      <c r="KUZ4" s="198"/>
      <c r="KVA4" s="198"/>
      <c r="KVB4" s="198"/>
      <c r="KVC4" s="198"/>
      <c r="KVD4" s="198"/>
      <c r="KVE4" s="198"/>
      <c r="KVF4" s="198"/>
      <c r="KVG4" s="198"/>
      <c r="KVH4" s="198"/>
      <c r="KVI4" s="198"/>
      <c r="KVJ4" s="198"/>
      <c r="KVK4" s="198"/>
      <c r="KVL4" s="198"/>
      <c r="KVM4" s="198"/>
      <c r="KVN4" s="198"/>
      <c r="KVO4" s="198"/>
      <c r="KVP4" s="198"/>
      <c r="KVQ4" s="198"/>
      <c r="KVR4" s="198"/>
      <c r="KVS4" s="198"/>
      <c r="KVT4" s="198"/>
      <c r="KVU4" s="198"/>
      <c r="KVV4" s="198"/>
      <c r="KVW4" s="198"/>
      <c r="KVX4" s="198"/>
      <c r="KVY4" s="198"/>
      <c r="KVZ4" s="198"/>
      <c r="KWA4" s="198"/>
      <c r="KWB4" s="198"/>
      <c r="KWC4" s="198"/>
      <c r="KWD4" s="198"/>
      <c r="KWE4" s="198"/>
      <c r="KWF4" s="198"/>
      <c r="KWG4" s="198"/>
      <c r="KWH4" s="198"/>
      <c r="KWI4" s="198"/>
      <c r="KWJ4" s="198"/>
      <c r="KWK4" s="198"/>
      <c r="KWL4" s="198"/>
      <c r="KWM4" s="198"/>
      <c r="KWN4" s="198"/>
      <c r="KWO4" s="198"/>
      <c r="KWP4" s="198"/>
      <c r="KWQ4" s="198"/>
      <c r="KWR4" s="198"/>
      <c r="KWS4" s="198"/>
      <c r="KWT4" s="198"/>
      <c r="KWU4" s="198"/>
      <c r="KWV4" s="198"/>
      <c r="KWW4" s="198"/>
      <c r="KWX4" s="198"/>
      <c r="KWY4" s="198"/>
      <c r="KWZ4" s="198"/>
      <c r="KXA4" s="198"/>
      <c r="KXB4" s="198"/>
      <c r="KXC4" s="198"/>
      <c r="KXD4" s="198"/>
      <c r="KXE4" s="198"/>
      <c r="KXF4" s="198"/>
      <c r="KXG4" s="198"/>
      <c r="KXH4" s="198"/>
      <c r="KXI4" s="198"/>
      <c r="KXJ4" s="198"/>
      <c r="KXK4" s="198"/>
      <c r="KXL4" s="198"/>
      <c r="KXM4" s="198"/>
      <c r="KXN4" s="198"/>
      <c r="KXO4" s="198"/>
      <c r="KXP4" s="198"/>
      <c r="KXQ4" s="198"/>
      <c r="KXR4" s="198"/>
      <c r="KXS4" s="198"/>
      <c r="KXT4" s="198"/>
      <c r="KXU4" s="198"/>
      <c r="KXV4" s="198"/>
      <c r="KXW4" s="198"/>
      <c r="KXX4" s="198"/>
      <c r="KXY4" s="198"/>
      <c r="KXZ4" s="198"/>
      <c r="KYA4" s="198"/>
      <c r="KYB4" s="198"/>
      <c r="KYC4" s="198"/>
      <c r="KYD4" s="198"/>
      <c r="KYE4" s="198"/>
      <c r="KYF4" s="198"/>
      <c r="KYG4" s="198"/>
      <c r="KYH4" s="198"/>
      <c r="KYI4" s="198"/>
      <c r="KYJ4" s="198"/>
      <c r="KYK4" s="198"/>
      <c r="KYL4" s="198"/>
      <c r="KYM4" s="198"/>
      <c r="KYN4" s="198"/>
      <c r="KYO4" s="198"/>
      <c r="KYP4" s="198"/>
      <c r="KYQ4" s="198"/>
      <c r="KYR4" s="198"/>
      <c r="KYS4" s="198"/>
      <c r="KYT4" s="198"/>
      <c r="KYU4" s="198"/>
      <c r="KYV4" s="198"/>
      <c r="KYW4" s="198"/>
      <c r="KYX4" s="198"/>
      <c r="KYY4" s="198"/>
      <c r="KYZ4" s="198"/>
      <c r="KZA4" s="198"/>
      <c r="KZB4" s="198"/>
      <c r="KZC4" s="198"/>
      <c r="KZD4" s="198"/>
      <c r="KZE4" s="198"/>
      <c r="KZF4" s="198"/>
      <c r="KZG4" s="198"/>
      <c r="KZH4" s="198"/>
      <c r="KZI4" s="198"/>
      <c r="KZJ4" s="198"/>
      <c r="KZK4" s="198"/>
      <c r="KZL4" s="198"/>
      <c r="KZM4" s="198"/>
      <c r="KZN4" s="198"/>
      <c r="KZO4" s="198"/>
      <c r="KZP4" s="198"/>
      <c r="KZQ4" s="198"/>
      <c r="KZR4" s="198"/>
      <c r="KZS4" s="198"/>
      <c r="KZT4" s="198"/>
      <c r="KZU4" s="198"/>
      <c r="KZV4" s="198"/>
      <c r="KZW4" s="198"/>
      <c r="KZX4" s="198"/>
      <c r="KZY4" s="198"/>
      <c r="KZZ4" s="198"/>
      <c r="LAA4" s="198"/>
      <c r="LAB4" s="198"/>
      <c r="LAC4" s="198"/>
      <c r="LAD4" s="198"/>
      <c r="LAE4" s="198"/>
      <c r="LAF4" s="198"/>
      <c r="LAG4" s="198"/>
      <c r="LAH4" s="198"/>
      <c r="LAI4" s="198"/>
      <c r="LAJ4" s="198"/>
      <c r="LAK4" s="198"/>
      <c r="LAL4" s="198"/>
      <c r="LAM4" s="198"/>
      <c r="LAN4" s="198"/>
      <c r="LAO4" s="198"/>
      <c r="LAP4" s="198"/>
      <c r="LAQ4" s="198"/>
      <c r="LAR4" s="198"/>
      <c r="LAS4" s="198"/>
      <c r="LAT4" s="198"/>
      <c r="LAU4" s="198"/>
      <c r="LAV4" s="198"/>
      <c r="LAW4" s="198"/>
      <c r="LAX4" s="198"/>
      <c r="LAY4" s="198"/>
      <c r="LAZ4" s="198"/>
      <c r="LBA4" s="198"/>
      <c r="LBB4" s="198"/>
      <c r="LBC4" s="198"/>
      <c r="LBD4" s="198"/>
      <c r="LBE4" s="198"/>
      <c r="LBF4" s="198"/>
      <c r="LBG4" s="198"/>
      <c r="LBH4" s="198"/>
      <c r="LBI4" s="198"/>
      <c r="LBJ4" s="198"/>
      <c r="LBK4" s="198"/>
      <c r="LBL4" s="198"/>
      <c r="LBM4" s="198"/>
      <c r="LBN4" s="198"/>
      <c r="LBO4" s="198"/>
      <c r="LBP4" s="198"/>
      <c r="LBQ4" s="198"/>
      <c r="LBR4" s="198"/>
      <c r="LBS4" s="198"/>
      <c r="LBT4" s="198"/>
      <c r="LBU4" s="198"/>
      <c r="LBV4" s="198"/>
      <c r="LBW4" s="198"/>
      <c r="LBX4" s="198"/>
      <c r="LBY4" s="198"/>
      <c r="LBZ4" s="198"/>
      <c r="LCA4" s="198"/>
      <c r="LCB4" s="198"/>
      <c r="LCC4" s="198"/>
      <c r="LCD4" s="198"/>
      <c r="LCE4" s="198"/>
      <c r="LCF4" s="198"/>
      <c r="LCG4" s="198"/>
      <c r="LCH4" s="198"/>
      <c r="LCI4" s="198"/>
      <c r="LCJ4" s="198"/>
      <c r="LCK4" s="198"/>
      <c r="LCL4" s="198"/>
      <c r="LCM4" s="198"/>
      <c r="LCN4" s="198"/>
      <c r="LCO4" s="198"/>
      <c r="LCP4" s="198"/>
      <c r="LCQ4" s="198"/>
      <c r="LCR4" s="198"/>
      <c r="LCS4" s="198"/>
      <c r="LCT4" s="198"/>
      <c r="LCU4" s="198"/>
      <c r="LCV4" s="198"/>
      <c r="LCW4" s="198"/>
      <c r="LCX4" s="198"/>
      <c r="LCY4" s="198"/>
      <c r="LCZ4" s="198"/>
      <c r="LDA4" s="198"/>
      <c r="LDB4" s="198"/>
      <c r="LDC4" s="198"/>
      <c r="LDD4" s="198"/>
      <c r="LDE4" s="198"/>
      <c r="LDF4" s="198"/>
      <c r="LDG4" s="198"/>
      <c r="LDH4" s="198"/>
      <c r="LDI4" s="198"/>
      <c r="LDJ4" s="198"/>
      <c r="LDK4" s="198"/>
      <c r="LDL4" s="198"/>
      <c r="LDM4" s="198"/>
      <c r="LDN4" s="198"/>
      <c r="LDO4" s="198"/>
      <c r="LDP4" s="198"/>
      <c r="LDQ4" s="198"/>
      <c r="LDR4" s="198"/>
      <c r="LDS4" s="198"/>
      <c r="LDT4" s="198"/>
      <c r="LDU4" s="198"/>
      <c r="LDV4" s="198"/>
      <c r="LDW4" s="198"/>
      <c r="LDX4" s="198"/>
      <c r="LDY4" s="198"/>
      <c r="LDZ4" s="198"/>
      <c r="LEA4" s="198"/>
      <c r="LEB4" s="198"/>
      <c r="LEC4" s="198"/>
      <c r="LED4" s="198"/>
      <c r="LEE4" s="198"/>
      <c r="LEF4" s="198"/>
      <c r="LEG4" s="198"/>
      <c r="LEH4" s="198"/>
      <c r="LEI4" s="198"/>
      <c r="LEJ4" s="198"/>
      <c r="LEK4" s="198"/>
      <c r="LEL4" s="198"/>
      <c r="LEM4" s="198"/>
      <c r="LEN4" s="198"/>
      <c r="LEO4" s="198"/>
      <c r="LEP4" s="198"/>
      <c r="LEQ4" s="198"/>
      <c r="LER4" s="198"/>
      <c r="LES4" s="198"/>
      <c r="LET4" s="198"/>
      <c r="LEU4" s="198"/>
      <c r="LEV4" s="198"/>
      <c r="LEW4" s="198"/>
      <c r="LEX4" s="198"/>
      <c r="LEY4" s="198"/>
      <c r="LEZ4" s="198"/>
      <c r="LFA4" s="198"/>
      <c r="LFB4" s="198"/>
      <c r="LFC4" s="198"/>
      <c r="LFD4" s="198"/>
      <c r="LFE4" s="198"/>
      <c r="LFF4" s="198"/>
      <c r="LFG4" s="198"/>
      <c r="LFH4" s="198"/>
      <c r="LFI4" s="198"/>
      <c r="LFJ4" s="198"/>
      <c r="LFK4" s="198"/>
      <c r="LFL4" s="198"/>
      <c r="LFM4" s="198"/>
      <c r="LFN4" s="198"/>
      <c r="LFO4" s="198"/>
      <c r="LFP4" s="198"/>
      <c r="LFQ4" s="198"/>
      <c r="LFR4" s="198"/>
      <c r="LFS4" s="198"/>
      <c r="LFT4" s="198"/>
      <c r="LFU4" s="198"/>
      <c r="LFV4" s="198"/>
      <c r="LFW4" s="198"/>
      <c r="LFX4" s="198"/>
      <c r="LFY4" s="198"/>
      <c r="LFZ4" s="198"/>
      <c r="LGA4" s="198"/>
      <c r="LGB4" s="198"/>
      <c r="LGC4" s="198"/>
      <c r="LGD4" s="198"/>
      <c r="LGE4" s="198"/>
      <c r="LGF4" s="198"/>
      <c r="LGG4" s="198"/>
      <c r="LGH4" s="198"/>
      <c r="LGI4" s="198"/>
      <c r="LGJ4" s="198"/>
      <c r="LGK4" s="198"/>
      <c r="LGL4" s="198"/>
      <c r="LGM4" s="198"/>
      <c r="LGN4" s="198"/>
      <c r="LGO4" s="198"/>
      <c r="LGP4" s="198"/>
      <c r="LGQ4" s="198"/>
      <c r="LGR4" s="198"/>
      <c r="LGS4" s="198"/>
      <c r="LGT4" s="198"/>
      <c r="LGU4" s="198"/>
      <c r="LGV4" s="198"/>
      <c r="LGW4" s="198"/>
      <c r="LGX4" s="198"/>
      <c r="LGY4" s="198"/>
      <c r="LGZ4" s="198"/>
      <c r="LHA4" s="198"/>
      <c r="LHB4" s="198"/>
      <c r="LHC4" s="198"/>
      <c r="LHD4" s="198"/>
      <c r="LHE4" s="198"/>
      <c r="LHF4" s="198"/>
      <c r="LHG4" s="198"/>
      <c r="LHH4" s="198"/>
      <c r="LHI4" s="198"/>
      <c r="LHJ4" s="198"/>
      <c r="LHK4" s="198"/>
      <c r="LHL4" s="198"/>
      <c r="LHM4" s="198"/>
      <c r="LHN4" s="198"/>
      <c r="LHO4" s="198"/>
      <c r="LHP4" s="198"/>
      <c r="LHQ4" s="198"/>
      <c r="LHR4" s="198"/>
      <c r="LHS4" s="198"/>
      <c r="LHT4" s="198"/>
      <c r="LHU4" s="198"/>
      <c r="LHV4" s="198"/>
      <c r="LHW4" s="198"/>
      <c r="LHX4" s="198"/>
      <c r="LHY4" s="198"/>
      <c r="LHZ4" s="198"/>
      <c r="LIA4" s="198"/>
      <c r="LIB4" s="198"/>
      <c r="LIC4" s="198"/>
      <c r="LID4" s="198"/>
      <c r="LIE4" s="198"/>
      <c r="LIF4" s="198"/>
      <c r="LIG4" s="198"/>
      <c r="LIH4" s="198"/>
      <c r="LII4" s="198"/>
      <c r="LIJ4" s="198"/>
      <c r="LIK4" s="198"/>
      <c r="LIL4" s="198"/>
      <c r="LIM4" s="198"/>
      <c r="LIN4" s="198"/>
      <c r="LIO4" s="198"/>
      <c r="LIP4" s="198"/>
      <c r="LIQ4" s="198"/>
      <c r="LIR4" s="198"/>
      <c r="LIS4" s="198"/>
      <c r="LIT4" s="198"/>
      <c r="LIU4" s="198"/>
      <c r="LIV4" s="198"/>
      <c r="LIW4" s="198"/>
      <c r="LIX4" s="198"/>
      <c r="LIY4" s="198"/>
      <c r="LIZ4" s="198"/>
      <c r="LJA4" s="198"/>
      <c r="LJB4" s="198"/>
      <c r="LJC4" s="198"/>
      <c r="LJD4" s="198"/>
      <c r="LJE4" s="198"/>
      <c r="LJF4" s="198"/>
      <c r="LJG4" s="198"/>
      <c r="LJH4" s="198"/>
      <c r="LJI4" s="198"/>
      <c r="LJJ4" s="198"/>
      <c r="LJK4" s="198"/>
      <c r="LJL4" s="198"/>
      <c r="LJM4" s="198"/>
      <c r="LJN4" s="198"/>
      <c r="LJO4" s="198"/>
      <c r="LJP4" s="198"/>
      <c r="LJQ4" s="198"/>
      <c r="LJR4" s="198"/>
      <c r="LJS4" s="198"/>
      <c r="LJT4" s="198"/>
      <c r="LJU4" s="198"/>
      <c r="LJV4" s="198"/>
      <c r="LJW4" s="198"/>
      <c r="LJX4" s="198"/>
      <c r="LJY4" s="198"/>
      <c r="LJZ4" s="198"/>
      <c r="LKA4" s="198"/>
      <c r="LKB4" s="198"/>
      <c r="LKC4" s="198"/>
      <c r="LKD4" s="198"/>
      <c r="LKE4" s="198"/>
      <c r="LKF4" s="198"/>
      <c r="LKG4" s="198"/>
      <c r="LKH4" s="198"/>
      <c r="LKI4" s="198"/>
      <c r="LKJ4" s="198"/>
      <c r="LKK4" s="198"/>
      <c r="LKL4" s="198"/>
      <c r="LKM4" s="198"/>
      <c r="LKN4" s="198"/>
      <c r="LKO4" s="198"/>
      <c r="LKP4" s="198"/>
      <c r="LKQ4" s="198"/>
      <c r="LKR4" s="198"/>
      <c r="LKS4" s="198"/>
      <c r="LKT4" s="198"/>
      <c r="LKU4" s="198"/>
      <c r="LKV4" s="198"/>
      <c r="LKW4" s="198"/>
      <c r="LKX4" s="198"/>
      <c r="LKY4" s="198"/>
      <c r="LKZ4" s="198"/>
      <c r="LLA4" s="198"/>
      <c r="LLB4" s="198"/>
      <c r="LLC4" s="198"/>
      <c r="LLD4" s="198"/>
      <c r="LLE4" s="198"/>
      <c r="LLF4" s="198"/>
      <c r="LLG4" s="198"/>
      <c r="LLH4" s="198"/>
      <c r="LLI4" s="198"/>
      <c r="LLJ4" s="198"/>
      <c r="LLK4" s="198"/>
      <c r="LLL4" s="198"/>
      <c r="LLM4" s="198"/>
      <c r="LLN4" s="198"/>
      <c r="LLO4" s="198"/>
      <c r="LLP4" s="198"/>
      <c r="LLQ4" s="198"/>
      <c r="LLR4" s="198"/>
      <c r="LLS4" s="198"/>
      <c r="LLT4" s="198"/>
      <c r="LLU4" s="198"/>
      <c r="LLV4" s="198"/>
      <c r="LLW4" s="198"/>
      <c r="LLX4" s="198"/>
      <c r="LLY4" s="198"/>
      <c r="LLZ4" s="198"/>
      <c r="LMA4" s="198"/>
      <c r="LMB4" s="198"/>
      <c r="LMC4" s="198"/>
      <c r="LMD4" s="198"/>
      <c r="LME4" s="198"/>
      <c r="LMF4" s="198"/>
      <c r="LMG4" s="198"/>
      <c r="LMH4" s="198"/>
      <c r="LMI4" s="198"/>
      <c r="LMJ4" s="198"/>
      <c r="LMK4" s="198"/>
      <c r="LML4" s="198"/>
      <c r="LMM4" s="198"/>
      <c r="LMN4" s="198"/>
      <c r="LMO4" s="198"/>
      <c r="LMP4" s="198"/>
      <c r="LMQ4" s="198"/>
      <c r="LMR4" s="198"/>
      <c r="LMS4" s="198"/>
      <c r="LMT4" s="198"/>
      <c r="LMU4" s="198"/>
      <c r="LMV4" s="198"/>
      <c r="LMW4" s="198"/>
      <c r="LMX4" s="198"/>
      <c r="LMY4" s="198"/>
      <c r="LMZ4" s="198"/>
      <c r="LNA4" s="198"/>
      <c r="LNB4" s="198"/>
      <c r="LNC4" s="198"/>
      <c r="LND4" s="198"/>
      <c r="LNE4" s="198"/>
      <c r="LNF4" s="198"/>
      <c r="LNG4" s="198"/>
      <c r="LNH4" s="198"/>
      <c r="LNI4" s="198"/>
      <c r="LNJ4" s="198"/>
      <c r="LNK4" s="198"/>
      <c r="LNL4" s="198"/>
      <c r="LNM4" s="198"/>
      <c r="LNN4" s="198"/>
      <c r="LNO4" s="198"/>
      <c r="LNP4" s="198"/>
      <c r="LNQ4" s="198"/>
      <c r="LNR4" s="198"/>
      <c r="LNS4" s="198"/>
      <c r="LNT4" s="198"/>
      <c r="LNU4" s="198"/>
      <c r="LNV4" s="198"/>
      <c r="LNW4" s="198"/>
      <c r="LNX4" s="198"/>
      <c r="LNY4" s="198"/>
      <c r="LNZ4" s="198"/>
      <c r="LOA4" s="198"/>
      <c r="LOB4" s="198"/>
      <c r="LOC4" s="198"/>
      <c r="LOD4" s="198"/>
      <c r="LOE4" s="198"/>
      <c r="LOF4" s="198"/>
      <c r="LOG4" s="198"/>
      <c r="LOH4" s="198"/>
      <c r="LOI4" s="198"/>
      <c r="LOJ4" s="198"/>
      <c r="LOK4" s="198"/>
      <c r="LOL4" s="198"/>
      <c r="LOM4" s="198"/>
      <c r="LON4" s="198"/>
      <c r="LOO4" s="198"/>
      <c r="LOP4" s="198"/>
      <c r="LOQ4" s="198"/>
      <c r="LOR4" s="198"/>
      <c r="LOS4" s="198"/>
      <c r="LOT4" s="198"/>
      <c r="LOU4" s="198"/>
      <c r="LOV4" s="198"/>
      <c r="LOW4" s="198"/>
      <c r="LOX4" s="198"/>
      <c r="LOY4" s="198"/>
      <c r="LOZ4" s="198"/>
      <c r="LPA4" s="198"/>
      <c r="LPB4" s="198"/>
      <c r="LPC4" s="198"/>
      <c r="LPD4" s="198"/>
      <c r="LPE4" s="198"/>
      <c r="LPF4" s="198"/>
      <c r="LPG4" s="198"/>
      <c r="LPH4" s="198"/>
      <c r="LPI4" s="198"/>
      <c r="LPJ4" s="198"/>
      <c r="LPK4" s="198"/>
      <c r="LPL4" s="198"/>
      <c r="LPM4" s="198"/>
      <c r="LPN4" s="198"/>
      <c r="LPO4" s="198"/>
      <c r="LPP4" s="198"/>
      <c r="LPQ4" s="198"/>
      <c r="LPR4" s="198"/>
      <c r="LPS4" s="198"/>
      <c r="LPT4" s="198"/>
      <c r="LPU4" s="198"/>
      <c r="LPV4" s="198"/>
      <c r="LPW4" s="198"/>
      <c r="LPX4" s="198"/>
      <c r="LPY4" s="198"/>
      <c r="LPZ4" s="198"/>
      <c r="LQA4" s="198"/>
      <c r="LQB4" s="198"/>
      <c r="LQC4" s="198"/>
      <c r="LQD4" s="198"/>
      <c r="LQE4" s="198"/>
      <c r="LQF4" s="198"/>
      <c r="LQG4" s="198"/>
      <c r="LQH4" s="198"/>
      <c r="LQI4" s="198"/>
      <c r="LQJ4" s="198"/>
      <c r="LQK4" s="198"/>
      <c r="LQL4" s="198"/>
      <c r="LQM4" s="198"/>
      <c r="LQN4" s="198"/>
      <c r="LQO4" s="198"/>
      <c r="LQP4" s="198"/>
      <c r="LQQ4" s="198"/>
      <c r="LQR4" s="198"/>
      <c r="LQS4" s="198"/>
      <c r="LQT4" s="198"/>
      <c r="LQU4" s="198"/>
      <c r="LQV4" s="198"/>
      <c r="LQW4" s="198"/>
      <c r="LQX4" s="198"/>
      <c r="LQY4" s="198"/>
      <c r="LQZ4" s="198"/>
      <c r="LRA4" s="198"/>
      <c r="LRB4" s="198"/>
      <c r="LRC4" s="198"/>
      <c r="LRD4" s="198"/>
      <c r="LRE4" s="198"/>
      <c r="LRF4" s="198"/>
      <c r="LRG4" s="198"/>
      <c r="LRH4" s="198"/>
      <c r="LRI4" s="198"/>
      <c r="LRJ4" s="198"/>
      <c r="LRK4" s="198"/>
      <c r="LRL4" s="198"/>
      <c r="LRM4" s="198"/>
      <c r="LRN4" s="198"/>
      <c r="LRO4" s="198"/>
      <c r="LRP4" s="198"/>
      <c r="LRQ4" s="198"/>
      <c r="LRR4" s="198"/>
      <c r="LRS4" s="198"/>
      <c r="LRT4" s="198"/>
      <c r="LRU4" s="198"/>
      <c r="LRV4" s="198"/>
      <c r="LRW4" s="198"/>
      <c r="LRX4" s="198"/>
      <c r="LRY4" s="198"/>
      <c r="LRZ4" s="198"/>
      <c r="LSA4" s="198"/>
      <c r="LSB4" s="198"/>
      <c r="LSC4" s="198"/>
      <c r="LSD4" s="198"/>
      <c r="LSE4" s="198"/>
      <c r="LSF4" s="198"/>
      <c r="LSG4" s="198"/>
      <c r="LSH4" s="198"/>
      <c r="LSI4" s="198"/>
      <c r="LSJ4" s="198"/>
      <c r="LSK4" s="198"/>
      <c r="LSL4" s="198"/>
      <c r="LSM4" s="198"/>
      <c r="LSN4" s="198"/>
      <c r="LSO4" s="198"/>
      <c r="LSP4" s="198"/>
      <c r="LSQ4" s="198"/>
      <c r="LSR4" s="198"/>
      <c r="LSS4" s="198"/>
      <c r="LST4" s="198"/>
      <c r="LSU4" s="198"/>
      <c r="LSV4" s="198"/>
      <c r="LSW4" s="198"/>
      <c r="LSX4" s="198"/>
      <c r="LSY4" s="198"/>
      <c r="LSZ4" s="198"/>
      <c r="LTA4" s="198"/>
      <c r="LTB4" s="198"/>
      <c r="LTC4" s="198"/>
      <c r="LTD4" s="198"/>
      <c r="LTE4" s="198"/>
      <c r="LTF4" s="198"/>
      <c r="LTG4" s="198"/>
      <c r="LTH4" s="198"/>
      <c r="LTI4" s="198"/>
      <c r="LTJ4" s="198"/>
      <c r="LTK4" s="198"/>
      <c r="LTL4" s="198"/>
      <c r="LTM4" s="198"/>
      <c r="LTN4" s="198"/>
      <c r="LTO4" s="198"/>
      <c r="LTP4" s="198"/>
      <c r="LTQ4" s="198"/>
      <c r="LTR4" s="198"/>
      <c r="LTS4" s="198"/>
      <c r="LTT4" s="198"/>
      <c r="LTU4" s="198"/>
      <c r="LTV4" s="198"/>
      <c r="LTW4" s="198"/>
      <c r="LTX4" s="198"/>
      <c r="LTY4" s="198"/>
      <c r="LTZ4" s="198"/>
      <c r="LUA4" s="198"/>
      <c r="LUB4" s="198"/>
      <c r="LUC4" s="198"/>
      <c r="LUD4" s="198"/>
      <c r="LUE4" s="198"/>
      <c r="LUF4" s="198"/>
      <c r="LUG4" s="198"/>
      <c r="LUH4" s="198"/>
      <c r="LUI4" s="198"/>
      <c r="LUJ4" s="198"/>
      <c r="LUK4" s="198"/>
      <c r="LUL4" s="198"/>
      <c r="LUM4" s="198"/>
      <c r="LUN4" s="198"/>
      <c r="LUO4" s="198"/>
      <c r="LUP4" s="198"/>
      <c r="LUQ4" s="198"/>
      <c r="LUR4" s="198"/>
      <c r="LUS4" s="198"/>
      <c r="LUT4" s="198"/>
      <c r="LUU4" s="198"/>
      <c r="LUV4" s="198"/>
      <c r="LUW4" s="198"/>
      <c r="LUX4" s="198"/>
      <c r="LUY4" s="198"/>
      <c r="LUZ4" s="198"/>
      <c r="LVA4" s="198"/>
      <c r="LVB4" s="198"/>
      <c r="LVC4" s="198"/>
      <c r="LVD4" s="198"/>
      <c r="LVE4" s="198"/>
      <c r="LVF4" s="198"/>
      <c r="LVG4" s="198"/>
      <c r="LVH4" s="198"/>
      <c r="LVI4" s="198"/>
      <c r="LVJ4" s="198"/>
      <c r="LVK4" s="198"/>
      <c r="LVL4" s="198"/>
      <c r="LVM4" s="198"/>
      <c r="LVN4" s="198"/>
      <c r="LVO4" s="198"/>
      <c r="LVP4" s="198"/>
      <c r="LVQ4" s="198"/>
      <c r="LVR4" s="198"/>
      <c r="LVS4" s="198"/>
      <c r="LVT4" s="198"/>
      <c r="LVU4" s="198"/>
      <c r="LVV4" s="198"/>
      <c r="LVW4" s="198"/>
      <c r="LVX4" s="198"/>
      <c r="LVY4" s="198"/>
      <c r="LVZ4" s="198"/>
      <c r="LWA4" s="198"/>
      <c r="LWB4" s="198"/>
      <c r="LWC4" s="198"/>
      <c r="LWD4" s="198"/>
      <c r="LWE4" s="198"/>
      <c r="LWF4" s="198"/>
      <c r="LWG4" s="198"/>
      <c r="LWH4" s="198"/>
      <c r="LWI4" s="198"/>
      <c r="LWJ4" s="198"/>
      <c r="LWK4" s="198"/>
      <c r="LWL4" s="198"/>
      <c r="LWM4" s="198"/>
      <c r="LWN4" s="198"/>
      <c r="LWO4" s="198"/>
      <c r="LWP4" s="198"/>
      <c r="LWQ4" s="198"/>
      <c r="LWR4" s="198"/>
      <c r="LWS4" s="198"/>
      <c r="LWT4" s="198"/>
      <c r="LWU4" s="198"/>
      <c r="LWV4" s="198"/>
      <c r="LWW4" s="198"/>
      <c r="LWX4" s="198"/>
      <c r="LWY4" s="198"/>
      <c r="LWZ4" s="198"/>
      <c r="LXA4" s="198"/>
      <c r="LXB4" s="198"/>
      <c r="LXC4" s="198"/>
      <c r="LXD4" s="198"/>
      <c r="LXE4" s="198"/>
      <c r="LXF4" s="198"/>
      <c r="LXG4" s="198"/>
      <c r="LXH4" s="198"/>
      <c r="LXI4" s="198"/>
      <c r="LXJ4" s="198"/>
      <c r="LXK4" s="198"/>
      <c r="LXL4" s="198"/>
      <c r="LXM4" s="198"/>
      <c r="LXN4" s="198"/>
      <c r="LXO4" s="198"/>
      <c r="LXP4" s="198"/>
      <c r="LXQ4" s="198"/>
      <c r="LXR4" s="198"/>
      <c r="LXS4" s="198"/>
      <c r="LXT4" s="198"/>
      <c r="LXU4" s="198"/>
      <c r="LXV4" s="198"/>
      <c r="LXW4" s="198"/>
      <c r="LXX4" s="198"/>
      <c r="LXY4" s="198"/>
      <c r="LXZ4" s="198"/>
      <c r="LYA4" s="198"/>
      <c r="LYB4" s="198"/>
      <c r="LYC4" s="198"/>
      <c r="LYD4" s="198"/>
      <c r="LYE4" s="198"/>
      <c r="LYF4" s="198"/>
      <c r="LYG4" s="198"/>
      <c r="LYH4" s="198"/>
      <c r="LYI4" s="198"/>
      <c r="LYJ4" s="198"/>
      <c r="LYK4" s="198"/>
      <c r="LYL4" s="198"/>
      <c r="LYM4" s="198"/>
      <c r="LYN4" s="198"/>
      <c r="LYO4" s="198"/>
      <c r="LYP4" s="198"/>
      <c r="LYQ4" s="198"/>
      <c r="LYR4" s="198"/>
      <c r="LYS4" s="198"/>
      <c r="LYT4" s="198"/>
      <c r="LYU4" s="198"/>
      <c r="LYV4" s="198"/>
      <c r="LYW4" s="198"/>
      <c r="LYX4" s="198"/>
      <c r="LYY4" s="198"/>
      <c r="LYZ4" s="198"/>
      <c r="LZA4" s="198"/>
      <c r="LZB4" s="198"/>
      <c r="LZC4" s="198"/>
      <c r="LZD4" s="198"/>
      <c r="LZE4" s="198"/>
      <c r="LZF4" s="198"/>
      <c r="LZG4" s="198"/>
      <c r="LZH4" s="198"/>
      <c r="LZI4" s="198"/>
      <c r="LZJ4" s="198"/>
      <c r="LZK4" s="198"/>
      <c r="LZL4" s="198"/>
      <c r="LZM4" s="198"/>
      <c r="LZN4" s="198"/>
      <c r="LZO4" s="198"/>
      <c r="LZP4" s="198"/>
      <c r="LZQ4" s="198"/>
      <c r="LZR4" s="198"/>
      <c r="LZS4" s="198"/>
      <c r="LZT4" s="198"/>
      <c r="LZU4" s="198"/>
      <c r="LZV4" s="198"/>
      <c r="LZW4" s="198"/>
      <c r="LZX4" s="198"/>
      <c r="LZY4" s="198"/>
      <c r="LZZ4" s="198"/>
      <c r="MAA4" s="198"/>
      <c r="MAB4" s="198"/>
      <c r="MAC4" s="198"/>
      <c r="MAD4" s="198"/>
      <c r="MAE4" s="198"/>
      <c r="MAF4" s="198"/>
      <c r="MAG4" s="198"/>
      <c r="MAH4" s="198"/>
      <c r="MAI4" s="198"/>
      <c r="MAJ4" s="198"/>
      <c r="MAK4" s="198"/>
      <c r="MAL4" s="198"/>
      <c r="MAM4" s="198"/>
      <c r="MAN4" s="198"/>
      <c r="MAO4" s="198"/>
      <c r="MAP4" s="198"/>
      <c r="MAQ4" s="198"/>
      <c r="MAR4" s="198"/>
      <c r="MAS4" s="198"/>
      <c r="MAT4" s="198"/>
      <c r="MAU4" s="198"/>
      <c r="MAV4" s="198"/>
      <c r="MAW4" s="198"/>
      <c r="MAX4" s="198"/>
      <c r="MAY4" s="198"/>
      <c r="MAZ4" s="198"/>
      <c r="MBA4" s="198"/>
      <c r="MBB4" s="198"/>
      <c r="MBC4" s="198"/>
      <c r="MBD4" s="198"/>
      <c r="MBE4" s="198"/>
      <c r="MBF4" s="198"/>
      <c r="MBG4" s="198"/>
      <c r="MBH4" s="198"/>
      <c r="MBI4" s="198"/>
      <c r="MBJ4" s="198"/>
      <c r="MBK4" s="198"/>
      <c r="MBL4" s="198"/>
      <c r="MBM4" s="198"/>
      <c r="MBN4" s="198"/>
      <c r="MBO4" s="198"/>
      <c r="MBP4" s="198"/>
      <c r="MBQ4" s="198"/>
      <c r="MBR4" s="198"/>
      <c r="MBS4" s="198"/>
      <c r="MBT4" s="198"/>
      <c r="MBU4" s="198"/>
      <c r="MBV4" s="198"/>
      <c r="MBW4" s="198"/>
      <c r="MBX4" s="198"/>
      <c r="MBY4" s="198"/>
      <c r="MBZ4" s="198"/>
      <c r="MCA4" s="198"/>
      <c r="MCB4" s="198"/>
      <c r="MCC4" s="198"/>
      <c r="MCD4" s="198"/>
      <c r="MCE4" s="198"/>
      <c r="MCF4" s="198"/>
      <c r="MCG4" s="198"/>
      <c r="MCH4" s="198"/>
      <c r="MCI4" s="198"/>
      <c r="MCJ4" s="198"/>
      <c r="MCK4" s="198"/>
      <c r="MCL4" s="198"/>
      <c r="MCM4" s="198"/>
      <c r="MCN4" s="198"/>
      <c r="MCO4" s="198"/>
      <c r="MCP4" s="198"/>
      <c r="MCQ4" s="198"/>
      <c r="MCR4" s="198"/>
      <c r="MCS4" s="198"/>
      <c r="MCT4" s="198"/>
      <c r="MCU4" s="198"/>
      <c r="MCV4" s="198"/>
      <c r="MCW4" s="198"/>
      <c r="MCX4" s="198"/>
      <c r="MCY4" s="198"/>
      <c r="MCZ4" s="198"/>
      <c r="MDA4" s="198"/>
      <c r="MDB4" s="198"/>
      <c r="MDC4" s="198"/>
      <c r="MDD4" s="198"/>
      <c r="MDE4" s="198"/>
      <c r="MDF4" s="198"/>
      <c r="MDG4" s="198"/>
      <c r="MDH4" s="198"/>
      <c r="MDI4" s="198"/>
      <c r="MDJ4" s="198"/>
      <c r="MDK4" s="198"/>
      <c r="MDL4" s="198"/>
      <c r="MDM4" s="198"/>
      <c r="MDN4" s="198"/>
      <c r="MDO4" s="198"/>
      <c r="MDP4" s="198"/>
      <c r="MDQ4" s="198"/>
      <c r="MDR4" s="198"/>
      <c r="MDS4" s="198"/>
      <c r="MDT4" s="198"/>
      <c r="MDU4" s="198"/>
      <c r="MDV4" s="198"/>
      <c r="MDW4" s="198"/>
      <c r="MDX4" s="198"/>
      <c r="MDY4" s="198"/>
      <c r="MDZ4" s="198"/>
      <c r="MEA4" s="198"/>
      <c r="MEB4" s="198"/>
      <c r="MEC4" s="198"/>
      <c r="MED4" s="198"/>
      <c r="MEE4" s="198"/>
      <c r="MEF4" s="198"/>
      <c r="MEG4" s="198"/>
      <c r="MEH4" s="198"/>
      <c r="MEI4" s="198"/>
      <c r="MEJ4" s="198"/>
      <c r="MEK4" s="198"/>
      <c r="MEL4" s="198"/>
      <c r="MEM4" s="198"/>
      <c r="MEN4" s="198"/>
      <c r="MEO4" s="198"/>
      <c r="MEP4" s="198"/>
      <c r="MEQ4" s="198"/>
      <c r="MER4" s="198"/>
      <c r="MES4" s="198"/>
      <c r="MET4" s="198"/>
      <c r="MEU4" s="198"/>
      <c r="MEV4" s="198"/>
      <c r="MEW4" s="198"/>
      <c r="MEX4" s="198"/>
      <c r="MEY4" s="198"/>
      <c r="MEZ4" s="198"/>
      <c r="MFA4" s="198"/>
      <c r="MFB4" s="198"/>
      <c r="MFC4" s="198"/>
      <c r="MFD4" s="198"/>
      <c r="MFE4" s="198"/>
      <c r="MFF4" s="198"/>
      <c r="MFG4" s="198"/>
      <c r="MFH4" s="198"/>
      <c r="MFI4" s="198"/>
      <c r="MFJ4" s="198"/>
      <c r="MFK4" s="198"/>
      <c r="MFL4" s="198"/>
      <c r="MFM4" s="198"/>
      <c r="MFN4" s="198"/>
      <c r="MFO4" s="198"/>
      <c r="MFP4" s="198"/>
      <c r="MFQ4" s="198"/>
      <c r="MFR4" s="198"/>
      <c r="MFS4" s="198"/>
      <c r="MFT4" s="198"/>
      <c r="MFU4" s="198"/>
      <c r="MFV4" s="198"/>
      <c r="MFW4" s="198"/>
      <c r="MFX4" s="198"/>
      <c r="MFY4" s="198"/>
      <c r="MFZ4" s="198"/>
      <c r="MGA4" s="198"/>
      <c r="MGB4" s="198"/>
      <c r="MGC4" s="198"/>
      <c r="MGD4" s="198"/>
      <c r="MGE4" s="198"/>
      <c r="MGF4" s="198"/>
      <c r="MGG4" s="198"/>
      <c r="MGH4" s="198"/>
      <c r="MGI4" s="198"/>
      <c r="MGJ4" s="198"/>
      <c r="MGK4" s="198"/>
      <c r="MGL4" s="198"/>
      <c r="MGM4" s="198"/>
      <c r="MGN4" s="198"/>
      <c r="MGO4" s="198"/>
      <c r="MGP4" s="198"/>
      <c r="MGQ4" s="198"/>
      <c r="MGR4" s="198"/>
      <c r="MGS4" s="198"/>
      <c r="MGT4" s="198"/>
      <c r="MGU4" s="198"/>
      <c r="MGV4" s="198"/>
      <c r="MGW4" s="198"/>
      <c r="MGX4" s="198"/>
      <c r="MGY4" s="198"/>
      <c r="MGZ4" s="198"/>
      <c r="MHA4" s="198"/>
      <c r="MHB4" s="198"/>
      <c r="MHC4" s="198"/>
      <c r="MHD4" s="198"/>
      <c r="MHE4" s="198"/>
      <c r="MHF4" s="198"/>
      <c r="MHG4" s="198"/>
      <c r="MHH4" s="198"/>
      <c r="MHI4" s="198"/>
      <c r="MHJ4" s="198"/>
      <c r="MHK4" s="198"/>
      <c r="MHL4" s="198"/>
      <c r="MHM4" s="198"/>
      <c r="MHN4" s="198"/>
      <c r="MHO4" s="198"/>
      <c r="MHP4" s="198"/>
      <c r="MHQ4" s="198"/>
      <c r="MHR4" s="198"/>
      <c r="MHS4" s="198"/>
      <c r="MHT4" s="198"/>
      <c r="MHU4" s="198"/>
      <c r="MHV4" s="198"/>
      <c r="MHW4" s="198"/>
      <c r="MHX4" s="198"/>
      <c r="MHY4" s="198"/>
      <c r="MHZ4" s="198"/>
      <c r="MIA4" s="198"/>
      <c r="MIB4" s="198"/>
      <c r="MIC4" s="198"/>
      <c r="MID4" s="198"/>
      <c r="MIE4" s="198"/>
      <c r="MIF4" s="198"/>
      <c r="MIG4" s="198"/>
      <c r="MIH4" s="198"/>
      <c r="MII4" s="198"/>
      <c r="MIJ4" s="198"/>
      <c r="MIK4" s="198"/>
      <c r="MIL4" s="198"/>
      <c r="MIM4" s="198"/>
      <c r="MIN4" s="198"/>
      <c r="MIO4" s="198"/>
      <c r="MIP4" s="198"/>
      <c r="MIQ4" s="198"/>
      <c r="MIR4" s="198"/>
      <c r="MIS4" s="198"/>
      <c r="MIT4" s="198"/>
      <c r="MIU4" s="198"/>
      <c r="MIV4" s="198"/>
      <c r="MIW4" s="198"/>
      <c r="MIX4" s="198"/>
      <c r="MIY4" s="198"/>
      <c r="MIZ4" s="198"/>
      <c r="MJA4" s="198"/>
      <c r="MJB4" s="198"/>
      <c r="MJC4" s="198"/>
      <c r="MJD4" s="198"/>
      <c r="MJE4" s="198"/>
      <c r="MJF4" s="198"/>
      <c r="MJG4" s="198"/>
      <c r="MJH4" s="198"/>
      <c r="MJI4" s="198"/>
      <c r="MJJ4" s="198"/>
      <c r="MJK4" s="198"/>
      <c r="MJL4" s="198"/>
      <c r="MJM4" s="198"/>
      <c r="MJN4" s="198"/>
      <c r="MJO4" s="198"/>
      <c r="MJP4" s="198"/>
      <c r="MJQ4" s="198"/>
      <c r="MJR4" s="198"/>
      <c r="MJS4" s="198"/>
      <c r="MJT4" s="198"/>
      <c r="MJU4" s="198"/>
      <c r="MJV4" s="198"/>
      <c r="MJW4" s="198"/>
      <c r="MJX4" s="198"/>
      <c r="MJY4" s="198"/>
      <c r="MJZ4" s="198"/>
      <c r="MKA4" s="198"/>
      <c r="MKB4" s="198"/>
      <c r="MKC4" s="198"/>
      <c r="MKD4" s="198"/>
      <c r="MKE4" s="198"/>
      <c r="MKF4" s="198"/>
      <c r="MKG4" s="198"/>
      <c r="MKH4" s="198"/>
      <c r="MKI4" s="198"/>
      <c r="MKJ4" s="198"/>
      <c r="MKK4" s="198"/>
      <c r="MKL4" s="198"/>
      <c r="MKM4" s="198"/>
      <c r="MKN4" s="198"/>
      <c r="MKO4" s="198"/>
      <c r="MKP4" s="198"/>
      <c r="MKQ4" s="198"/>
      <c r="MKR4" s="198"/>
      <c r="MKS4" s="198"/>
      <c r="MKT4" s="198"/>
      <c r="MKU4" s="198"/>
      <c r="MKV4" s="198"/>
      <c r="MKW4" s="198"/>
      <c r="MKX4" s="198"/>
      <c r="MKY4" s="198"/>
      <c r="MKZ4" s="198"/>
      <c r="MLA4" s="198"/>
      <c r="MLB4" s="198"/>
      <c r="MLC4" s="198"/>
      <c r="MLD4" s="198"/>
      <c r="MLE4" s="198"/>
      <c r="MLF4" s="198"/>
      <c r="MLG4" s="198"/>
      <c r="MLH4" s="198"/>
      <c r="MLI4" s="198"/>
      <c r="MLJ4" s="198"/>
      <c r="MLK4" s="198"/>
      <c r="MLL4" s="198"/>
      <c r="MLM4" s="198"/>
      <c r="MLN4" s="198"/>
      <c r="MLO4" s="198"/>
      <c r="MLP4" s="198"/>
      <c r="MLQ4" s="198"/>
      <c r="MLR4" s="198"/>
      <c r="MLS4" s="198"/>
      <c r="MLT4" s="198"/>
      <c r="MLU4" s="198"/>
      <c r="MLV4" s="198"/>
      <c r="MLW4" s="198"/>
      <c r="MLX4" s="198"/>
      <c r="MLY4" s="198"/>
      <c r="MLZ4" s="198"/>
      <c r="MMA4" s="198"/>
      <c r="MMB4" s="198"/>
      <c r="MMC4" s="198"/>
      <c r="MMD4" s="198"/>
      <c r="MME4" s="198"/>
      <c r="MMF4" s="198"/>
      <c r="MMG4" s="198"/>
      <c r="MMH4" s="198"/>
      <c r="MMI4" s="198"/>
      <c r="MMJ4" s="198"/>
      <c r="MMK4" s="198"/>
      <c r="MML4" s="198"/>
      <c r="MMM4" s="198"/>
      <c r="MMN4" s="198"/>
      <c r="MMO4" s="198"/>
      <c r="MMP4" s="198"/>
      <c r="MMQ4" s="198"/>
      <c r="MMR4" s="198"/>
      <c r="MMS4" s="198"/>
      <c r="MMT4" s="198"/>
      <c r="MMU4" s="198"/>
      <c r="MMV4" s="198"/>
      <c r="MMW4" s="198"/>
      <c r="MMX4" s="198"/>
      <c r="MMY4" s="198"/>
      <c r="MMZ4" s="198"/>
      <c r="MNA4" s="198"/>
      <c r="MNB4" s="198"/>
      <c r="MNC4" s="198"/>
      <c r="MND4" s="198"/>
      <c r="MNE4" s="198"/>
      <c r="MNF4" s="198"/>
      <c r="MNG4" s="198"/>
      <c r="MNH4" s="198"/>
      <c r="MNI4" s="198"/>
      <c r="MNJ4" s="198"/>
      <c r="MNK4" s="198"/>
      <c r="MNL4" s="198"/>
      <c r="MNM4" s="198"/>
      <c r="MNN4" s="198"/>
      <c r="MNO4" s="198"/>
      <c r="MNP4" s="198"/>
      <c r="MNQ4" s="198"/>
      <c r="MNR4" s="198"/>
      <c r="MNS4" s="198"/>
      <c r="MNT4" s="198"/>
      <c r="MNU4" s="198"/>
      <c r="MNV4" s="198"/>
      <c r="MNW4" s="198"/>
      <c r="MNX4" s="198"/>
      <c r="MNY4" s="198"/>
      <c r="MNZ4" s="198"/>
      <c r="MOA4" s="198"/>
      <c r="MOB4" s="198"/>
      <c r="MOC4" s="198"/>
      <c r="MOD4" s="198"/>
      <c r="MOE4" s="198"/>
      <c r="MOF4" s="198"/>
      <c r="MOG4" s="198"/>
      <c r="MOH4" s="198"/>
      <c r="MOI4" s="198"/>
      <c r="MOJ4" s="198"/>
      <c r="MOK4" s="198"/>
      <c r="MOL4" s="198"/>
      <c r="MOM4" s="198"/>
      <c r="MON4" s="198"/>
      <c r="MOO4" s="198"/>
      <c r="MOP4" s="198"/>
      <c r="MOQ4" s="198"/>
      <c r="MOR4" s="198"/>
      <c r="MOS4" s="198"/>
      <c r="MOT4" s="198"/>
      <c r="MOU4" s="198"/>
      <c r="MOV4" s="198"/>
      <c r="MOW4" s="198"/>
      <c r="MOX4" s="198"/>
      <c r="MOY4" s="198"/>
      <c r="MOZ4" s="198"/>
      <c r="MPA4" s="198"/>
      <c r="MPB4" s="198"/>
      <c r="MPC4" s="198"/>
      <c r="MPD4" s="198"/>
      <c r="MPE4" s="198"/>
      <c r="MPF4" s="198"/>
      <c r="MPG4" s="198"/>
      <c r="MPH4" s="198"/>
      <c r="MPI4" s="198"/>
      <c r="MPJ4" s="198"/>
      <c r="MPK4" s="198"/>
      <c r="MPL4" s="198"/>
      <c r="MPM4" s="198"/>
      <c r="MPN4" s="198"/>
      <c r="MPO4" s="198"/>
      <c r="MPP4" s="198"/>
      <c r="MPQ4" s="198"/>
      <c r="MPR4" s="198"/>
      <c r="MPS4" s="198"/>
      <c r="MPT4" s="198"/>
      <c r="MPU4" s="198"/>
      <c r="MPV4" s="198"/>
      <c r="MPW4" s="198"/>
      <c r="MPX4" s="198"/>
      <c r="MPY4" s="198"/>
      <c r="MPZ4" s="198"/>
      <c r="MQA4" s="198"/>
      <c r="MQB4" s="198"/>
      <c r="MQC4" s="198"/>
      <c r="MQD4" s="198"/>
      <c r="MQE4" s="198"/>
      <c r="MQF4" s="198"/>
      <c r="MQG4" s="198"/>
      <c r="MQH4" s="198"/>
      <c r="MQI4" s="198"/>
      <c r="MQJ4" s="198"/>
      <c r="MQK4" s="198"/>
      <c r="MQL4" s="198"/>
      <c r="MQM4" s="198"/>
      <c r="MQN4" s="198"/>
      <c r="MQO4" s="198"/>
      <c r="MQP4" s="198"/>
      <c r="MQQ4" s="198"/>
      <c r="MQR4" s="198"/>
      <c r="MQS4" s="198"/>
      <c r="MQT4" s="198"/>
      <c r="MQU4" s="198"/>
      <c r="MQV4" s="198"/>
      <c r="MQW4" s="198"/>
      <c r="MQX4" s="198"/>
      <c r="MQY4" s="198"/>
      <c r="MQZ4" s="198"/>
      <c r="MRA4" s="198"/>
      <c r="MRB4" s="198"/>
      <c r="MRC4" s="198"/>
      <c r="MRD4" s="198"/>
      <c r="MRE4" s="198"/>
      <c r="MRF4" s="198"/>
      <c r="MRG4" s="198"/>
      <c r="MRH4" s="198"/>
      <c r="MRI4" s="198"/>
      <c r="MRJ4" s="198"/>
      <c r="MRK4" s="198"/>
      <c r="MRL4" s="198"/>
      <c r="MRM4" s="198"/>
      <c r="MRN4" s="198"/>
      <c r="MRO4" s="198"/>
      <c r="MRP4" s="198"/>
      <c r="MRQ4" s="198"/>
      <c r="MRR4" s="198"/>
      <c r="MRS4" s="198"/>
      <c r="MRT4" s="198"/>
      <c r="MRU4" s="198"/>
      <c r="MRV4" s="198"/>
      <c r="MRW4" s="198"/>
      <c r="MRX4" s="198"/>
      <c r="MRY4" s="198"/>
      <c r="MRZ4" s="198"/>
      <c r="MSA4" s="198"/>
      <c r="MSB4" s="198"/>
      <c r="MSC4" s="198"/>
      <c r="MSD4" s="198"/>
      <c r="MSE4" s="198"/>
      <c r="MSF4" s="198"/>
      <c r="MSG4" s="198"/>
      <c r="MSH4" s="198"/>
      <c r="MSI4" s="198"/>
      <c r="MSJ4" s="198"/>
      <c r="MSK4" s="198"/>
      <c r="MSL4" s="198"/>
      <c r="MSM4" s="198"/>
      <c r="MSN4" s="198"/>
      <c r="MSO4" s="198"/>
      <c r="MSP4" s="198"/>
      <c r="MSQ4" s="198"/>
      <c r="MSR4" s="198"/>
      <c r="MSS4" s="198"/>
      <c r="MST4" s="198"/>
      <c r="MSU4" s="198"/>
      <c r="MSV4" s="198"/>
      <c r="MSW4" s="198"/>
      <c r="MSX4" s="198"/>
      <c r="MSY4" s="198"/>
      <c r="MSZ4" s="198"/>
      <c r="MTA4" s="198"/>
      <c r="MTB4" s="198"/>
      <c r="MTC4" s="198"/>
      <c r="MTD4" s="198"/>
      <c r="MTE4" s="198"/>
      <c r="MTF4" s="198"/>
      <c r="MTG4" s="198"/>
      <c r="MTH4" s="198"/>
      <c r="MTI4" s="198"/>
      <c r="MTJ4" s="198"/>
      <c r="MTK4" s="198"/>
      <c r="MTL4" s="198"/>
      <c r="MTM4" s="198"/>
      <c r="MTN4" s="198"/>
      <c r="MTO4" s="198"/>
      <c r="MTP4" s="198"/>
      <c r="MTQ4" s="198"/>
      <c r="MTR4" s="198"/>
      <c r="MTS4" s="198"/>
      <c r="MTT4" s="198"/>
      <c r="MTU4" s="198"/>
      <c r="MTV4" s="198"/>
      <c r="MTW4" s="198"/>
      <c r="MTX4" s="198"/>
      <c r="MTY4" s="198"/>
      <c r="MTZ4" s="198"/>
      <c r="MUA4" s="198"/>
      <c r="MUB4" s="198"/>
      <c r="MUC4" s="198"/>
      <c r="MUD4" s="198"/>
      <c r="MUE4" s="198"/>
      <c r="MUF4" s="198"/>
      <c r="MUG4" s="198"/>
      <c r="MUH4" s="198"/>
      <c r="MUI4" s="198"/>
      <c r="MUJ4" s="198"/>
      <c r="MUK4" s="198"/>
      <c r="MUL4" s="198"/>
      <c r="MUM4" s="198"/>
      <c r="MUN4" s="198"/>
      <c r="MUO4" s="198"/>
      <c r="MUP4" s="198"/>
      <c r="MUQ4" s="198"/>
      <c r="MUR4" s="198"/>
      <c r="MUS4" s="198"/>
      <c r="MUT4" s="198"/>
      <c r="MUU4" s="198"/>
      <c r="MUV4" s="198"/>
      <c r="MUW4" s="198"/>
      <c r="MUX4" s="198"/>
      <c r="MUY4" s="198"/>
      <c r="MUZ4" s="198"/>
      <c r="MVA4" s="198"/>
      <c r="MVB4" s="198"/>
      <c r="MVC4" s="198"/>
      <c r="MVD4" s="198"/>
      <c r="MVE4" s="198"/>
      <c r="MVF4" s="198"/>
      <c r="MVG4" s="198"/>
      <c r="MVH4" s="198"/>
      <c r="MVI4" s="198"/>
      <c r="MVJ4" s="198"/>
      <c r="MVK4" s="198"/>
      <c r="MVL4" s="198"/>
      <c r="MVM4" s="198"/>
      <c r="MVN4" s="198"/>
      <c r="MVO4" s="198"/>
      <c r="MVP4" s="198"/>
      <c r="MVQ4" s="198"/>
      <c r="MVR4" s="198"/>
      <c r="MVS4" s="198"/>
      <c r="MVT4" s="198"/>
      <c r="MVU4" s="198"/>
      <c r="MVV4" s="198"/>
      <c r="MVW4" s="198"/>
      <c r="MVX4" s="198"/>
      <c r="MVY4" s="198"/>
      <c r="MVZ4" s="198"/>
      <c r="MWA4" s="198"/>
      <c r="MWB4" s="198"/>
      <c r="MWC4" s="198"/>
      <c r="MWD4" s="198"/>
      <c r="MWE4" s="198"/>
      <c r="MWF4" s="198"/>
      <c r="MWG4" s="198"/>
      <c r="MWH4" s="198"/>
      <c r="MWI4" s="198"/>
      <c r="MWJ4" s="198"/>
      <c r="MWK4" s="198"/>
      <c r="MWL4" s="198"/>
      <c r="MWM4" s="198"/>
      <c r="MWN4" s="198"/>
      <c r="MWO4" s="198"/>
      <c r="MWP4" s="198"/>
      <c r="MWQ4" s="198"/>
      <c r="MWR4" s="198"/>
      <c r="MWS4" s="198"/>
      <c r="MWT4" s="198"/>
      <c r="MWU4" s="198"/>
      <c r="MWV4" s="198"/>
      <c r="MWW4" s="198"/>
      <c r="MWX4" s="198"/>
      <c r="MWY4" s="198"/>
      <c r="MWZ4" s="198"/>
      <c r="MXA4" s="198"/>
      <c r="MXB4" s="198"/>
      <c r="MXC4" s="198"/>
      <c r="MXD4" s="198"/>
      <c r="MXE4" s="198"/>
      <c r="MXF4" s="198"/>
      <c r="MXG4" s="198"/>
      <c r="MXH4" s="198"/>
      <c r="MXI4" s="198"/>
      <c r="MXJ4" s="198"/>
      <c r="MXK4" s="198"/>
      <c r="MXL4" s="198"/>
      <c r="MXM4" s="198"/>
      <c r="MXN4" s="198"/>
      <c r="MXO4" s="198"/>
      <c r="MXP4" s="198"/>
      <c r="MXQ4" s="198"/>
      <c r="MXR4" s="198"/>
      <c r="MXS4" s="198"/>
      <c r="MXT4" s="198"/>
      <c r="MXU4" s="198"/>
      <c r="MXV4" s="198"/>
      <c r="MXW4" s="198"/>
      <c r="MXX4" s="198"/>
      <c r="MXY4" s="198"/>
      <c r="MXZ4" s="198"/>
      <c r="MYA4" s="198"/>
      <c r="MYB4" s="198"/>
      <c r="MYC4" s="198"/>
      <c r="MYD4" s="198"/>
      <c r="MYE4" s="198"/>
      <c r="MYF4" s="198"/>
      <c r="MYG4" s="198"/>
      <c r="MYH4" s="198"/>
      <c r="MYI4" s="198"/>
      <c r="MYJ4" s="198"/>
      <c r="MYK4" s="198"/>
      <c r="MYL4" s="198"/>
      <c r="MYM4" s="198"/>
      <c r="MYN4" s="198"/>
      <c r="MYO4" s="198"/>
      <c r="MYP4" s="198"/>
      <c r="MYQ4" s="198"/>
      <c r="MYR4" s="198"/>
      <c r="MYS4" s="198"/>
      <c r="MYT4" s="198"/>
      <c r="MYU4" s="198"/>
      <c r="MYV4" s="198"/>
      <c r="MYW4" s="198"/>
      <c r="MYX4" s="198"/>
      <c r="MYY4" s="198"/>
      <c r="MYZ4" s="198"/>
      <c r="MZA4" s="198"/>
      <c r="MZB4" s="198"/>
      <c r="MZC4" s="198"/>
      <c r="MZD4" s="198"/>
      <c r="MZE4" s="198"/>
      <c r="MZF4" s="198"/>
      <c r="MZG4" s="198"/>
      <c r="MZH4" s="198"/>
      <c r="MZI4" s="198"/>
      <c r="MZJ4" s="198"/>
      <c r="MZK4" s="198"/>
      <c r="MZL4" s="198"/>
      <c r="MZM4" s="198"/>
      <c r="MZN4" s="198"/>
      <c r="MZO4" s="198"/>
      <c r="MZP4" s="198"/>
      <c r="MZQ4" s="198"/>
      <c r="MZR4" s="198"/>
      <c r="MZS4" s="198"/>
      <c r="MZT4" s="198"/>
      <c r="MZU4" s="198"/>
      <c r="MZV4" s="198"/>
      <c r="MZW4" s="198"/>
      <c r="MZX4" s="198"/>
      <c r="MZY4" s="198"/>
      <c r="MZZ4" s="198"/>
      <c r="NAA4" s="198"/>
      <c r="NAB4" s="198"/>
      <c r="NAC4" s="198"/>
      <c r="NAD4" s="198"/>
      <c r="NAE4" s="198"/>
      <c r="NAF4" s="198"/>
      <c r="NAG4" s="198"/>
      <c r="NAH4" s="198"/>
      <c r="NAI4" s="198"/>
      <c r="NAJ4" s="198"/>
      <c r="NAK4" s="198"/>
      <c r="NAL4" s="198"/>
      <c r="NAM4" s="198"/>
      <c r="NAN4" s="198"/>
      <c r="NAO4" s="198"/>
      <c r="NAP4" s="198"/>
      <c r="NAQ4" s="198"/>
      <c r="NAR4" s="198"/>
      <c r="NAS4" s="198"/>
      <c r="NAT4" s="198"/>
      <c r="NAU4" s="198"/>
      <c r="NAV4" s="198"/>
      <c r="NAW4" s="198"/>
      <c r="NAX4" s="198"/>
      <c r="NAY4" s="198"/>
      <c r="NAZ4" s="198"/>
      <c r="NBA4" s="198"/>
      <c r="NBB4" s="198"/>
      <c r="NBC4" s="198"/>
      <c r="NBD4" s="198"/>
      <c r="NBE4" s="198"/>
      <c r="NBF4" s="198"/>
      <c r="NBG4" s="198"/>
      <c r="NBH4" s="198"/>
      <c r="NBI4" s="198"/>
      <c r="NBJ4" s="198"/>
      <c r="NBK4" s="198"/>
      <c r="NBL4" s="198"/>
      <c r="NBM4" s="198"/>
      <c r="NBN4" s="198"/>
      <c r="NBO4" s="198"/>
      <c r="NBP4" s="198"/>
      <c r="NBQ4" s="198"/>
      <c r="NBR4" s="198"/>
      <c r="NBS4" s="198"/>
      <c r="NBT4" s="198"/>
      <c r="NBU4" s="198"/>
      <c r="NBV4" s="198"/>
      <c r="NBW4" s="198"/>
      <c r="NBX4" s="198"/>
      <c r="NBY4" s="198"/>
      <c r="NBZ4" s="198"/>
      <c r="NCA4" s="198"/>
      <c r="NCB4" s="198"/>
      <c r="NCC4" s="198"/>
      <c r="NCD4" s="198"/>
      <c r="NCE4" s="198"/>
      <c r="NCF4" s="198"/>
      <c r="NCG4" s="198"/>
      <c r="NCH4" s="198"/>
      <c r="NCI4" s="198"/>
      <c r="NCJ4" s="198"/>
      <c r="NCK4" s="198"/>
      <c r="NCL4" s="198"/>
      <c r="NCM4" s="198"/>
      <c r="NCN4" s="198"/>
      <c r="NCO4" s="198"/>
      <c r="NCP4" s="198"/>
      <c r="NCQ4" s="198"/>
      <c r="NCR4" s="198"/>
      <c r="NCS4" s="198"/>
      <c r="NCT4" s="198"/>
      <c r="NCU4" s="198"/>
      <c r="NCV4" s="198"/>
      <c r="NCW4" s="198"/>
      <c r="NCX4" s="198"/>
      <c r="NCY4" s="198"/>
      <c r="NCZ4" s="198"/>
      <c r="NDA4" s="198"/>
      <c r="NDB4" s="198"/>
      <c r="NDC4" s="198"/>
      <c r="NDD4" s="198"/>
      <c r="NDE4" s="198"/>
      <c r="NDF4" s="198"/>
      <c r="NDG4" s="198"/>
      <c r="NDH4" s="198"/>
      <c r="NDI4" s="198"/>
      <c r="NDJ4" s="198"/>
      <c r="NDK4" s="198"/>
      <c r="NDL4" s="198"/>
      <c r="NDM4" s="198"/>
      <c r="NDN4" s="198"/>
      <c r="NDO4" s="198"/>
      <c r="NDP4" s="198"/>
      <c r="NDQ4" s="198"/>
      <c r="NDR4" s="198"/>
      <c r="NDS4" s="198"/>
      <c r="NDT4" s="198"/>
      <c r="NDU4" s="198"/>
      <c r="NDV4" s="198"/>
      <c r="NDW4" s="198"/>
      <c r="NDX4" s="198"/>
      <c r="NDY4" s="198"/>
      <c r="NDZ4" s="198"/>
      <c r="NEA4" s="198"/>
      <c r="NEB4" s="198"/>
      <c r="NEC4" s="198"/>
      <c r="NED4" s="198"/>
      <c r="NEE4" s="198"/>
      <c r="NEF4" s="198"/>
      <c r="NEG4" s="198"/>
      <c r="NEH4" s="198"/>
      <c r="NEI4" s="198"/>
      <c r="NEJ4" s="198"/>
      <c r="NEK4" s="198"/>
      <c r="NEL4" s="198"/>
      <c r="NEM4" s="198"/>
      <c r="NEN4" s="198"/>
      <c r="NEO4" s="198"/>
      <c r="NEP4" s="198"/>
      <c r="NEQ4" s="198"/>
      <c r="NER4" s="198"/>
      <c r="NES4" s="198"/>
      <c r="NET4" s="198"/>
      <c r="NEU4" s="198"/>
      <c r="NEV4" s="198"/>
      <c r="NEW4" s="198"/>
      <c r="NEX4" s="198"/>
      <c r="NEY4" s="198"/>
      <c r="NEZ4" s="198"/>
      <c r="NFA4" s="198"/>
      <c r="NFB4" s="198"/>
      <c r="NFC4" s="198"/>
      <c r="NFD4" s="198"/>
      <c r="NFE4" s="198"/>
      <c r="NFF4" s="198"/>
      <c r="NFG4" s="198"/>
      <c r="NFH4" s="198"/>
      <c r="NFI4" s="198"/>
      <c r="NFJ4" s="198"/>
      <c r="NFK4" s="198"/>
      <c r="NFL4" s="198"/>
      <c r="NFM4" s="198"/>
      <c r="NFN4" s="198"/>
      <c r="NFO4" s="198"/>
      <c r="NFP4" s="198"/>
      <c r="NFQ4" s="198"/>
      <c r="NFR4" s="198"/>
      <c r="NFS4" s="198"/>
      <c r="NFT4" s="198"/>
      <c r="NFU4" s="198"/>
      <c r="NFV4" s="198"/>
      <c r="NFW4" s="198"/>
      <c r="NFX4" s="198"/>
      <c r="NFY4" s="198"/>
      <c r="NFZ4" s="198"/>
      <c r="NGA4" s="198"/>
      <c r="NGB4" s="198"/>
      <c r="NGC4" s="198"/>
      <c r="NGD4" s="198"/>
      <c r="NGE4" s="198"/>
      <c r="NGF4" s="198"/>
      <c r="NGG4" s="198"/>
      <c r="NGH4" s="198"/>
      <c r="NGI4" s="198"/>
      <c r="NGJ4" s="198"/>
      <c r="NGK4" s="198"/>
      <c r="NGL4" s="198"/>
      <c r="NGM4" s="198"/>
      <c r="NGN4" s="198"/>
      <c r="NGO4" s="198"/>
      <c r="NGP4" s="198"/>
      <c r="NGQ4" s="198"/>
      <c r="NGR4" s="198"/>
      <c r="NGS4" s="198"/>
      <c r="NGT4" s="198"/>
      <c r="NGU4" s="198"/>
      <c r="NGV4" s="198"/>
      <c r="NGW4" s="198"/>
      <c r="NGX4" s="198"/>
      <c r="NGY4" s="198"/>
      <c r="NGZ4" s="198"/>
      <c r="NHA4" s="198"/>
      <c r="NHB4" s="198"/>
      <c r="NHC4" s="198"/>
      <c r="NHD4" s="198"/>
      <c r="NHE4" s="198"/>
      <c r="NHF4" s="198"/>
      <c r="NHG4" s="198"/>
      <c r="NHH4" s="198"/>
      <c r="NHI4" s="198"/>
      <c r="NHJ4" s="198"/>
      <c r="NHK4" s="198"/>
      <c r="NHL4" s="198"/>
      <c r="NHM4" s="198"/>
      <c r="NHN4" s="198"/>
      <c r="NHO4" s="198"/>
      <c r="NHP4" s="198"/>
      <c r="NHQ4" s="198"/>
      <c r="NHR4" s="198"/>
      <c r="NHS4" s="198"/>
      <c r="NHT4" s="198"/>
      <c r="NHU4" s="198"/>
      <c r="NHV4" s="198"/>
      <c r="NHW4" s="198"/>
      <c r="NHX4" s="198"/>
      <c r="NHY4" s="198"/>
      <c r="NHZ4" s="198"/>
      <c r="NIA4" s="198"/>
      <c r="NIB4" s="198"/>
      <c r="NIC4" s="198"/>
      <c r="NID4" s="198"/>
      <c r="NIE4" s="198"/>
      <c r="NIF4" s="198"/>
      <c r="NIG4" s="198"/>
      <c r="NIH4" s="198"/>
      <c r="NII4" s="198"/>
      <c r="NIJ4" s="198"/>
      <c r="NIK4" s="198"/>
      <c r="NIL4" s="198"/>
      <c r="NIM4" s="198"/>
      <c r="NIN4" s="198"/>
      <c r="NIO4" s="198"/>
      <c r="NIP4" s="198"/>
      <c r="NIQ4" s="198"/>
      <c r="NIR4" s="198"/>
      <c r="NIS4" s="198"/>
      <c r="NIT4" s="198"/>
      <c r="NIU4" s="198"/>
      <c r="NIV4" s="198"/>
      <c r="NIW4" s="198"/>
      <c r="NIX4" s="198"/>
      <c r="NIY4" s="198"/>
      <c r="NIZ4" s="198"/>
      <c r="NJA4" s="198"/>
      <c r="NJB4" s="198"/>
      <c r="NJC4" s="198"/>
      <c r="NJD4" s="198"/>
      <c r="NJE4" s="198"/>
      <c r="NJF4" s="198"/>
      <c r="NJG4" s="198"/>
      <c r="NJH4" s="198"/>
      <c r="NJI4" s="198"/>
      <c r="NJJ4" s="198"/>
      <c r="NJK4" s="198"/>
      <c r="NJL4" s="198"/>
      <c r="NJM4" s="198"/>
      <c r="NJN4" s="198"/>
      <c r="NJO4" s="198"/>
      <c r="NJP4" s="198"/>
      <c r="NJQ4" s="198"/>
      <c r="NJR4" s="198"/>
      <c r="NJS4" s="198"/>
      <c r="NJT4" s="198"/>
      <c r="NJU4" s="198"/>
      <c r="NJV4" s="198"/>
      <c r="NJW4" s="198"/>
      <c r="NJX4" s="198"/>
      <c r="NJY4" s="198"/>
      <c r="NJZ4" s="198"/>
      <c r="NKA4" s="198"/>
      <c r="NKB4" s="198"/>
      <c r="NKC4" s="198"/>
      <c r="NKD4" s="198"/>
      <c r="NKE4" s="198"/>
      <c r="NKF4" s="198"/>
      <c r="NKG4" s="198"/>
      <c r="NKH4" s="198"/>
      <c r="NKI4" s="198"/>
      <c r="NKJ4" s="198"/>
      <c r="NKK4" s="198"/>
      <c r="NKL4" s="198"/>
      <c r="NKM4" s="198"/>
      <c r="NKN4" s="198"/>
      <c r="NKO4" s="198"/>
      <c r="NKP4" s="198"/>
      <c r="NKQ4" s="198"/>
      <c r="NKR4" s="198"/>
      <c r="NKS4" s="198"/>
      <c r="NKT4" s="198"/>
      <c r="NKU4" s="198"/>
      <c r="NKV4" s="198"/>
      <c r="NKW4" s="198"/>
      <c r="NKX4" s="198"/>
      <c r="NKY4" s="198"/>
      <c r="NKZ4" s="198"/>
      <c r="NLA4" s="198"/>
      <c r="NLB4" s="198"/>
      <c r="NLC4" s="198"/>
      <c r="NLD4" s="198"/>
      <c r="NLE4" s="198"/>
      <c r="NLF4" s="198"/>
      <c r="NLG4" s="198"/>
      <c r="NLH4" s="198"/>
      <c r="NLI4" s="198"/>
      <c r="NLJ4" s="198"/>
      <c r="NLK4" s="198"/>
      <c r="NLL4" s="198"/>
      <c r="NLM4" s="198"/>
      <c r="NLN4" s="198"/>
      <c r="NLO4" s="198"/>
      <c r="NLP4" s="198"/>
      <c r="NLQ4" s="198"/>
      <c r="NLR4" s="198"/>
      <c r="NLS4" s="198"/>
      <c r="NLT4" s="198"/>
      <c r="NLU4" s="198"/>
      <c r="NLV4" s="198"/>
      <c r="NLW4" s="198"/>
      <c r="NLX4" s="198"/>
      <c r="NLY4" s="198"/>
      <c r="NLZ4" s="198"/>
      <c r="NMA4" s="198"/>
      <c r="NMB4" s="198"/>
      <c r="NMC4" s="198"/>
      <c r="NMD4" s="198"/>
      <c r="NME4" s="198"/>
      <c r="NMF4" s="198"/>
      <c r="NMG4" s="198"/>
      <c r="NMH4" s="198"/>
      <c r="NMI4" s="198"/>
      <c r="NMJ4" s="198"/>
      <c r="NMK4" s="198"/>
      <c r="NML4" s="198"/>
      <c r="NMM4" s="198"/>
      <c r="NMN4" s="198"/>
      <c r="NMO4" s="198"/>
      <c r="NMP4" s="198"/>
      <c r="NMQ4" s="198"/>
      <c r="NMR4" s="198"/>
      <c r="NMS4" s="198"/>
      <c r="NMT4" s="198"/>
      <c r="NMU4" s="198"/>
      <c r="NMV4" s="198"/>
      <c r="NMW4" s="198"/>
      <c r="NMX4" s="198"/>
      <c r="NMY4" s="198"/>
      <c r="NMZ4" s="198"/>
      <c r="NNA4" s="198"/>
      <c r="NNB4" s="198"/>
      <c r="NNC4" s="198"/>
      <c r="NND4" s="198"/>
      <c r="NNE4" s="198"/>
      <c r="NNF4" s="198"/>
      <c r="NNG4" s="198"/>
      <c r="NNH4" s="198"/>
      <c r="NNI4" s="198"/>
      <c r="NNJ4" s="198"/>
      <c r="NNK4" s="198"/>
      <c r="NNL4" s="198"/>
      <c r="NNM4" s="198"/>
      <c r="NNN4" s="198"/>
      <c r="NNO4" s="198"/>
      <c r="NNP4" s="198"/>
      <c r="NNQ4" s="198"/>
      <c r="NNR4" s="198"/>
      <c r="NNS4" s="198"/>
      <c r="NNT4" s="198"/>
      <c r="NNU4" s="198"/>
      <c r="NNV4" s="198"/>
      <c r="NNW4" s="198"/>
      <c r="NNX4" s="198"/>
      <c r="NNY4" s="198"/>
      <c r="NNZ4" s="198"/>
      <c r="NOA4" s="198"/>
      <c r="NOB4" s="198"/>
      <c r="NOC4" s="198"/>
      <c r="NOD4" s="198"/>
      <c r="NOE4" s="198"/>
      <c r="NOF4" s="198"/>
      <c r="NOG4" s="198"/>
      <c r="NOH4" s="198"/>
      <c r="NOI4" s="198"/>
      <c r="NOJ4" s="198"/>
      <c r="NOK4" s="198"/>
      <c r="NOL4" s="198"/>
      <c r="NOM4" s="198"/>
      <c r="NON4" s="198"/>
      <c r="NOO4" s="198"/>
      <c r="NOP4" s="198"/>
      <c r="NOQ4" s="198"/>
      <c r="NOR4" s="198"/>
      <c r="NOS4" s="198"/>
      <c r="NOT4" s="198"/>
      <c r="NOU4" s="198"/>
      <c r="NOV4" s="198"/>
      <c r="NOW4" s="198"/>
      <c r="NOX4" s="198"/>
      <c r="NOY4" s="198"/>
      <c r="NOZ4" s="198"/>
      <c r="NPA4" s="198"/>
      <c r="NPB4" s="198"/>
      <c r="NPC4" s="198"/>
      <c r="NPD4" s="198"/>
      <c r="NPE4" s="198"/>
      <c r="NPF4" s="198"/>
      <c r="NPG4" s="198"/>
      <c r="NPH4" s="198"/>
      <c r="NPI4" s="198"/>
      <c r="NPJ4" s="198"/>
      <c r="NPK4" s="198"/>
      <c r="NPL4" s="198"/>
      <c r="NPM4" s="198"/>
      <c r="NPN4" s="198"/>
      <c r="NPO4" s="198"/>
      <c r="NPP4" s="198"/>
      <c r="NPQ4" s="198"/>
      <c r="NPR4" s="198"/>
      <c r="NPS4" s="198"/>
      <c r="NPT4" s="198"/>
      <c r="NPU4" s="198"/>
      <c r="NPV4" s="198"/>
      <c r="NPW4" s="198"/>
      <c r="NPX4" s="198"/>
      <c r="NPY4" s="198"/>
      <c r="NPZ4" s="198"/>
      <c r="NQA4" s="198"/>
      <c r="NQB4" s="198"/>
      <c r="NQC4" s="198"/>
      <c r="NQD4" s="198"/>
      <c r="NQE4" s="198"/>
      <c r="NQF4" s="198"/>
      <c r="NQG4" s="198"/>
      <c r="NQH4" s="198"/>
      <c r="NQI4" s="198"/>
      <c r="NQJ4" s="198"/>
      <c r="NQK4" s="198"/>
      <c r="NQL4" s="198"/>
      <c r="NQM4" s="198"/>
      <c r="NQN4" s="198"/>
      <c r="NQO4" s="198"/>
      <c r="NQP4" s="198"/>
      <c r="NQQ4" s="198"/>
      <c r="NQR4" s="198"/>
      <c r="NQS4" s="198"/>
      <c r="NQT4" s="198"/>
      <c r="NQU4" s="198"/>
      <c r="NQV4" s="198"/>
      <c r="NQW4" s="198"/>
      <c r="NQX4" s="198"/>
      <c r="NQY4" s="198"/>
      <c r="NQZ4" s="198"/>
      <c r="NRA4" s="198"/>
      <c r="NRB4" s="198"/>
      <c r="NRC4" s="198"/>
      <c r="NRD4" s="198"/>
      <c r="NRE4" s="198"/>
      <c r="NRF4" s="198"/>
      <c r="NRG4" s="198"/>
      <c r="NRH4" s="198"/>
      <c r="NRI4" s="198"/>
      <c r="NRJ4" s="198"/>
      <c r="NRK4" s="198"/>
      <c r="NRL4" s="198"/>
      <c r="NRM4" s="198"/>
      <c r="NRN4" s="198"/>
      <c r="NRO4" s="198"/>
      <c r="NRP4" s="198"/>
      <c r="NRQ4" s="198"/>
      <c r="NRR4" s="198"/>
      <c r="NRS4" s="198"/>
      <c r="NRT4" s="198"/>
      <c r="NRU4" s="198"/>
      <c r="NRV4" s="198"/>
      <c r="NRW4" s="198"/>
      <c r="NRX4" s="198"/>
      <c r="NRY4" s="198"/>
      <c r="NRZ4" s="198"/>
      <c r="NSA4" s="198"/>
      <c r="NSB4" s="198"/>
      <c r="NSC4" s="198"/>
      <c r="NSD4" s="198"/>
      <c r="NSE4" s="198"/>
      <c r="NSF4" s="198"/>
      <c r="NSG4" s="198"/>
      <c r="NSH4" s="198"/>
      <c r="NSI4" s="198"/>
      <c r="NSJ4" s="198"/>
      <c r="NSK4" s="198"/>
      <c r="NSL4" s="198"/>
      <c r="NSM4" s="198"/>
      <c r="NSN4" s="198"/>
      <c r="NSO4" s="198"/>
      <c r="NSP4" s="198"/>
      <c r="NSQ4" s="198"/>
      <c r="NSR4" s="198"/>
      <c r="NSS4" s="198"/>
      <c r="NST4" s="198"/>
      <c r="NSU4" s="198"/>
      <c r="NSV4" s="198"/>
      <c r="NSW4" s="198"/>
      <c r="NSX4" s="198"/>
      <c r="NSY4" s="198"/>
      <c r="NSZ4" s="198"/>
      <c r="NTA4" s="198"/>
      <c r="NTB4" s="198"/>
      <c r="NTC4" s="198"/>
      <c r="NTD4" s="198"/>
      <c r="NTE4" s="198"/>
      <c r="NTF4" s="198"/>
      <c r="NTG4" s="198"/>
      <c r="NTH4" s="198"/>
      <c r="NTI4" s="198"/>
      <c r="NTJ4" s="198"/>
      <c r="NTK4" s="198"/>
      <c r="NTL4" s="198"/>
      <c r="NTM4" s="198"/>
      <c r="NTN4" s="198"/>
      <c r="NTO4" s="198"/>
      <c r="NTP4" s="198"/>
      <c r="NTQ4" s="198"/>
      <c r="NTR4" s="198"/>
      <c r="NTS4" s="198"/>
      <c r="NTT4" s="198"/>
      <c r="NTU4" s="198"/>
      <c r="NTV4" s="198"/>
      <c r="NTW4" s="198"/>
      <c r="NTX4" s="198"/>
      <c r="NTY4" s="198"/>
      <c r="NTZ4" s="198"/>
      <c r="NUA4" s="198"/>
      <c r="NUB4" s="198"/>
      <c r="NUC4" s="198"/>
      <c r="NUD4" s="198"/>
      <c r="NUE4" s="198"/>
      <c r="NUF4" s="198"/>
      <c r="NUG4" s="198"/>
      <c r="NUH4" s="198"/>
      <c r="NUI4" s="198"/>
      <c r="NUJ4" s="198"/>
      <c r="NUK4" s="198"/>
      <c r="NUL4" s="198"/>
      <c r="NUM4" s="198"/>
      <c r="NUN4" s="198"/>
      <c r="NUO4" s="198"/>
      <c r="NUP4" s="198"/>
      <c r="NUQ4" s="198"/>
      <c r="NUR4" s="198"/>
      <c r="NUS4" s="198"/>
      <c r="NUT4" s="198"/>
      <c r="NUU4" s="198"/>
      <c r="NUV4" s="198"/>
      <c r="NUW4" s="198"/>
      <c r="NUX4" s="198"/>
      <c r="NUY4" s="198"/>
      <c r="NUZ4" s="198"/>
      <c r="NVA4" s="198"/>
      <c r="NVB4" s="198"/>
      <c r="NVC4" s="198"/>
      <c r="NVD4" s="198"/>
      <c r="NVE4" s="198"/>
      <c r="NVF4" s="198"/>
      <c r="NVG4" s="198"/>
      <c r="NVH4" s="198"/>
      <c r="NVI4" s="198"/>
      <c r="NVJ4" s="198"/>
      <c r="NVK4" s="198"/>
      <c r="NVL4" s="198"/>
      <c r="NVM4" s="198"/>
      <c r="NVN4" s="198"/>
      <c r="NVO4" s="198"/>
      <c r="NVP4" s="198"/>
      <c r="NVQ4" s="198"/>
      <c r="NVR4" s="198"/>
      <c r="NVS4" s="198"/>
      <c r="NVT4" s="198"/>
      <c r="NVU4" s="198"/>
      <c r="NVV4" s="198"/>
      <c r="NVW4" s="198"/>
      <c r="NVX4" s="198"/>
      <c r="NVY4" s="198"/>
      <c r="NVZ4" s="198"/>
      <c r="NWA4" s="198"/>
      <c r="NWB4" s="198"/>
      <c r="NWC4" s="198"/>
      <c r="NWD4" s="198"/>
      <c r="NWE4" s="198"/>
      <c r="NWF4" s="198"/>
      <c r="NWG4" s="198"/>
      <c r="NWH4" s="198"/>
      <c r="NWI4" s="198"/>
      <c r="NWJ4" s="198"/>
      <c r="NWK4" s="198"/>
      <c r="NWL4" s="198"/>
      <c r="NWM4" s="198"/>
      <c r="NWN4" s="198"/>
      <c r="NWO4" s="198"/>
      <c r="NWP4" s="198"/>
      <c r="NWQ4" s="198"/>
      <c r="NWR4" s="198"/>
      <c r="NWS4" s="198"/>
      <c r="NWT4" s="198"/>
      <c r="NWU4" s="198"/>
      <c r="NWV4" s="198"/>
      <c r="NWW4" s="198"/>
      <c r="NWX4" s="198"/>
      <c r="NWY4" s="198"/>
      <c r="NWZ4" s="198"/>
      <c r="NXA4" s="198"/>
      <c r="NXB4" s="198"/>
      <c r="NXC4" s="198"/>
      <c r="NXD4" s="198"/>
      <c r="NXE4" s="198"/>
      <c r="NXF4" s="198"/>
      <c r="NXG4" s="198"/>
      <c r="NXH4" s="198"/>
      <c r="NXI4" s="198"/>
      <c r="NXJ4" s="198"/>
      <c r="NXK4" s="198"/>
      <c r="NXL4" s="198"/>
      <c r="NXM4" s="198"/>
      <c r="NXN4" s="198"/>
      <c r="NXO4" s="198"/>
      <c r="NXP4" s="198"/>
      <c r="NXQ4" s="198"/>
      <c r="NXR4" s="198"/>
      <c r="NXS4" s="198"/>
      <c r="NXT4" s="198"/>
      <c r="NXU4" s="198"/>
      <c r="NXV4" s="198"/>
      <c r="NXW4" s="198"/>
      <c r="NXX4" s="198"/>
      <c r="NXY4" s="198"/>
      <c r="NXZ4" s="198"/>
      <c r="NYA4" s="198"/>
      <c r="NYB4" s="198"/>
      <c r="NYC4" s="198"/>
      <c r="NYD4" s="198"/>
      <c r="NYE4" s="198"/>
      <c r="NYF4" s="198"/>
      <c r="NYG4" s="198"/>
      <c r="NYH4" s="198"/>
      <c r="NYI4" s="198"/>
      <c r="NYJ4" s="198"/>
      <c r="NYK4" s="198"/>
      <c r="NYL4" s="198"/>
      <c r="NYM4" s="198"/>
      <c r="NYN4" s="198"/>
      <c r="NYO4" s="198"/>
      <c r="NYP4" s="198"/>
      <c r="NYQ4" s="198"/>
      <c r="NYR4" s="198"/>
      <c r="NYS4" s="198"/>
      <c r="NYT4" s="198"/>
      <c r="NYU4" s="198"/>
      <c r="NYV4" s="198"/>
      <c r="NYW4" s="198"/>
      <c r="NYX4" s="198"/>
      <c r="NYY4" s="198"/>
      <c r="NYZ4" s="198"/>
      <c r="NZA4" s="198"/>
      <c r="NZB4" s="198"/>
      <c r="NZC4" s="198"/>
      <c r="NZD4" s="198"/>
      <c r="NZE4" s="198"/>
      <c r="NZF4" s="198"/>
      <c r="NZG4" s="198"/>
      <c r="NZH4" s="198"/>
      <c r="NZI4" s="198"/>
      <c r="NZJ4" s="198"/>
      <c r="NZK4" s="198"/>
      <c r="NZL4" s="198"/>
      <c r="NZM4" s="198"/>
      <c r="NZN4" s="198"/>
      <c r="NZO4" s="198"/>
      <c r="NZP4" s="198"/>
      <c r="NZQ4" s="198"/>
      <c r="NZR4" s="198"/>
      <c r="NZS4" s="198"/>
      <c r="NZT4" s="198"/>
      <c r="NZU4" s="198"/>
      <c r="NZV4" s="198"/>
      <c r="NZW4" s="198"/>
      <c r="NZX4" s="198"/>
      <c r="NZY4" s="198"/>
      <c r="NZZ4" s="198"/>
      <c r="OAA4" s="198"/>
      <c r="OAB4" s="198"/>
      <c r="OAC4" s="198"/>
      <c r="OAD4" s="198"/>
      <c r="OAE4" s="198"/>
      <c r="OAF4" s="198"/>
      <c r="OAG4" s="198"/>
      <c r="OAH4" s="198"/>
      <c r="OAI4" s="198"/>
      <c r="OAJ4" s="198"/>
      <c r="OAK4" s="198"/>
      <c r="OAL4" s="198"/>
      <c r="OAM4" s="198"/>
      <c r="OAN4" s="198"/>
      <c r="OAO4" s="198"/>
      <c r="OAP4" s="198"/>
      <c r="OAQ4" s="198"/>
      <c r="OAR4" s="198"/>
      <c r="OAS4" s="198"/>
      <c r="OAT4" s="198"/>
      <c r="OAU4" s="198"/>
      <c r="OAV4" s="198"/>
      <c r="OAW4" s="198"/>
      <c r="OAX4" s="198"/>
      <c r="OAY4" s="198"/>
      <c r="OAZ4" s="198"/>
      <c r="OBA4" s="198"/>
      <c r="OBB4" s="198"/>
      <c r="OBC4" s="198"/>
      <c r="OBD4" s="198"/>
      <c r="OBE4" s="198"/>
      <c r="OBF4" s="198"/>
      <c r="OBG4" s="198"/>
      <c r="OBH4" s="198"/>
      <c r="OBI4" s="198"/>
      <c r="OBJ4" s="198"/>
      <c r="OBK4" s="198"/>
      <c r="OBL4" s="198"/>
      <c r="OBM4" s="198"/>
      <c r="OBN4" s="198"/>
      <c r="OBO4" s="198"/>
      <c r="OBP4" s="198"/>
      <c r="OBQ4" s="198"/>
      <c r="OBR4" s="198"/>
      <c r="OBS4" s="198"/>
      <c r="OBT4" s="198"/>
      <c r="OBU4" s="198"/>
      <c r="OBV4" s="198"/>
      <c r="OBW4" s="198"/>
      <c r="OBX4" s="198"/>
      <c r="OBY4" s="198"/>
      <c r="OBZ4" s="198"/>
      <c r="OCA4" s="198"/>
      <c r="OCB4" s="198"/>
      <c r="OCC4" s="198"/>
      <c r="OCD4" s="198"/>
      <c r="OCE4" s="198"/>
      <c r="OCF4" s="198"/>
      <c r="OCG4" s="198"/>
      <c r="OCH4" s="198"/>
      <c r="OCI4" s="198"/>
      <c r="OCJ4" s="198"/>
      <c r="OCK4" s="198"/>
      <c r="OCL4" s="198"/>
      <c r="OCM4" s="198"/>
      <c r="OCN4" s="198"/>
      <c r="OCO4" s="198"/>
      <c r="OCP4" s="198"/>
      <c r="OCQ4" s="198"/>
      <c r="OCR4" s="198"/>
      <c r="OCS4" s="198"/>
      <c r="OCT4" s="198"/>
      <c r="OCU4" s="198"/>
      <c r="OCV4" s="198"/>
      <c r="OCW4" s="198"/>
      <c r="OCX4" s="198"/>
      <c r="OCY4" s="198"/>
      <c r="OCZ4" s="198"/>
      <c r="ODA4" s="198"/>
      <c r="ODB4" s="198"/>
      <c r="ODC4" s="198"/>
      <c r="ODD4" s="198"/>
      <c r="ODE4" s="198"/>
      <c r="ODF4" s="198"/>
      <c r="ODG4" s="198"/>
      <c r="ODH4" s="198"/>
      <c r="ODI4" s="198"/>
      <c r="ODJ4" s="198"/>
      <c r="ODK4" s="198"/>
      <c r="ODL4" s="198"/>
      <c r="ODM4" s="198"/>
      <c r="ODN4" s="198"/>
      <c r="ODO4" s="198"/>
      <c r="ODP4" s="198"/>
      <c r="ODQ4" s="198"/>
      <c r="ODR4" s="198"/>
      <c r="ODS4" s="198"/>
      <c r="ODT4" s="198"/>
      <c r="ODU4" s="198"/>
      <c r="ODV4" s="198"/>
      <c r="ODW4" s="198"/>
      <c r="ODX4" s="198"/>
      <c r="ODY4" s="198"/>
      <c r="ODZ4" s="198"/>
      <c r="OEA4" s="198"/>
      <c r="OEB4" s="198"/>
      <c r="OEC4" s="198"/>
      <c r="OED4" s="198"/>
      <c r="OEE4" s="198"/>
      <c r="OEF4" s="198"/>
      <c r="OEG4" s="198"/>
      <c r="OEH4" s="198"/>
      <c r="OEI4" s="198"/>
      <c r="OEJ4" s="198"/>
      <c r="OEK4" s="198"/>
      <c r="OEL4" s="198"/>
      <c r="OEM4" s="198"/>
      <c r="OEN4" s="198"/>
      <c r="OEO4" s="198"/>
      <c r="OEP4" s="198"/>
      <c r="OEQ4" s="198"/>
      <c r="OER4" s="198"/>
      <c r="OES4" s="198"/>
      <c r="OET4" s="198"/>
      <c r="OEU4" s="198"/>
      <c r="OEV4" s="198"/>
      <c r="OEW4" s="198"/>
      <c r="OEX4" s="198"/>
      <c r="OEY4" s="198"/>
      <c r="OEZ4" s="198"/>
      <c r="OFA4" s="198"/>
      <c r="OFB4" s="198"/>
      <c r="OFC4" s="198"/>
      <c r="OFD4" s="198"/>
      <c r="OFE4" s="198"/>
      <c r="OFF4" s="198"/>
      <c r="OFG4" s="198"/>
      <c r="OFH4" s="198"/>
      <c r="OFI4" s="198"/>
      <c r="OFJ4" s="198"/>
      <c r="OFK4" s="198"/>
      <c r="OFL4" s="198"/>
      <c r="OFM4" s="198"/>
      <c r="OFN4" s="198"/>
      <c r="OFO4" s="198"/>
      <c r="OFP4" s="198"/>
      <c r="OFQ4" s="198"/>
      <c r="OFR4" s="198"/>
      <c r="OFS4" s="198"/>
      <c r="OFT4" s="198"/>
      <c r="OFU4" s="198"/>
      <c r="OFV4" s="198"/>
      <c r="OFW4" s="198"/>
      <c r="OFX4" s="198"/>
      <c r="OFY4" s="198"/>
      <c r="OFZ4" s="198"/>
      <c r="OGA4" s="198"/>
      <c r="OGB4" s="198"/>
      <c r="OGC4" s="198"/>
      <c r="OGD4" s="198"/>
      <c r="OGE4" s="198"/>
      <c r="OGF4" s="198"/>
      <c r="OGG4" s="198"/>
      <c r="OGH4" s="198"/>
      <c r="OGI4" s="198"/>
      <c r="OGJ4" s="198"/>
      <c r="OGK4" s="198"/>
      <c r="OGL4" s="198"/>
      <c r="OGM4" s="198"/>
      <c r="OGN4" s="198"/>
      <c r="OGO4" s="198"/>
      <c r="OGP4" s="198"/>
      <c r="OGQ4" s="198"/>
      <c r="OGR4" s="198"/>
      <c r="OGS4" s="198"/>
      <c r="OGT4" s="198"/>
      <c r="OGU4" s="198"/>
      <c r="OGV4" s="198"/>
      <c r="OGW4" s="198"/>
      <c r="OGX4" s="198"/>
      <c r="OGY4" s="198"/>
      <c r="OGZ4" s="198"/>
      <c r="OHA4" s="198"/>
      <c r="OHB4" s="198"/>
      <c r="OHC4" s="198"/>
      <c r="OHD4" s="198"/>
      <c r="OHE4" s="198"/>
      <c r="OHF4" s="198"/>
      <c r="OHG4" s="198"/>
      <c r="OHH4" s="198"/>
      <c r="OHI4" s="198"/>
      <c r="OHJ4" s="198"/>
      <c r="OHK4" s="198"/>
      <c r="OHL4" s="198"/>
      <c r="OHM4" s="198"/>
      <c r="OHN4" s="198"/>
      <c r="OHO4" s="198"/>
      <c r="OHP4" s="198"/>
      <c r="OHQ4" s="198"/>
      <c r="OHR4" s="198"/>
      <c r="OHS4" s="198"/>
      <c r="OHT4" s="198"/>
      <c r="OHU4" s="198"/>
      <c r="OHV4" s="198"/>
      <c r="OHW4" s="198"/>
      <c r="OHX4" s="198"/>
      <c r="OHY4" s="198"/>
      <c r="OHZ4" s="198"/>
      <c r="OIA4" s="198"/>
      <c r="OIB4" s="198"/>
      <c r="OIC4" s="198"/>
      <c r="OID4" s="198"/>
      <c r="OIE4" s="198"/>
      <c r="OIF4" s="198"/>
      <c r="OIG4" s="198"/>
      <c r="OIH4" s="198"/>
      <c r="OII4" s="198"/>
      <c r="OIJ4" s="198"/>
      <c r="OIK4" s="198"/>
      <c r="OIL4" s="198"/>
      <c r="OIM4" s="198"/>
      <c r="OIN4" s="198"/>
      <c r="OIO4" s="198"/>
      <c r="OIP4" s="198"/>
      <c r="OIQ4" s="198"/>
      <c r="OIR4" s="198"/>
      <c r="OIS4" s="198"/>
      <c r="OIT4" s="198"/>
      <c r="OIU4" s="198"/>
      <c r="OIV4" s="198"/>
      <c r="OIW4" s="198"/>
      <c r="OIX4" s="198"/>
      <c r="OIY4" s="198"/>
      <c r="OIZ4" s="198"/>
      <c r="OJA4" s="198"/>
      <c r="OJB4" s="198"/>
      <c r="OJC4" s="198"/>
      <c r="OJD4" s="198"/>
      <c r="OJE4" s="198"/>
      <c r="OJF4" s="198"/>
      <c r="OJG4" s="198"/>
      <c r="OJH4" s="198"/>
      <c r="OJI4" s="198"/>
      <c r="OJJ4" s="198"/>
      <c r="OJK4" s="198"/>
      <c r="OJL4" s="198"/>
      <c r="OJM4" s="198"/>
      <c r="OJN4" s="198"/>
      <c r="OJO4" s="198"/>
      <c r="OJP4" s="198"/>
      <c r="OJQ4" s="198"/>
      <c r="OJR4" s="198"/>
      <c r="OJS4" s="198"/>
      <c r="OJT4" s="198"/>
      <c r="OJU4" s="198"/>
      <c r="OJV4" s="198"/>
      <c r="OJW4" s="198"/>
      <c r="OJX4" s="198"/>
      <c r="OJY4" s="198"/>
      <c r="OJZ4" s="198"/>
      <c r="OKA4" s="198"/>
      <c r="OKB4" s="198"/>
      <c r="OKC4" s="198"/>
      <c r="OKD4" s="198"/>
      <c r="OKE4" s="198"/>
      <c r="OKF4" s="198"/>
      <c r="OKG4" s="198"/>
      <c r="OKH4" s="198"/>
      <c r="OKI4" s="198"/>
      <c r="OKJ4" s="198"/>
      <c r="OKK4" s="198"/>
      <c r="OKL4" s="198"/>
      <c r="OKM4" s="198"/>
      <c r="OKN4" s="198"/>
      <c r="OKO4" s="198"/>
      <c r="OKP4" s="198"/>
      <c r="OKQ4" s="198"/>
      <c r="OKR4" s="198"/>
      <c r="OKS4" s="198"/>
      <c r="OKT4" s="198"/>
      <c r="OKU4" s="198"/>
      <c r="OKV4" s="198"/>
      <c r="OKW4" s="198"/>
      <c r="OKX4" s="198"/>
      <c r="OKY4" s="198"/>
      <c r="OKZ4" s="198"/>
      <c r="OLA4" s="198"/>
      <c r="OLB4" s="198"/>
      <c r="OLC4" s="198"/>
      <c r="OLD4" s="198"/>
      <c r="OLE4" s="198"/>
      <c r="OLF4" s="198"/>
      <c r="OLG4" s="198"/>
      <c r="OLH4" s="198"/>
      <c r="OLI4" s="198"/>
      <c r="OLJ4" s="198"/>
      <c r="OLK4" s="198"/>
      <c r="OLL4" s="198"/>
      <c r="OLM4" s="198"/>
      <c r="OLN4" s="198"/>
      <c r="OLO4" s="198"/>
      <c r="OLP4" s="198"/>
      <c r="OLQ4" s="198"/>
      <c r="OLR4" s="198"/>
      <c r="OLS4" s="198"/>
      <c r="OLT4" s="198"/>
      <c r="OLU4" s="198"/>
      <c r="OLV4" s="198"/>
      <c r="OLW4" s="198"/>
      <c r="OLX4" s="198"/>
      <c r="OLY4" s="198"/>
      <c r="OLZ4" s="198"/>
      <c r="OMA4" s="198"/>
      <c r="OMB4" s="198"/>
      <c r="OMC4" s="198"/>
      <c r="OMD4" s="198"/>
      <c r="OME4" s="198"/>
      <c r="OMF4" s="198"/>
      <c r="OMG4" s="198"/>
      <c r="OMH4" s="198"/>
      <c r="OMI4" s="198"/>
      <c r="OMJ4" s="198"/>
      <c r="OMK4" s="198"/>
      <c r="OML4" s="198"/>
      <c r="OMM4" s="198"/>
      <c r="OMN4" s="198"/>
      <c r="OMO4" s="198"/>
      <c r="OMP4" s="198"/>
      <c r="OMQ4" s="198"/>
      <c r="OMR4" s="198"/>
      <c r="OMS4" s="198"/>
      <c r="OMT4" s="198"/>
      <c r="OMU4" s="198"/>
      <c r="OMV4" s="198"/>
      <c r="OMW4" s="198"/>
      <c r="OMX4" s="198"/>
      <c r="OMY4" s="198"/>
      <c r="OMZ4" s="198"/>
      <c r="ONA4" s="198"/>
      <c r="ONB4" s="198"/>
      <c r="ONC4" s="198"/>
      <c r="OND4" s="198"/>
      <c r="ONE4" s="198"/>
      <c r="ONF4" s="198"/>
      <c r="ONG4" s="198"/>
      <c r="ONH4" s="198"/>
      <c r="ONI4" s="198"/>
      <c r="ONJ4" s="198"/>
      <c r="ONK4" s="198"/>
      <c r="ONL4" s="198"/>
      <c r="ONM4" s="198"/>
      <c r="ONN4" s="198"/>
      <c r="ONO4" s="198"/>
      <c r="ONP4" s="198"/>
      <c r="ONQ4" s="198"/>
      <c r="ONR4" s="198"/>
      <c r="ONS4" s="198"/>
      <c r="ONT4" s="198"/>
      <c r="ONU4" s="198"/>
      <c r="ONV4" s="198"/>
      <c r="ONW4" s="198"/>
      <c r="ONX4" s="198"/>
      <c r="ONY4" s="198"/>
      <c r="ONZ4" s="198"/>
      <c r="OOA4" s="198"/>
      <c r="OOB4" s="198"/>
      <c r="OOC4" s="198"/>
      <c r="OOD4" s="198"/>
      <c r="OOE4" s="198"/>
      <c r="OOF4" s="198"/>
      <c r="OOG4" s="198"/>
      <c r="OOH4" s="198"/>
      <c r="OOI4" s="198"/>
      <c r="OOJ4" s="198"/>
      <c r="OOK4" s="198"/>
      <c r="OOL4" s="198"/>
      <c r="OOM4" s="198"/>
      <c r="OON4" s="198"/>
      <c r="OOO4" s="198"/>
      <c r="OOP4" s="198"/>
      <c r="OOQ4" s="198"/>
      <c r="OOR4" s="198"/>
      <c r="OOS4" s="198"/>
      <c r="OOT4" s="198"/>
      <c r="OOU4" s="198"/>
      <c r="OOV4" s="198"/>
      <c r="OOW4" s="198"/>
      <c r="OOX4" s="198"/>
      <c r="OOY4" s="198"/>
      <c r="OOZ4" s="198"/>
      <c r="OPA4" s="198"/>
      <c r="OPB4" s="198"/>
      <c r="OPC4" s="198"/>
      <c r="OPD4" s="198"/>
      <c r="OPE4" s="198"/>
      <c r="OPF4" s="198"/>
      <c r="OPG4" s="198"/>
      <c r="OPH4" s="198"/>
      <c r="OPI4" s="198"/>
      <c r="OPJ4" s="198"/>
      <c r="OPK4" s="198"/>
      <c r="OPL4" s="198"/>
      <c r="OPM4" s="198"/>
      <c r="OPN4" s="198"/>
      <c r="OPO4" s="198"/>
      <c r="OPP4" s="198"/>
      <c r="OPQ4" s="198"/>
      <c r="OPR4" s="198"/>
      <c r="OPS4" s="198"/>
      <c r="OPT4" s="198"/>
      <c r="OPU4" s="198"/>
      <c r="OPV4" s="198"/>
      <c r="OPW4" s="198"/>
      <c r="OPX4" s="198"/>
      <c r="OPY4" s="198"/>
      <c r="OPZ4" s="198"/>
      <c r="OQA4" s="198"/>
      <c r="OQB4" s="198"/>
      <c r="OQC4" s="198"/>
      <c r="OQD4" s="198"/>
      <c r="OQE4" s="198"/>
      <c r="OQF4" s="198"/>
      <c r="OQG4" s="198"/>
      <c r="OQH4" s="198"/>
      <c r="OQI4" s="198"/>
      <c r="OQJ4" s="198"/>
      <c r="OQK4" s="198"/>
      <c r="OQL4" s="198"/>
      <c r="OQM4" s="198"/>
      <c r="OQN4" s="198"/>
      <c r="OQO4" s="198"/>
      <c r="OQP4" s="198"/>
      <c r="OQQ4" s="198"/>
      <c r="OQR4" s="198"/>
      <c r="OQS4" s="198"/>
      <c r="OQT4" s="198"/>
      <c r="OQU4" s="198"/>
      <c r="OQV4" s="198"/>
      <c r="OQW4" s="198"/>
      <c r="OQX4" s="198"/>
      <c r="OQY4" s="198"/>
      <c r="OQZ4" s="198"/>
      <c r="ORA4" s="198"/>
      <c r="ORB4" s="198"/>
      <c r="ORC4" s="198"/>
      <c r="ORD4" s="198"/>
      <c r="ORE4" s="198"/>
      <c r="ORF4" s="198"/>
      <c r="ORG4" s="198"/>
      <c r="ORH4" s="198"/>
      <c r="ORI4" s="198"/>
      <c r="ORJ4" s="198"/>
      <c r="ORK4" s="198"/>
      <c r="ORL4" s="198"/>
      <c r="ORM4" s="198"/>
      <c r="ORN4" s="198"/>
      <c r="ORO4" s="198"/>
      <c r="ORP4" s="198"/>
      <c r="ORQ4" s="198"/>
      <c r="ORR4" s="198"/>
      <c r="ORS4" s="198"/>
      <c r="ORT4" s="198"/>
      <c r="ORU4" s="198"/>
      <c r="ORV4" s="198"/>
      <c r="ORW4" s="198"/>
      <c r="ORX4" s="198"/>
      <c r="ORY4" s="198"/>
      <c r="ORZ4" s="198"/>
      <c r="OSA4" s="198"/>
      <c r="OSB4" s="198"/>
      <c r="OSC4" s="198"/>
      <c r="OSD4" s="198"/>
      <c r="OSE4" s="198"/>
      <c r="OSF4" s="198"/>
      <c r="OSG4" s="198"/>
      <c r="OSH4" s="198"/>
      <c r="OSI4" s="198"/>
      <c r="OSJ4" s="198"/>
      <c r="OSK4" s="198"/>
      <c r="OSL4" s="198"/>
      <c r="OSM4" s="198"/>
      <c r="OSN4" s="198"/>
      <c r="OSO4" s="198"/>
      <c r="OSP4" s="198"/>
      <c r="OSQ4" s="198"/>
      <c r="OSR4" s="198"/>
      <c r="OSS4" s="198"/>
      <c r="OST4" s="198"/>
      <c r="OSU4" s="198"/>
      <c r="OSV4" s="198"/>
      <c r="OSW4" s="198"/>
      <c r="OSX4" s="198"/>
      <c r="OSY4" s="198"/>
      <c r="OSZ4" s="198"/>
      <c r="OTA4" s="198"/>
      <c r="OTB4" s="198"/>
      <c r="OTC4" s="198"/>
      <c r="OTD4" s="198"/>
      <c r="OTE4" s="198"/>
      <c r="OTF4" s="198"/>
      <c r="OTG4" s="198"/>
      <c r="OTH4" s="198"/>
      <c r="OTI4" s="198"/>
      <c r="OTJ4" s="198"/>
      <c r="OTK4" s="198"/>
      <c r="OTL4" s="198"/>
      <c r="OTM4" s="198"/>
      <c r="OTN4" s="198"/>
      <c r="OTO4" s="198"/>
      <c r="OTP4" s="198"/>
      <c r="OTQ4" s="198"/>
      <c r="OTR4" s="198"/>
      <c r="OTS4" s="198"/>
      <c r="OTT4" s="198"/>
      <c r="OTU4" s="198"/>
      <c r="OTV4" s="198"/>
      <c r="OTW4" s="198"/>
      <c r="OTX4" s="198"/>
      <c r="OTY4" s="198"/>
      <c r="OTZ4" s="198"/>
      <c r="OUA4" s="198"/>
      <c r="OUB4" s="198"/>
      <c r="OUC4" s="198"/>
      <c r="OUD4" s="198"/>
      <c r="OUE4" s="198"/>
      <c r="OUF4" s="198"/>
      <c r="OUG4" s="198"/>
      <c r="OUH4" s="198"/>
      <c r="OUI4" s="198"/>
      <c r="OUJ4" s="198"/>
      <c r="OUK4" s="198"/>
      <c r="OUL4" s="198"/>
      <c r="OUM4" s="198"/>
      <c r="OUN4" s="198"/>
      <c r="OUO4" s="198"/>
      <c r="OUP4" s="198"/>
      <c r="OUQ4" s="198"/>
      <c r="OUR4" s="198"/>
      <c r="OUS4" s="198"/>
      <c r="OUT4" s="198"/>
      <c r="OUU4" s="198"/>
      <c r="OUV4" s="198"/>
      <c r="OUW4" s="198"/>
      <c r="OUX4" s="198"/>
      <c r="OUY4" s="198"/>
      <c r="OUZ4" s="198"/>
      <c r="OVA4" s="198"/>
      <c r="OVB4" s="198"/>
      <c r="OVC4" s="198"/>
      <c r="OVD4" s="198"/>
      <c r="OVE4" s="198"/>
      <c r="OVF4" s="198"/>
      <c r="OVG4" s="198"/>
      <c r="OVH4" s="198"/>
      <c r="OVI4" s="198"/>
      <c r="OVJ4" s="198"/>
      <c r="OVK4" s="198"/>
      <c r="OVL4" s="198"/>
      <c r="OVM4" s="198"/>
      <c r="OVN4" s="198"/>
      <c r="OVO4" s="198"/>
      <c r="OVP4" s="198"/>
      <c r="OVQ4" s="198"/>
      <c r="OVR4" s="198"/>
      <c r="OVS4" s="198"/>
      <c r="OVT4" s="198"/>
      <c r="OVU4" s="198"/>
      <c r="OVV4" s="198"/>
      <c r="OVW4" s="198"/>
      <c r="OVX4" s="198"/>
      <c r="OVY4" s="198"/>
      <c r="OVZ4" s="198"/>
      <c r="OWA4" s="198"/>
      <c r="OWB4" s="198"/>
      <c r="OWC4" s="198"/>
      <c r="OWD4" s="198"/>
      <c r="OWE4" s="198"/>
      <c r="OWF4" s="198"/>
      <c r="OWG4" s="198"/>
      <c r="OWH4" s="198"/>
      <c r="OWI4" s="198"/>
      <c r="OWJ4" s="198"/>
      <c r="OWK4" s="198"/>
      <c r="OWL4" s="198"/>
      <c r="OWM4" s="198"/>
      <c r="OWN4" s="198"/>
      <c r="OWO4" s="198"/>
      <c r="OWP4" s="198"/>
      <c r="OWQ4" s="198"/>
      <c r="OWR4" s="198"/>
      <c r="OWS4" s="198"/>
      <c r="OWT4" s="198"/>
      <c r="OWU4" s="198"/>
      <c r="OWV4" s="198"/>
      <c r="OWW4" s="198"/>
      <c r="OWX4" s="198"/>
      <c r="OWY4" s="198"/>
      <c r="OWZ4" s="198"/>
      <c r="OXA4" s="198"/>
      <c r="OXB4" s="198"/>
      <c r="OXC4" s="198"/>
      <c r="OXD4" s="198"/>
      <c r="OXE4" s="198"/>
      <c r="OXF4" s="198"/>
      <c r="OXG4" s="198"/>
      <c r="OXH4" s="198"/>
      <c r="OXI4" s="198"/>
      <c r="OXJ4" s="198"/>
      <c r="OXK4" s="198"/>
      <c r="OXL4" s="198"/>
      <c r="OXM4" s="198"/>
      <c r="OXN4" s="198"/>
      <c r="OXO4" s="198"/>
      <c r="OXP4" s="198"/>
      <c r="OXQ4" s="198"/>
      <c r="OXR4" s="198"/>
      <c r="OXS4" s="198"/>
      <c r="OXT4" s="198"/>
      <c r="OXU4" s="198"/>
      <c r="OXV4" s="198"/>
      <c r="OXW4" s="198"/>
      <c r="OXX4" s="198"/>
      <c r="OXY4" s="198"/>
      <c r="OXZ4" s="198"/>
      <c r="OYA4" s="198"/>
      <c r="OYB4" s="198"/>
      <c r="OYC4" s="198"/>
      <c r="OYD4" s="198"/>
      <c r="OYE4" s="198"/>
      <c r="OYF4" s="198"/>
      <c r="OYG4" s="198"/>
      <c r="OYH4" s="198"/>
      <c r="OYI4" s="198"/>
      <c r="OYJ4" s="198"/>
      <c r="OYK4" s="198"/>
      <c r="OYL4" s="198"/>
      <c r="OYM4" s="198"/>
      <c r="OYN4" s="198"/>
      <c r="OYO4" s="198"/>
      <c r="OYP4" s="198"/>
      <c r="OYQ4" s="198"/>
      <c r="OYR4" s="198"/>
      <c r="OYS4" s="198"/>
      <c r="OYT4" s="198"/>
      <c r="OYU4" s="198"/>
      <c r="OYV4" s="198"/>
      <c r="OYW4" s="198"/>
      <c r="OYX4" s="198"/>
      <c r="OYY4" s="198"/>
      <c r="OYZ4" s="198"/>
      <c r="OZA4" s="198"/>
      <c r="OZB4" s="198"/>
      <c r="OZC4" s="198"/>
      <c r="OZD4" s="198"/>
      <c r="OZE4" s="198"/>
      <c r="OZF4" s="198"/>
      <c r="OZG4" s="198"/>
      <c r="OZH4" s="198"/>
      <c r="OZI4" s="198"/>
      <c r="OZJ4" s="198"/>
      <c r="OZK4" s="198"/>
      <c r="OZL4" s="198"/>
      <c r="OZM4" s="198"/>
      <c r="OZN4" s="198"/>
      <c r="OZO4" s="198"/>
      <c r="OZP4" s="198"/>
      <c r="OZQ4" s="198"/>
      <c r="OZR4" s="198"/>
      <c r="OZS4" s="198"/>
      <c r="OZT4" s="198"/>
      <c r="OZU4" s="198"/>
      <c r="OZV4" s="198"/>
      <c r="OZW4" s="198"/>
      <c r="OZX4" s="198"/>
      <c r="OZY4" s="198"/>
      <c r="OZZ4" s="198"/>
      <c r="PAA4" s="198"/>
      <c r="PAB4" s="198"/>
      <c r="PAC4" s="198"/>
      <c r="PAD4" s="198"/>
      <c r="PAE4" s="198"/>
      <c r="PAF4" s="198"/>
      <c r="PAG4" s="198"/>
      <c r="PAH4" s="198"/>
      <c r="PAI4" s="198"/>
      <c r="PAJ4" s="198"/>
      <c r="PAK4" s="198"/>
      <c r="PAL4" s="198"/>
      <c r="PAM4" s="198"/>
      <c r="PAN4" s="198"/>
      <c r="PAO4" s="198"/>
      <c r="PAP4" s="198"/>
      <c r="PAQ4" s="198"/>
      <c r="PAR4" s="198"/>
      <c r="PAS4" s="198"/>
      <c r="PAT4" s="198"/>
      <c r="PAU4" s="198"/>
      <c r="PAV4" s="198"/>
      <c r="PAW4" s="198"/>
      <c r="PAX4" s="198"/>
      <c r="PAY4" s="198"/>
      <c r="PAZ4" s="198"/>
      <c r="PBA4" s="198"/>
      <c r="PBB4" s="198"/>
      <c r="PBC4" s="198"/>
      <c r="PBD4" s="198"/>
      <c r="PBE4" s="198"/>
      <c r="PBF4" s="198"/>
      <c r="PBG4" s="198"/>
      <c r="PBH4" s="198"/>
      <c r="PBI4" s="198"/>
      <c r="PBJ4" s="198"/>
      <c r="PBK4" s="198"/>
      <c r="PBL4" s="198"/>
      <c r="PBM4" s="198"/>
      <c r="PBN4" s="198"/>
      <c r="PBO4" s="198"/>
      <c r="PBP4" s="198"/>
      <c r="PBQ4" s="198"/>
      <c r="PBR4" s="198"/>
      <c r="PBS4" s="198"/>
      <c r="PBT4" s="198"/>
      <c r="PBU4" s="198"/>
      <c r="PBV4" s="198"/>
      <c r="PBW4" s="198"/>
      <c r="PBX4" s="198"/>
      <c r="PBY4" s="198"/>
      <c r="PBZ4" s="198"/>
      <c r="PCA4" s="198"/>
      <c r="PCB4" s="198"/>
      <c r="PCC4" s="198"/>
      <c r="PCD4" s="198"/>
      <c r="PCE4" s="198"/>
      <c r="PCF4" s="198"/>
      <c r="PCG4" s="198"/>
      <c r="PCH4" s="198"/>
      <c r="PCI4" s="198"/>
      <c r="PCJ4" s="198"/>
      <c r="PCK4" s="198"/>
      <c r="PCL4" s="198"/>
      <c r="PCM4" s="198"/>
      <c r="PCN4" s="198"/>
      <c r="PCO4" s="198"/>
      <c r="PCP4" s="198"/>
      <c r="PCQ4" s="198"/>
      <c r="PCR4" s="198"/>
      <c r="PCS4" s="198"/>
      <c r="PCT4" s="198"/>
      <c r="PCU4" s="198"/>
      <c r="PCV4" s="198"/>
      <c r="PCW4" s="198"/>
      <c r="PCX4" s="198"/>
      <c r="PCY4" s="198"/>
      <c r="PCZ4" s="198"/>
      <c r="PDA4" s="198"/>
      <c r="PDB4" s="198"/>
      <c r="PDC4" s="198"/>
      <c r="PDD4" s="198"/>
      <c r="PDE4" s="198"/>
      <c r="PDF4" s="198"/>
      <c r="PDG4" s="198"/>
      <c r="PDH4" s="198"/>
      <c r="PDI4" s="198"/>
      <c r="PDJ4" s="198"/>
      <c r="PDK4" s="198"/>
      <c r="PDL4" s="198"/>
      <c r="PDM4" s="198"/>
      <c r="PDN4" s="198"/>
      <c r="PDO4" s="198"/>
      <c r="PDP4" s="198"/>
      <c r="PDQ4" s="198"/>
      <c r="PDR4" s="198"/>
      <c r="PDS4" s="198"/>
      <c r="PDT4" s="198"/>
      <c r="PDU4" s="198"/>
      <c r="PDV4" s="198"/>
      <c r="PDW4" s="198"/>
      <c r="PDX4" s="198"/>
      <c r="PDY4" s="198"/>
      <c r="PDZ4" s="198"/>
      <c r="PEA4" s="198"/>
      <c r="PEB4" s="198"/>
      <c r="PEC4" s="198"/>
      <c r="PED4" s="198"/>
      <c r="PEE4" s="198"/>
      <c r="PEF4" s="198"/>
      <c r="PEG4" s="198"/>
      <c r="PEH4" s="198"/>
      <c r="PEI4" s="198"/>
      <c r="PEJ4" s="198"/>
      <c r="PEK4" s="198"/>
      <c r="PEL4" s="198"/>
      <c r="PEM4" s="198"/>
      <c r="PEN4" s="198"/>
      <c r="PEO4" s="198"/>
      <c r="PEP4" s="198"/>
      <c r="PEQ4" s="198"/>
      <c r="PER4" s="198"/>
      <c r="PES4" s="198"/>
      <c r="PET4" s="198"/>
      <c r="PEU4" s="198"/>
      <c r="PEV4" s="198"/>
      <c r="PEW4" s="198"/>
      <c r="PEX4" s="198"/>
      <c r="PEY4" s="198"/>
      <c r="PEZ4" s="198"/>
      <c r="PFA4" s="198"/>
      <c r="PFB4" s="198"/>
      <c r="PFC4" s="198"/>
      <c r="PFD4" s="198"/>
      <c r="PFE4" s="198"/>
      <c r="PFF4" s="198"/>
      <c r="PFG4" s="198"/>
      <c r="PFH4" s="198"/>
      <c r="PFI4" s="198"/>
      <c r="PFJ4" s="198"/>
      <c r="PFK4" s="198"/>
      <c r="PFL4" s="198"/>
      <c r="PFM4" s="198"/>
      <c r="PFN4" s="198"/>
      <c r="PFO4" s="198"/>
      <c r="PFP4" s="198"/>
      <c r="PFQ4" s="198"/>
      <c r="PFR4" s="198"/>
      <c r="PFS4" s="198"/>
      <c r="PFT4" s="198"/>
      <c r="PFU4" s="198"/>
      <c r="PFV4" s="198"/>
      <c r="PFW4" s="198"/>
      <c r="PFX4" s="198"/>
      <c r="PFY4" s="198"/>
      <c r="PFZ4" s="198"/>
      <c r="PGA4" s="198"/>
      <c r="PGB4" s="198"/>
      <c r="PGC4" s="198"/>
      <c r="PGD4" s="198"/>
      <c r="PGE4" s="198"/>
      <c r="PGF4" s="198"/>
      <c r="PGG4" s="198"/>
      <c r="PGH4" s="198"/>
      <c r="PGI4" s="198"/>
      <c r="PGJ4" s="198"/>
      <c r="PGK4" s="198"/>
      <c r="PGL4" s="198"/>
      <c r="PGM4" s="198"/>
      <c r="PGN4" s="198"/>
      <c r="PGO4" s="198"/>
      <c r="PGP4" s="198"/>
      <c r="PGQ4" s="198"/>
      <c r="PGR4" s="198"/>
      <c r="PGS4" s="198"/>
      <c r="PGT4" s="198"/>
      <c r="PGU4" s="198"/>
      <c r="PGV4" s="198"/>
      <c r="PGW4" s="198"/>
      <c r="PGX4" s="198"/>
      <c r="PGY4" s="198"/>
      <c r="PGZ4" s="198"/>
      <c r="PHA4" s="198"/>
      <c r="PHB4" s="198"/>
      <c r="PHC4" s="198"/>
      <c r="PHD4" s="198"/>
      <c r="PHE4" s="198"/>
      <c r="PHF4" s="198"/>
      <c r="PHG4" s="198"/>
      <c r="PHH4" s="198"/>
      <c r="PHI4" s="198"/>
      <c r="PHJ4" s="198"/>
      <c r="PHK4" s="198"/>
      <c r="PHL4" s="198"/>
      <c r="PHM4" s="198"/>
      <c r="PHN4" s="198"/>
      <c r="PHO4" s="198"/>
      <c r="PHP4" s="198"/>
      <c r="PHQ4" s="198"/>
      <c r="PHR4" s="198"/>
      <c r="PHS4" s="198"/>
      <c r="PHT4" s="198"/>
      <c r="PHU4" s="198"/>
      <c r="PHV4" s="198"/>
      <c r="PHW4" s="198"/>
      <c r="PHX4" s="198"/>
      <c r="PHY4" s="198"/>
      <c r="PHZ4" s="198"/>
      <c r="PIA4" s="198"/>
      <c r="PIB4" s="198"/>
      <c r="PIC4" s="198"/>
      <c r="PID4" s="198"/>
      <c r="PIE4" s="198"/>
      <c r="PIF4" s="198"/>
      <c r="PIG4" s="198"/>
      <c r="PIH4" s="198"/>
      <c r="PII4" s="198"/>
      <c r="PIJ4" s="198"/>
      <c r="PIK4" s="198"/>
      <c r="PIL4" s="198"/>
      <c r="PIM4" s="198"/>
      <c r="PIN4" s="198"/>
      <c r="PIO4" s="198"/>
      <c r="PIP4" s="198"/>
      <c r="PIQ4" s="198"/>
      <c r="PIR4" s="198"/>
      <c r="PIS4" s="198"/>
      <c r="PIT4" s="198"/>
      <c r="PIU4" s="198"/>
      <c r="PIV4" s="198"/>
      <c r="PIW4" s="198"/>
      <c r="PIX4" s="198"/>
      <c r="PIY4" s="198"/>
      <c r="PIZ4" s="198"/>
      <c r="PJA4" s="198"/>
      <c r="PJB4" s="198"/>
      <c r="PJC4" s="198"/>
      <c r="PJD4" s="198"/>
      <c r="PJE4" s="198"/>
      <c r="PJF4" s="198"/>
      <c r="PJG4" s="198"/>
      <c r="PJH4" s="198"/>
      <c r="PJI4" s="198"/>
      <c r="PJJ4" s="198"/>
      <c r="PJK4" s="198"/>
      <c r="PJL4" s="198"/>
      <c r="PJM4" s="198"/>
      <c r="PJN4" s="198"/>
      <c r="PJO4" s="198"/>
      <c r="PJP4" s="198"/>
      <c r="PJQ4" s="198"/>
      <c r="PJR4" s="198"/>
      <c r="PJS4" s="198"/>
      <c r="PJT4" s="198"/>
      <c r="PJU4" s="198"/>
      <c r="PJV4" s="198"/>
      <c r="PJW4" s="198"/>
      <c r="PJX4" s="198"/>
      <c r="PJY4" s="198"/>
      <c r="PJZ4" s="198"/>
      <c r="PKA4" s="198"/>
      <c r="PKB4" s="198"/>
      <c r="PKC4" s="198"/>
      <c r="PKD4" s="198"/>
      <c r="PKE4" s="198"/>
      <c r="PKF4" s="198"/>
      <c r="PKG4" s="198"/>
      <c r="PKH4" s="198"/>
      <c r="PKI4" s="198"/>
      <c r="PKJ4" s="198"/>
      <c r="PKK4" s="198"/>
      <c r="PKL4" s="198"/>
      <c r="PKM4" s="198"/>
      <c r="PKN4" s="198"/>
      <c r="PKO4" s="198"/>
      <c r="PKP4" s="198"/>
      <c r="PKQ4" s="198"/>
      <c r="PKR4" s="198"/>
      <c r="PKS4" s="198"/>
      <c r="PKT4" s="198"/>
      <c r="PKU4" s="198"/>
      <c r="PKV4" s="198"/>
      <c r="PKW4" s="198"/>
      <c r="PKX4" s="198"/>
      <c r="PKY4" s="198"/>
      <c r="PKZ4" s="198"/>
      <c r="PLA4" s="198"/>
      <c r="PLB4" s="198"/>
      <c r="PLC4" s="198"/>
      <c r="PLD4" s="198"/>
      <c r="PLE4" s="198"/>
      <c r="PLF4" s="198"/>
      <c r="PLG4" s="198"/>
      <c r="PLH4" s="198"/>
      <c r="PLI4" s="198"/>
      <c r="PLJ4" s="198"/>
      <c r="PLK4" s="198"/>
      <c r="PLL4" s="198"/>
      <c r="PLM4" s="198"/>
      <c r="PLN4" s="198"/>
      <c r="PLO4" s="198"/>
      <c r="PLP4" s="198"/>
      <c r="PLQ4" s="198"/>
      <c r="PLR4" s="198"/>
      <c r="PLS4" s="198"/>
      <c r="PLT4" s="198"/>
      <c r="PLU4" s="198"/>
      <c r="PLV4" s="198"/>
      <c r="PLW4" s="198"/>
      <c r="PLX4" s="198"/>
      <c r="PLY4" s="198"/>
      <c r="PLZ4" s="198"/>
      <c r="PMA4" s="198"/>
      <c r="PMB4" s="198"/>
      <c r="PMC4" s="198"/>
      <c r="PMD4" s="198"/>
      <c r="PME4" s="198"/>
      <c r="PMF4" s="198"/>
      <c r="PMG4" s="198"/>
      <c r="PMH4" s="198"/>
      <c r="PMI4" s="198"/>
      <c r="PMJ4" s="198"/>
      <c r="PMK4" s="198"/>
      <c r="PML4" s="198"/>
      <c r="PMM4" s="198"/>
      <c r="PMN4" s="198"/>
      <c r="PMO4" s="198"/>
      <c r="PMP4" s="198"/>
      <c r="PMQ4" s="198"/>
      <c r="PMR4" s="198"/>
      <c r="PMS4" s="198"/>
      <c r="PMT4" s="198"/>
      <c r="PMU4" s="198"/>
      <c r="PMV4" s="198"/>
      <c r="PMW4" s="198"/>
      <c r="PMX4" s="198"/>
      <c r="PMY4" s="198"/>
      <c r="PMZ4" s="198"/>
      <c r="PNA4" s="198"/>
      <c r="PNB4" s="198"/>
      <c r="PNC4" s="198"/>
      <c r="PND4" s="198"/>
      <c r="PNE4" s="198"/>
      <c r="PNF4" s="198"/>
      <c r="PNG4" s="198"/>
      <c r="PNH4" s="198"/>
      <c r="PNI4" s="198"/>
      <c r="PNJ4" s="198"/>
      <c r="PNK4" s="198"/>
      <c r="PNL4" s="198"/>
      <c r="PNM4" s="198"/>
      <c r="PNN4" s="198"/>
      <c r="PNO4" s="198"/>
      <c r="PNP4" s="198"/>
      <c r="PNQ4" s="198"/>
      <c r="PNR4" s="198"/>
      <c r="PNS4" s="198"/>
      <c r="PNT4" s="198"/>
      <c r="PNU4" s="198"/>
      <c r="PNV4" s="198"/>
      <c r="PNW4" s="198"/>
      <c r="PNX4" s="198"/>
      <c r="PNY4" s="198"/>
      <c r="PNZ4" s="198"/>
      <c r="POA4" s="198"/>
      <c r="POB4" s="198"/>
      <c r="POC4" s="198"/>
      <c r="POD4" s="198"/>
      <c r="POE4" s="198"/>
      <c r="POF4" s="198"/>
      <c r="POG4" s="198"/>
      <c r="POH4" s="198"/>
      <c r="POI4" s="198"/>
      <c r="POJ4" s="198"/>
      <c r="POK4" s="198"/>
      <c r="POL4" s="198"/>
      <c r="POM4" s="198"/>
      <c r="PON4" s="198"/>
      <c r="POO4" s="198"/>
      <c r="POP4" s="198"/>
      <c r="POQ4" s="198"/>
      <c r="POR4" s="198"/>
      <c r="POS4" s="198"/>
      <c r="POT4" s="198"/>
      <c r="POU4" s="198"/>
      <c r="POV4" s="198"/>
      <c r="POW4" s="198"/>
      <c r="POX4" s="198"/>
      <c r="POY4" s="198"/>
      <c r="POZ4" s="198"/>
      <c r="PPA4" s="198"/>
      <c r="PPB4" s="198"/>
      <c r="PPC4" s="198"/>
      <c r="PPD4" s="198"/>
      <c r="PPE4" s="198"/>
      <c r="PPF4" s="198"/>
      <c r="PPG4" s="198"/>
      <c r="PPH4" s="198"/>
      <c r="PPI4" s="198"/>
      <c r="PPJ4" s="198"/>
      <c r="PPK4" s="198"/>
      <c r="PPL4" s="198"/>
      <c r="PPM4" s="198"/>
      <c r="PPN4" s="198"/>
      <c r="PPO4" s="198"/>
      <c r="PPP4" s="198"/>
      <c r="PPQ4" s="198"/>
      <c r="PPR4" s="198"/>
      <c r="PPS4" s="198"/>
      <c r="PPT4" s="198"/>
      <c r="PPU4" s="198"/>
      <c r="PPV4" s="198"/>
      <c r="PPW4" s="198"/>
      <c r="PPX4" s="198"/>
      <c r="PPY4" s="198"/>
      <c r="PPZ4" s="198"/>
      <c r="PQA4" s="198"/>
      <c r="PQB4" s="198"/>
      <c r="PQC4" s="198"/>
      <c r="PQD4" s="198"/>
      <c r="PQE4" s="198"/>
      <c r="PQF4" s="198"/>
      <c r="PQG4" s="198"/>
      <c r="PQH4" s="198"/>
      <c r="PQI4" s="198"/>
      <c r="PQJ4" s="198"/>
      <c r="PQK4" s="198"/>
      <c r="PQL4" s="198"/>
      <c r="PQM4" s="198"/>
      <c r="PQN4" s="198"/>
      <c r="PQO4" s="198"/>
      <c r="PQP4" s="198"/>
      <c r="PQQ4" s="198"/>
      <c r="PQR4" s="198"/>
      <c r="PQS4" s="198"/>
      <c r="PQT4" s="198"/>
      <c r="PQU4" s="198"/>
      <c r="PQV4" s="198"/>
      <c r="PQW4" s="198"/>
      <c r="PQX4" s="198"/>
      <c r="PQY4" s="198"/>
      <c r="PQZ4" s="198"/>
      <c r="PRA4" s="198"/>
      <c r="PRB4" s="198"/>
      <c r="PRC4" s="198"/>
      <c r="PRD4" s="198"/>
      <c r="PRE4" s="198"/>
      <c r="PRF4" s="198"/>
      <c r="PRG4" s="198"/>
      <c r="PRH4" s="198"/>
      <c r="PRI4" s="198"/>
      <c r="PRJ4" s="198"/>
      <c r="PRK4" s="198"/>
      <c r="PRL4" s="198"/>
      <c r="PRM4" s="198"/>
      <c r="PRN4" s="198"/>
      <c r="PRO4" s="198"/>
      <c r="PRP4" s="198"/>
      <c r="PRQ4" s="198"/>
      <c r="PRR4" s="198"/>
      <c r="PRS4" s="198"/>
      <c r="PRT4" s="198"/>
      <c r="PRU4" s="198"/>
      <c r="PRV4" s="198"/>
      <c r="PRW4" s="198"/>
      <c r="PRX4" s="198"/>
      <c r="PRY4" s="198"/>
      <c r="PRZ4" s="198"/>
      <c r="PSA4" s="198"/>
      <c r="PSB4" s="198"/>
      <c r="PSC4" s="198"/>
      <c r="PSD4" s="198"/>
      <c r="PSE4" s="198"/>
      <c r="PSF4" s="198"/>
      <c r="PSG4" s="198"/>
      <c r="PSH4" s="198"/>
      <c r="PSI4" s="198"/>
      <c r="PSJ4" s="198"/>
      <c r="PSK4" s="198"/>
      <c r="PSL4" s="198"/>
      <c r="PSM4" s="198"/>
      <c r="PSN4" s="198"/>
      <c r="PSO4" s="198"/>
      <c r="PSP4" s="198"/>
      <c r="PSQ4" s="198"/>
      <c r="PSR4" s="198"/>
      <c r="PSS4" s="198"/>
      <c r="PST4" s="198"/>
      <c r="PSU4" s="198"/>
      <c r="PSV4" s="198"/>
      <c r="PSW4" s="198"/>
      <c r="PSX4" s="198"/>
      <c r="PSY4" s="198"/>
      <c r="PSZ4" s="198"/>
      <c r="PTA4" s="198"/>
      <c r="PTB4" s="198"/>
      <c r="PTC4" s="198"/>
      <c r="PTD4" s="198"/>
      <c r="PTE4" s="198"/>
      <c r="PTF4" s="198"/>
      <c r="PTG4" s="198"/>
      <c r="PTH4" s="198"/>
      <c r="PTI4" s="198"/>
      <c r="PTJ4" s="198"/>
      <c r="PTK4" s="198"/>
      <c r="PTL4" s="198"/>
      <c r="PTM4" s="198"/>
      <c r="PTN4" s="198"/>
      <c r="PTO4" s="198"/>
      <c r="PTP4" s="198"/>
      <c r="PTQ4" s="198"/>
      <c r="PTR4" s="198"/>
      <c r="PTS4" s="198"/>
      <c r="PTT4" s="198"/>
      <c r="PTU4" s="198"/>
      <c r="PTV4" s="198"/>
      <c r="PTW4" s="198"/>
      <c r="PTX4" s="198"/>
      <c r="PTY4" s="198"/>
      <c r="PTZ4" s="198"/>
      <c r="PUA4" s="198"/>
      <c r="PUB4" s="198"/>
      <c r="PUC4" s="198"/>
      <c r="PUD4" s="198"/>
      <c r="PUE4" s="198"/>
      <c r="PUF4" s="198"/>
      <c r="PUG4" s="198"/>
      <c r="PUH4" s="198"/>
      <c r="PUI4" s="198"/>
      <c r="PUJ4" s="198"/>
      <c r="PUK4" s="198"/>
      <c r="PUL4" s="198"/>
      <c r="PUM4" s="198"/>
      <c r="PUN4" s="198"/>
      <c r="PUO4" s="198"/>
      <c r="PUP4" s="198"/>
      <c r="PUQ4" s="198"/>
      <c r="PUR4" s="198"/>
      <c r="PUS4" s="198"/>
      <c r="PUT4" s="198"/>
      <c r="PUU4" s="198"/>
      <c r="PUV4" s="198"/>
      <c r="PUW4" s="198"/>
      <c r="PUX4" s="198"/>
      <c r="PUY4" s="198"/>
      <c r="PUZ4" s="198"/>
      <c r="PVA4" s="198"/>
      <c r="PVB4" s="198"/>
      <c r="PVC4" s="198"/>
      <c r="PVD4" s="198"/>
      <c r="PVE4" s="198"/>
      <c r="PVF4" s="198"/>
      <c r="PVG4" s="198"/>
      <c r="PVH4" s="198"/>
      <c r="PVI4" s="198"/>
      <c r="PVJ4" s="198"/>
      <c r="PVK4" s="198"/>
      <c r="PVL4" s="198"/>
      <c r="PVM4" s="198"/>
      <c r="PVN4" s="198"/>
      <c r="PVO4" s="198"/>
      <c r="PVP4" s="198"/>
      <c r="PVQ4" s="198"/>
      <c r="PVR4" s="198"/>
      <c r="PVS4" s="198"/>
      <c r="PVT4" s="198"/>
      <c r="PVU4" s="198"/>
      <c r="PVV4" s="198"/>
      <c r="PVW4" s="198"/>
      <c r="PVX4" s="198"/>
      <c r="PVY4" s="198"/>
      <c r="PVZ4" s="198"/>
      <c r="PWA4" s="198"/>
      <c r="PWB4" s="198"/>
      <c r="PWC4" s="198"/>
      <c r="PWD4" s="198"/>
      <c r="PWE4" s="198"/>
      <c r="PWF4" s="198"/>
      <c r="PWG4" s="198"/>
      <c r="PWH4" s="198"/>
      <c r="PWI4" s="198"/>
      <c r="PWJ4" s="198"/>
      <c r="PWK4" s="198"/>
      <c r="PWL4" s="198"/>
      <c r="PWM4" s="198"/>
      <c r="PWN4" s="198"/>
      <c r="PWO4" s="198"/>
      <c r="PWP4" s="198"/>
      <c r="PWQ4" s="198"/>
      <c r="PWR4" s="198"/>
      <c r="PWS4" s="198"/>
      <c r="PWT4" s="198"/>
      <c r="PWU4" s="198"/>
      <c r="PWV4" s="198"/>
      <c r="PWW4" s="198"/>
      <c r="PWX4" s="198"/>
      <c r="PWY4" s="198"/>
      <c r="PWZ4" s="198"/>
      <c r="PXA4" s="198"/>
      <c r="PXB4" s="198"/>
      <c r="PXC4" s="198"/>
      <c r="PXD4" s="198"/>
      <c r="PXE4" s="198"/>
      <c r="PXF4" s="198"/>
      <c r="PXG4" s="198"/>
      <c r="PXH4" s="198"/>
      <c r="PXI4" s="198"/>
      <c r="PXJ4" s="198"/>
      <c r="PXK4" s="198"/>
      <c r="PXL4" s="198"/>
      <c r="PXM4" s="198"/>
      <c r="PXN4" s="198"/>
      <c r="PXO4" s="198"/>
      <c r="PXP4" s="198"/>
      <c r="PXQ4" s="198"/>
      <c r="PXR4" s="198"/>
      <c r="PXS4" s="198"/>
      <c r="PXT4" s="198"/>
      <c r="PXU4" s="198"/>
      <c r="PXV4" s="198"/>
      <c r="PXW4" s="198"/>
      <c r="PXX4" s="198"/>
      <c r="PXY4" s="198"/>
      <c r="PXZ4" s="198"/>
      <c r="PYA4" s="198"/>
      <c r="PYB4" s="198"/>
      <c r="PYC4" s="198"/>
      <c r="PYD4" s="198"/>
      <c r="PYE4" s="198"/>
      <c r="PYF4" s="198"/>
      <c r="PYG4" s="198"/>
      <c r="PYH4" s="198"/>
      <c r="PYI4" s="198"/>
      <c r="PYJ4" s="198"/>
      <c r="PYK4" s="198"/>
      <c r="PYL4" s="198"/>
      <c r="PYM4" s="198"/>
      <c r="PYN4" s="198"/>
      <c r="PYO4" s="198"/>
      <c r="PYP4" s="198"/>
      <c r="PYQ4" s="198"/>
      <c r="PYR4" s="198"/>
      <c r="PYS4" s="198"/>
      <c r="PYT4" s="198"/>
      <c r="PYU4" s="198"/>
      <c r="PYV4" s="198"/>
      <c r="PYW4" s="198"/>
      <c r="PYX4" s="198"/>
      <c r="PYY4" s="198"/>
      <c r="PYZ4" s="198"/>
      <c r="PZA4" s="198"/>
      <c r="PZB4" s="198"/>
      <c r="PZC4" s="198"/>
      <c r="PZD4" s="198"/>
      <c r="PZE4" s="198"/>
      <c r="PZF4" s="198"/>
      <c r="PZG4" s="198"/>
      <c r="PZH4" s="198"/>
      <c r="PZI4" s="198"/>
      <c r="PZJ4" s="198"/>
      <c r="PZK4" s="198"/>
      <c r="PZL4" s="198"/>
      <c r="PZM4" s="198"/>
      <c r="PZN4" s="198"/>
      <c r="PZO4" s="198"/>
      <c r="PZP4" s="198"/>
      <c r="PZQ4" s="198"/>
      <c r="PZR4" s="198"/>
      <c r="PZS4" s="198"/>
      <c r="PZT4" s="198"/>
      <c r="PZU4" s="198"/>
      <c r="PZV4" s="198"/>
      <c r="PZW4" s="198"/>
      <c r="PZX4" s="198"/>
      <c r="PZY4" s="198"/>
      <c r="PZZ4" s="198"/>
      <c r="QAA4" s="198"/>
      <c r="QAB4" s="198"/>
      <c r="QAC4" s="198"/>
      <c r="QAD4" s="198"/>
      <c r="QAE4" s="198"/>
      <c r="QAF4" s="198"/>
      <c r="QAG4" s="198"/>
      <c r="QAH4" s="198"/>
      <c r="QAI4" s="198"/>
      <c r="QAJ4" s="198"/>
      <c r="QAK4" s="198"/>
      <c r="QAL4" s="198"/>
      <c r="QAM4" s="198"/>
      <c r="QAN4" s="198"/>
      <c r="QAO4" s="198"/>
      <c r="QAP4" s="198"/>
      <c r="QAQ4" s="198"/>
      <c r="QAR4" s="198"/>
      <c r="QAS4" s="198"/>
      <c r="QAT4" s="198"/>
      <c r="QAU4" s="198"/>
      <c r="QAV4" s="198"/>
      <c r="QAW4" s="198"/>
      <c r="QAX4" s="198"/>
      <c r="QAY4" s="198"/>
      <c r="QAZ4" s="198"/>
      <c r="QBA4" s="198"/>
      <c r="QBB4" s="198"/>
      <c r="QBC4" s="198"/>
      <c r="QBD4" s="198"/>
      <c r="QBE4" s="198"/>
      <c r="QBF4" s="198"/>
      <c r="QBG4" s="198"/>
      <c r="QBH4" s="198"/>
      <c r="QBI4" s="198"/>
      <c r="QBJ4" s="198"/>
      <c r="QBK4" s="198"/>
      <c r="QBL4" s="198"/>
      <c r="QBM4" s="198"/>
      <c r="QBN4" s="198"/>
      <c r="QBO4" s="198"/>
      <c r="QBP4" s="198"/>
      <c r="QBQ4" s="198"/>
      <c r="QBR4" s="198"/>
      <c r="QBS4" s="198"/>
      <c r="QBT4" s="198"/>
      <c r="QBU4" s="198"/>
      <c r="QBV4" s="198"/>
      <c r="QBW4" s="198"/>
      <c r="QBX4" s="198"/>
      <c r="QBY4" s="198"/>
      <c r="QBZ4" s="198"/>
      <c r="QCA4" s="198"/>
      <c r="QCB4" s="198"/>
      <c r="QCC4" s="198"/>
      <c r="QCD4" s="198"/>
      <c r="QCE4" s="198"/>
      <c r="QCF4" s="198"/>
      <c r="QCG4" s="198"/>
      <c r="QCH4" s="198"/>
      <c r="QCI4" s="198"/>
      <c r="QCJ4" s="198"/>
      <c r="QCK4" s="198"/>
      <c r="QCL4" s="198"/>
      <c r="QCM4" s="198"/>
      <c r="QCN4" s="198"/>
      <c r="QCO4" s="198"/>
      <c r="QCP4" s="198"/>
      <c r="QCQ4" s="198"/>
      <c r="QCR4" s="198"/>
      <c r="QCS4" s="198"/>
      <c r="QCT4" s="198"/>
      <c r="QCU4" s="198"/>
      <c r="QCV4" s="198"/>
      <c r="QCW4" s="198"/>
      <c r="QCX4" s="198"/>
      <c r="QCY4" s="198"/>
      <c r="QCZ4" s="198"/>
      <c r="QDA4" s="198"/>
      <c r="QDB4" s="198"/>
      <c r="QDC4" s="198"/>
      <c r="QDD4" s="198"/>
      <c r="QDE4" s="198"/>
      <c r="QDF4" s="198"/>
      <c r="QDG4" s="198"/>
      <c r="QDH4" s="198"/>
      <c r="QDI4" s="198"/>
      <c r="QDJ4" s="198"/>
      <c r="QDK4" s="198"/>
      <c r="QDL4" s="198"/>
      <c r="QDM4" s="198"/>
      <c r="QDN4" s="198"/>
      <c r="QDO4" s="198"/>
      <c r="QDP4" s="198"/>
      <c r="QDQ4" s="198"/>
      <c r="QDR4" s="198"/>
      <c r="QDS4" s="198"/>
      <c r="QDT4" s="198"/>
      <c r="QDU4" s="198"/>
      <c r="QDV4" s="198"/>
      <c r="QDW4" s="198"/>
      <c r="QDX4" s="198"/>
      <c r="QDY4" s="198"/>
      <c r="QDZ4" s="198"/>
      <c r="QEA4" s="198"/>
      <c r="QEB4" s="198"/>
      <c r="QEC4" s="198"/>
      <c r="QED4" s="198"/>
      <c r="QEE4" s="198"/>
      <c r="QEF4" s="198"/>
      <c r="QEG4" s="198"/>
      <c r="QEH4" s="198"/>
      <c r="QEI4" s="198"/>
      <c r="QEJ4" s="198"/>
      <c r="QEK4" s="198"/>
      <c r="QEL4" s="198"/>
      <c r="QEM4" s="198"/>
      <c r="QEN4" s="198"/>
      <c r="QEO4" s="198"/>
      <c r="QEP4" s="198"/>
      <c r="QEQ4" s="198"/>
      <c r="QER4" s="198"/>
      <c r="QES4" s="198"/>
      <c r="QET4" s="198"/>
      <c r="QEU4" s="198"/>
      <c r="QEV4" s="198"/>
      <c r="QEW4" s="198"/>
      <c r="QEX4" s="198"/>
      <c r="QEY4" s="198"/>
      <c r="QEZ4" s="198"/>
      <c r="QFA4" s="198"/>
      <c r="QFB4" s="198"/>
      <c r="QFC4" s="198"/>
      <c r="QFD4" s="198"/>
      <c r="QFE4" s="198"/>
      <c r="QFF4" s="198"/>
      <c r="QFG4" s="198"/>
      <c r="QFH4" s="198"/>
      <c r="QFI4" s="198"/>
      <c r="QFJ4" s="198"/>
      <c r="QFK4" s="198"/>
      <c r="QFL4" s="198"/>
      <c r="QFM4" s="198"/>
      <c r="QFN4" s="198"/>
      <c r="QFO4" s="198"/>
      <c r="QFP4" s="198"/>
      <c r="QFQ4" s="198"/>
      <c r="QFR4" s="198"/>
      <c r="QFS4" s="198"/>
      <c r="QFT4" s="198"/>
      <c r="QFU4" s="198"/>
      <c r="QFV4" s="198"/>
      <c r="QFW4" s="198"/>
      <c r="QFX4" s="198"/>
      <c r="QFY4" s="198"/>
      <c r="QFZ4" s="198"/>
      <c r="QGA4" s="198"/>
      <c r="QGB4" s="198"/>
      <c r="QGC4" s="198"/>
      <c r="QGD4" s="198"/>
      <c r="QGE4" s="198"/>
      <c r="QGF4" s="198"/>
      <c r="QGG4" s="198"/>
      <c r="QGH4" s="198"/>
      <c r="QGI4" s="198"/>
      <c r="QGJ4" s="198"/>
      <c r="QGK4" s="198"/>
      <c r="QGL4" s="198"/>
      <c r="QGM4" s="198"/>
      <c r="QGN4" s="198"/>
      <c r="QGO4" s="198"/>
      <c r="QGP4" s="198"/>
      <c r="QGQ4" s="198"/>
      <c r="QGR4" s="198"/>
      <c r="QGS4" s="198"/>
      <c r="QGT4" s="198"/>
      <c r="QGU4" s="198"/>
      <c r="QGV4" s="198"/>
      <c r="QGW4" s="198"/>
      <c r="QGX4" s="198"/>
      <c r="QGY4" s="198"/>
      <c r="QGZ4" s="198"/>
      <c r="QHA4" s="198"/>
      <c r="QHB4" s="198"/>
      <c r="QHC4" s="198"/>
      <c r="QHD4" s="198"/>
      <c r="QHE4" s="198"/>
      <c r="QHF4" s="198"/>
      <c r="QHG4" s="198"/>
      <c r="QHH4" s="198"/>
      <c r="QHI4" s="198"/>
      <c r="QHJ4" s="198"/>
      <c r="QHK4" s="198"/>
      <c r="QHL4" s="198"/>
      <c r="QHM4" s="198"/>
      <c r="QHN4" s="198"/>
      <c r="QHO4" s="198"/>
      <c r="QHP4" s="198"/>
      <c r="QHQ4" s="198"/>
      <c r="QHR4" s="198"/>
      <c r="QHS4" s="198"/>
      <c r="QHT4" s="198"/>
      <c r="QHU4" s="198"/>
      <c r="QHV4" s="198"/>
      <c r="QHW4" s="198"/>
      <c r="QHX4" s="198"/>
      <c r="QHY4" s="198"/>
      <c r="QHZ4" s="198"/>
      <c r="QIA4" s="198"/>
      <c r="QIB4" s="198"/>
      <c r="QIC4" s="198"/>
      <c r="QID4" s="198"/>
      <c r="QIE4" s="198"/>
      <c r="QIF4" s="198"/>
      <c r="QIG4" s="198"/>
      <c r="QIH4" s="198"/>
      <c r="QII4" s="198"/>
      <c r="QIJ4" s="198"/>
      <c r="QIK4" s="198"/>
      <c r="QIL4" s="198"/>
      <c r="QIM4" s="198"/>
      <c r="QIN4" s="198"/>
      <c r="QIO4" s="198"/>
      <c r="QIP4" s="198"/>
      <c r="QIQ4" s="198"/>
      <c r="QIR4" s="198"/>
      <c r="QIS4" s="198"/>
      <c r="QIT4" s="198"/>
      <c r="QIU4" s="198"/>
      <c r="QIV4" s="198"/>
      <c r="QIW4" s="198"/>
      <c r="QIX4" s="198"/>
      <c r="QIY4" s="198"/>
      <c r="QIZ4" s="198"/>
      <c r="QJA4" s="198"/>
      <c r="QJB4" s="198"/>
      <c r="QJC4" s="198"/>
      <c r="QJD4" s="198"/>
      <c r="QJE4" s="198"/>
      <c r="QJF4" s="198"/>
      <c r="QJG4" s="198"/>
      <c r="QJH4" s="198"/>
      <c r="QJI4" s="198"/>
      <c r="QJJ4" s="198"/>
      <c r="QJK4" s="198"/>
      <c r="QJL4" s="198"/>
      <c r="QJM4" s="198"/>
      <c r="QJN4" s="198"/>
      <c r="QJO4" s="198"/>
      <c r="QJP4" s="198"/>
      <c r="QJQ4" s="198"/>
      <c r="QJR4" s="198"/>
      <c r="QJS4" s="198"/>
      <c r="QJT4" s="198"/>
      <c r="QJU4" s="198"/>
      <c r="QJV4" s="198"/>
      <c r="QJW4" s="198"/>
      <c r="QJX4" s="198"/>
      <c r="QJY4" s="198"/>
      <c r="QJZ4" s="198"/>
      <c r="QKA4" s="198"/>
      <c r="QKB4" s="198"/>
      <c r="QKC4" s="198"/>
      <c r="QKD4" s="198"/>
      <c r="QKE4" s="198"/>
      <c r="QKF4" s="198"/>
      <c r="QKG4" s="198"/>
      <c r="QKH4" s="198"/>
      <c r="QKI4" s="198"/>
      <c r="QKJ4" s="198"/>
      <c r="QKK4" s="198"/>
      <c r="QKL4" s="198"/>
      <c r="QKM4" s="198"/>
      <c r="QKN4" s="198"/>
      <c r="QKO4" s="198"/>
      <c r="QKP4" s="198"/>
      <c r="QKQ4" s="198"/>
      <c r="QKR4" s="198"/>
      <c r="QKS4" s="198"/>
      <c r="QKT4" s="198"/>
      <c r="QKU4" s="198"/>
      <c r="QKV4" s="198"/>
      <c r="QKW4" s="198"/>
      <c r="QKX4" s="198"/>
      <c r="QKY4" s="198"/>
      <c r="QKZ4" s="198"/>
      <c r="QLA4" s="198"/>
      <c r="QLB4" s="198"/>
      <c r="QLC4" s="198"/>
      <c r="QLD4" s="198"/>
      <c r="QLE4" s="198"/>
      <c r="QLF4" s="198"/>
      <c r="QLG4" s="198"/>
      <c r="QLH4" s="198"/>
      <c r="QLI4" s="198"/>
      <c r="QLJ4" s="198"/>
      <c r="QLK4" s="198"/>
      <c r="QLL4" s="198"/>
      <c r="QLM4" s="198"/>
      <c r="QLN4" s="198"/>
      <c r="QLO4" s="198"/>
      <c r="QLP4" s="198"/>
      <c r="QLQ4" s="198"/>
      <c r="QLR4" s="198"/>
      <c r="QLS4" s="198"/>
      <c r="QLT4" s="198"/>
      <c r="QLU4" s="198"/>
      <c r="QLV4" s="198"/>
      <c r="QLW4" s="198"/>
      <c r="QLX4" s="198"/>
      <c r="QLY4" s="198"/>
      <c r="QLZ4" s="198"/>
      <c r="QMA4" s="198"/>
      <c r="QMB4" s="198"/>
      <c r="QMC4" s="198"/>
      <c r="QMD4" s="198"/>
      <c r="QME4" s="198"/>
      <c r="QMF4" s="198"/>
      <c r="QMG4" s="198"/>
      <c r="QMH4" s="198"/>
      <c r="QMI4" s="198"/>
      <c r="QMJ4" s="198"/>
      <c r="QMK4" s="198"/>
      <c r="QML4" s="198"/>
      <c r="QMM4" s="198"/>
      <c r="QMN4" s="198"/>
      <c r="QMO4" s="198"/>
      <c r="QMP4" s="198"/>
      <c r="QMQ4" s="198"/>
      <c r="QMR4" s="198"/>
      <c r="QMS4" s="198"/>
      <c r="QMT4" s="198"/>
      <c r="QMU4" s="198"/>
      <c r="QMV4" s="198"/>
      <c r="QMW4" s="198"/>
      <c r="QMX4" s="198"/>
      <c r="QMY4" s="198"/>
      <c r="QMZ4" s="198"/>
      <c r="QNA4" s="198"/>
      <c r="QNB4" s="198"/>
      <c r="QNC4" s="198"/>
      <c r="QND4" s="198"/>
      <c r="QNE4" s="198"/>
      <c r="QNF4" s="198"/>
      <c r="QNG4" s="198"/>
      <c r="QNH4" s="198"/>
      <c r="QNI4" s="198"/>
      <c r="QNJ4" s="198"/>
      <c r="QNK4" s="198"/>
      <c r="QNL4" s="198"/>
      <c r="QNM4" s="198"/>
      <c r="QNN4" s="198"/>
      <c r="QNO4" s="198"/>
      <c r="QNP4" s="198"/>
      <c r="QNQ4" s="198"/>
      <c r="QNR4" s="198"/>
      <c r="QNS4" s="198"/>
      <c r="QNT4" s="198"/>
      <c r="QNU4" s="198"/>
      <c r="QNV4" s="198"/>
      <c r="QNW4" s="198"/>
      <c r="QNX4" s="198"/>
      <c r="QNY4" s="198"/>
      <c r="QNZ4" s="198"/>
      <c r="QOA4" s="198"/>
      <c r="QOB4" s="198"/>
      <c r="QOC4" s="198"/>
      <c r="QOD4" s="198"/>
      <c r="QOE4" s="198"/>
      <c r="QOF4" s="198"/>
      <c r="QOG4" s="198"/>
      <c r="QOH4" s="198"/>
      <c r="QOI4" s="198"/>
      <c r="QOJ4" s="198"/>
      <c r="QOK4" s="198"/>
      <c r="QOL4" s="198"/>
      <c r="QOM4" s="198"/>
      <c r="QON4" s="198"/>
      <c r="QOO4" s="198"/>
      <c r="QOP4" s="198"/>
      <c r="QOQ4" s="198"/>
      <c r="QOR4" s="198"/>
      <c r="QOS4" s="198"/>
      <c r="QOT4" s="198"/>
      <c r="QOU4" s="198"/>
      <c r="QOV4" s="198"/>
      <c r="QOW4" s="198"/>
      <c r="QOX4" s="198"/>
      <c r="QOY4" s="198"/>
      <c r="QOZ4" s="198"/>
      <c r="QPA4" s="198"/>
      <c r="QPB4" s="198"/>
      <c r="QPC4" s="198"/>
      <c r="QPD4" s="198"/>
      <c r="QPE4" s="198"/>
      <c r="QPF4" s="198"/>
      <c r="QPG4" s="198"/>
      <c r="QPH4" s="198"/>
      <c r="QPI4" s="198"/>
      <c r="QPJ4" s="198"/>
      <c r="QPK4" s="198"/>
      <c r="QPL4" s="198"/>
      <c r="QPM4" s="198"/>
      <c r="QPN4" s="198"/>
      <c r="QPO4" s="198"/>
      <c r="QPP4" s="198"/>
      <c r="QPQ4" s="198"/>
      <c r="QPR4" s="198"/>
      <c r="QPS4" s="198"/>
      <c r="QPT4" s="198"/>
      <c r="QPU4" s="198"/>
      <c r="QPV4" s="198"/>
      <c r="QPW4" s="198"/>
      <c r="QPX4" s="198"/>
      <c r="QPY4" s="198"/>
      <c r="QPZ4" s="198"/>
      <c r="QQA4" s="198"/>
      <c r="QQB4" s="198"/>
      <c r="QQC4" s="198"/>
      <c r="QQD4" s="198"/>
      <c r="QQE4" s="198"/>
      <c r="QQF4" s="198"/>
      <c r="QQG4" s="198"/>
      <c r="QQH4" s="198"/>
      <c r="QQI4" s="198"/>
      <c r="QQJ4" s="198"/>
      <c r="QQK4" s="198"/>
      <c r="QQL4" s="198"/>
      <c r="QQM4" s="198"/>
      <c r="QQN4" s="198"/>
      <c r="QQO4" s="198"/>
      <c r="QQP4" s="198"/>
      <c r="QQQ4" s="198"/>
      <c r="QQR4" s="198"/>
      <c r="QQS4" s="198"/>
      <c r="QQT4" s="198"/>
      <c r="QQU4" s="198"/>
      <c r="QQV4" s="198"/>
      <c r="QQW4" s="198"/>
      <c r="QQX4" s="198"/>
      <c r="QQY4" s="198"/>
      <c r="QQZ4" s="198"/>
      <c r="QRA4" s="198"/>
      <c r="QRB4" s="198"/>
      <c r="QRC4" s="198"/>
      <c r="QRD4" s="198"/>
      <c r="QRE4" s="198"/>
      <c r="QRF4" s="198"/>
      <c r="QRG4" s="198"/>
      <c r="QRH4" s="198"/>
      <c r="QRI4" s="198"/>
      <c r="QRJ4" s="198"/>
      <c r="QRK4" s="198"/>
      <c r="QRL4" s="198"/>
      <c r="QRM4" s="198"/>
      <c r="QRN4" s="198"/>
      <c r="QRO4" s="198"/>
      <c r="QRP4" s="198"/>
      <c r="QRQ4" s="198"/>
      <c r="QRR4" s="198"/>
      <c r="QRS4" s="198"/>
      <c r="QRT4" s="198"/>
      <c r="QRU4" s="198"/>
      <c r="QRV4" s="198"/>
      <c r="QRW4" s="198"/>
      <c r="QRX4" s="198"/>
      <c r="QRY4" s="198"/>
      <c r="QRZ4" s="198"/>
      <c r="QSA4" s="198"/>
      <c r="QSB4" s="198"/>
      <c r="QSC4" s="198"/>
      <c r="QSD4" s="198"/>
      <c r="QSE4" s="198"/>
      <c r="QSF4" s="198"/>
      <c r="QSG4" s="198"/>
      <c r="QSH4" s="198"/>
      <c r="QSI4" s="198"/>
      <c r="QSJ4" s="198"/>
      <c r="QSK4" s="198"/>
      <c r="QSL4" s="198"/>
      <c r="QSM4" s="198"/>
      <c r="QSN4" s="198"/>
      <c r="QSO4" s="198"/>
      <c r="QSP4" s="198"/>
      <c r="QSQ4" s="198"/>
      <c r="QSR4" s="198"/>
      <c r="QSS4" s="198"/>
      <c r="QST4" s="198"/>
      <c r="QSU4" s="198"/>
      <c r="QSV4" s="198"/>
      <c r="QSW4" s="198"/>
      <c r="QSX4" s="198"/>
      <c r="QSY4" s="198"/>
      <c r="QSZ4" s="198"/>
      <c r="QTA4" s="198"/>
      <c r="QTB4" s="198"/>
      <c r="QTC4" s="198"/>
      <c r="QTD4" s="198"/>
      <c r="QTE4" s="198"/>
      <c r="QTF4" s="198"/>
      <c r="QTG4" s="198"/>
      <c r="QTH4" s="198"/>
      <c r="QTI4" s="198"/>
      <c r="QTJ4" s="198"/>
      <c r="QTK4" s="198"/>
      <c r="QTL4" s="198"/>
      <c r="QTM4" s="198"/>
      <c r="QTN4" s="198"/>
      <c r="QTO4" s="198"/>
      <c r="QTP4" s="198"/>
      <c r="QTQ4" s="198"/>
      <c r="QTR4" s="198"/>
      <c r="QTS4" s="198"/>
      <c r="QTT4" s="198"/>
      <c r="QTU4" s="198"/>
      <c r="QTV4" s="198"/>
      <c r="QTW4" s="198"/>
      <c r="QTX4" s="198"/>
      <c r="QTY4" s="198"/>
      <c r="QTZ4" s="198"/>
      <c r="QUA4" s="198"/>
      <c r="QUB4" s="198"/>
      <c r="QUC4" s="198"/>
      <c r="QUD4" s="198"/>
      <c r="QUE4" s="198"/>
      <c r="QUF4" s="198"/>
      <c r="QUG4" s="198"/>
      <c r="QUH4" s="198"/>
      <c r="QUI4" s="198"/>
      <c r="QUJ4" s="198"/>
      <c r="QUK4" s="198"/>
      <c r="QUL4" s="198"/>
      <c r="QUM4" s="198"/>
      <c r="QUN4" s="198"/>
      <c r="QUO4" s="198"/>
      <c r="QUP4" s="198"/>
      <c r="QUQ4" s="198"/>
      <c r="QUR4" s="198"/>
      <c r="QUS4" s="198"/>
      <c r="QUT4" s="198"/>
      <c r="QUU4" s="198"/>
      <c r="QUV4" s="198"/>
      <c r="QUW4" s="198"/>
      <c r="QUX4" s="198"/>
      <c r="QUY4" s="198"/>
      <c r="QUZ4" s="198"/>
      <c r="QVA4" s="198"/>
      <c r="QVB4" s="198"/>
      <c r="QVC4" s="198"/>
      <c r="QVD4" s="198"/>
      <c r="QVE4" s="198"/>
      <c r="QVF4" s="198"/>
      <c r="QVG4" s="198"/>
      <c r="QVH4" s="198"/>
      <c r="QVI4" s="198"/>
      <c r="QVJ4" s="198"/>
      <c r="QVK4" s="198"/>
      <c r="QVL4" s="198"/>
      <c r="QVM4" s="198"/>
      <c r="QVN4" s="198"/>
      <c r="QVO4" s="198"/>
      <c r="QVP4" s="198"/>
      <c r="QVQ4" s="198"/>
      <c r="QVR4" s="198"/>
      <c r="QVS4" s="198"/>
      <c r="QVT4" s="198"/>
      <c r="QVU4" s="198"/>
      <c r="QVV4" s="198"/>
      <c r="QVW4" s="198"/>
      <c r="QVX4" s="198"/>
      <c r="QVY4" s="198"/>
      <c r="QVZ4" s="198"/>
      <c r="QWA4" s="198"/>
      <c r="QWB4" s="198"/>
      <c r="QWC4" s="198"/>
      <c r="QWD4" s="198"/>
      <c r="QWE4" s="198"/>
      <c r="QWF4" s="198"/>
      <c r="QWG4" s="198"/>
      <c r="QWH4" s="198"/>
      <c r="QWI4" s="198"/>
      <c r="QWJ4" s="198"/>
      <c r="QWK4" s="198"/>
      <c r="QWL4" s="198"/>
      <c r="QWM4" s="198"/>
      <c r="QWN4" s="198"/>
      <c r="QWO4" s="198"/>
      <c r="QWP4" s="198"/>
      <c r="QWQ4" s="198"/>
      <c r="QWR4" s="198"/>
      <c r="QWS4" s="198"/>
      <c r="QWT4" s="198"/>
      <c r="QWU4" s="198"/>
      <c r="QWV4" s="198"/>
      <c r="QWW4" s="198"/>
      <c r="QWX4" s="198"/>
      <c r="QWY4" s="198"/>
      <c r="QWZ4" s="198"/>
      <c r="QXA4" s="198"/>
      <c r="QXB4" s="198"/>
      <c r="QXC4" s="198"/>
      <c r="QXD4" s="198"/>
      <c r="QXE4" s="198"/>
      <c r="QXF4" s="198"/>
      <c r="QXG4" s="198"/>
      <c r="QXH4" s="198"/>
      <c r="QXI4" s="198"/>
      <c r="QXJ4" s="198"/>
      <c r="QXK4" s="198"/>
      <c r="QXL4" s="198"/>
      <c r="QXM4" s="198"/>
      <c r="QXN4" s="198"/>
      <c r="QXO4" s="198"/>
      <c r="QXP4" s="198"/>
      <c r="QXQ4" s="198"/>
      <c r="QXR4" s="198"/>
      <c r="QXS4" s="198"/>
      <c r="QXT4" s="198"/>
      <c r="QXU4" s="198"/>
      <c r="QXV4" s="198"/>
      <c r="QXW4" s="198"/>
      <c r="QXX4" s="198"/>
      <c r="QXY4" s="198"/>
      <c r="QXZ4" s="198"/>
      <c r="QYA4" s="198"/>
      <c r="QYB4" s="198"/>
      <c r="QYC4" s="198"/>
      <c r="QYD4" s="198"/>
      <c r="QYE4" s="198"/>
      <c r="QYF4" s="198"/>
      <c r="QYG4" s="198"/>
      <c r="QYH4" s="198"/>
      <c r="QYI4" s="198"/>
      <c r="QYJ4" s="198"/>
      <c r="QYK4" s="198"/>
      <c r="QYL4" s="198"/>
      <c r="QYM4" s="198"/>
      <c r="QYN4" s="198"/>
      <c r="QYO4" s="198"/>
      <c r="QYP4" s="198"/>
      <c r="QYQ4" s="198"/>
      <c r="QYR4" s="198"/>
      <c r="QYS4" s="198"/>
      <c r="QYT4" s="198"/>
      <c r="QYU4" s="198"/>
      <c r="QYV4" s="198"/>
      <c r="QYW4" s="198"/>
      <c r="QYX4" s="198"/>
      <c r="QYY4" s="198"/>
      <c r="QYZ4" s="198"/>
      <c r="QZA4" s="198"/>
      <c r="QZB4" s="198"/>
      <c r="QZC4" s="198"/>
      <c r="QZD4" s="198"/>
      <c r="QZE4" s="198"/>
      <c r="QZF4" s="198"/>
      <c r="QZG4" s="198"/>
      <c r="QZH4" s="198"/>
      <c r="QZI4" s="198"/>
      <c r="QZJ4" s="198"/>
      <c r="QZK4" s="198"/>
      <c r="QZL4" s="198"/>
      <c r="QZM4" s="198"/>
      <c r="QZN4" s="198"/>
      <c r="QZO4" s="198"/>
      <c r="QZP4" s="198"/>
      <c r="QZQ4" s="198"/>
      <c r="QZR4" s="198"/>
      <c r="QZS4" s="198"/>
      <c r="QZT4" s="198"/>
      <c r="QZU4" s="198"/>
      <c r="QZV4" s="198"/>
      <c r="QZW4" s="198"/>
      <c r="QZX4" s="198"/>
      <c r="QZY4" s="198"/>
      <c r="QZZ4" s="198"/>
      <c r="RAA4" s="198"/>
      <c r="RAB4" s="198"/>
      <c r="RAC4" s="198"/>
      <c r="RAD4" s="198"/>
      <c r="RAE4" s="198"/>
      <c r="RAF4" s="198"/>
      <c r="RAG4" s="198"/>
      <c r="RAH4" s="198"/>
      <c r="RAI4" s="198"/>
      <c r="RAJ4" s="198"/>
      <c r="RAK4" s="198"/>
      <c r="RAL4" s="198"/>
      <c r="RAM4" s="198"/>
      <c r="RAN4" s="198"/>
      <c r="RAO4" s="198"/>
      <c r="RAP4" s="198"/>
      <c r="RAQ4" s="198"/>
      <c r="RAR4" s="198"/>
      <c r="RAS4" s="198"/>
      <c r="RAT4" s="198"/>
      <c r="RAU4" s="198"/>
      <c r="RAV4" s="198"/>
      <c r="RAW4" s="198"/>
      <c r="RAX4" s="198"/>
      <c r="RAY4" s="198"/>
      <c r="RAZ4" s="198"/>
      <c r="RBA4" s="198"/>
      <c r="RBB4" s="198"/>
      <c r="RBC4" s="198"/>
      <c r="RBD4" s="198"/>
      <c r="RBE4" s="198"/>
      <c r="RBF4" s="198"/>
      <c r="RBG4" s="198"/>
      <c r="RBH4" s="198"/>
      <c r="RBI4" s="198"/>
      <c r="RBJ4" s="198"/>
      <c r="RBK4" s="198"/>
      <c r="RBL4" s="198"/>
      <c r="RBM4" s="198"/>
      <c r="RBN4" s="198"/>
      <c r="RBO4" s="198"/>
      <c r="RBP4" s="198"/>
      <c r="RBQ4" s="198"/>
      <c r="RBR4" s="198"/>
      <c r="RBS4" s="198"/>
      <c r="RBT4" s="198"/>
      <c r="RBU4" s="198"/>
      <c r="RBV4" s="198"/>
      <c r="RBW4" s="198"/>
      <c r="RBX4" s="198"/>
      <c r="RBY4" s="198"/>
      <c r="RBZ4" s="198"/>
      <c r="RCA4" s="198"/>
      <c r="RCB4" s="198"/>
      <c r="RCC4" s="198"/>
      <c r="RCD4" s="198"/>
      <c r="RCE4" s="198"/>
      <c r="RCF4" s="198"/>
      <c r="RCG4" s="198"/>
      <c r="RCH4" s="198"/>
      <c r="RCI4" s="198"/>
      <c r="RCJ4" s="198"/>
      <c r="RCK4" s="198"/>
      <c r="RCL4" s="198"/>
      <c r="RCM4" s="198"/>
      <c r="RCN4" s="198"/>
      <c r="RCO4" s="198"/>
      <c r="RCP4" s="198"/>
      <c r="RCQ4" s="198"/>
      <c r="RCR4" s="198"/>
      <c r="RCS4" s="198"/>
      <c r="RCT4" s="198"/>
      <c r="RCU4" s="198"/>
      <c r="RCV4" s="198"/>
      <c r="RCW4" s="198"/>
      <c r="RCX4" s="198"/>
      <c r="RCY4" s="198"/>
      <c r="RCZ4" s="198"/>
      <c r="RDA4" s="198"/>
      <c r="RDB4" s="198"/>
      <c r="RDC4" s="198"/>
      <c r="RDD4" s="198"/>
      <c r="RDE4" s="198"/>
      <c r="RDF4" s="198"/>
      <c r="RDG4" s="198"/>
      <c r="RDH4" s="198"/>
      <c r="RDI4" s="198"/>
      <c r="RDJ4" s="198"/>
      <c r="RDK4" s="198"/>
      <c r="RDL4" s="198"/>
      <c r="RDM4" s="198"/>
      <c r="RDN4" s="198"/>
      <c r="RDO4" s="198"/>
      <c r="RDP4" s="198"/>
      <c r="RDQ4" s="198"/>
      <c r="RDR4" s="198"/>
      <c r="RDS4" s="198"/>
      <c r="RDT4" s="198"/>
      <c r="RDU4" s="198"/>
      <c r="RDV4" s="198"/>
      <c r="RDW4" s="198"/>
      <c r="RDX4" s="198"/>
      <c r="RDY4" s="198"/>
      <c r="RDZ4" s="198"/>
      <c r="REA4" s="198"/>
      <c r="REB4" s="198"/>
      <c r="REC4" s="198"/>
      <c r="RED4" s="198"/>
      <c r="REE4" s="198"/>
      <c r="REF4" s="198"/>
      <c r="REG4" s="198"/>
      <c r="REH4" s="198"/>
      <c r="REI4" s="198"/>
      <c r="REJ4" s="198"/>
      <c r="REK4" s="198"/>
      <c r="REL4" s="198"/>
      <c r="REM4" s="198"/>
      <c r="REN4" s="198"/>
      <c r="REO4" s="198"/>
      <c r="REP4" s="198"/>
      <c r="REQ4" s="198"/>
      <c r="RER4" s="198"/>
      <c r="RES4" s="198"/>
      <c r="RET4" s="198"/>
      <c r="REU4" s="198"/>
      <c r="REV4" s="198"/>
      <c r="REW4" s="198"/>
      <c r="REX4" s="198"/>
      <c r="REY4" s="198"/>
      <c r="REZ4" s="198"/>
      <c r="RFA4" s="198"/>
      <c r="RFB4" s="198"/>
      <c r="RFC4" s="198"/>
      <c r="RFD4" s="198"/>
      <c r="RFE4" s="198"/>
      <c r="RFF4" s="198"/>
      <c r="RFG4" s="198"/>
      <c r="RFH4" s="198"/>
      <c r="RFI4" s="198"/>
      <c r="RFJ4" s="198"/>
      <c r="RFK4" s="198"/>
      <c r="RFL4" s="198"/>
      <c r="RFM4" s="198"/>
      <c r="RFN4" s="198"/>
      <c r="RFO4" s="198"/>
      <c r="RFP4" s="198"/>
      <c r="RFQ4" s="198"/>
      <c r="RFR4" s="198"/>
      <c r="RFS4" s="198"/>
      <c r="RFT4" s="198"/>
      <c r="RFU4" s="198"/>
      <c r="RFV4" s="198"/>
      <c r="RFW4" s="198"/>
      <c r="RFX4" s="198"/>
      <c r="RFY4" s="198"/>
      <c r="RFZ4" s="198"/>
      <c r="RGA4" s="198"/>
      <c r="RGB4" s="198"/>
      <c r="RGC4" s="198"/>
      <c r="RGD4" s="198"/>
      <c r="RGE4" s="198"/>
      <c r="RGF4" s="198"/>
      <c r="RGG4" s="198"/>
      <c r="RGH4" s="198"/>
      <c r="RGI4" s="198"/>
      <c r="RGJ4" s="198"/>
      <c r="RGK4" s="198"/>
      <c r="RGL4" s="198"/>
      <c r="RGM4" s="198"/>
      <c r="RGN4" s="198"/>
      <c r="RGO4" s="198"/>
      <c r="RGP4" s="198"/>
      <c r="RGQ4" s="198"/>
      <c r="RGR4" s="198"/>
      <c r="RGS4" s="198"/>
      <c r="RGT4" s="198"/>
      <c r="RGU4" s="198"/>
      <c r="RGV4" s="198"/>
      <c r="RGW4" s="198"/>
      <c r="RGX4" s="198"/>
      <c r="RGY4" s="198"/>
      <c r="RGZ4" s="198"/>
      <c r="RHA4" s="198"/>
      <c r="RHB4" s="198"/>
      <c r="RHC4" s="198"/>
      <c r="RHD4" s="198"/>
      <c r="RHE4" s="198"/>
      <c r="RHF4" s="198"/>
      <c r="RHG4" s="198"/>
      <c r="RHH4" s="198"/>
      <c r="RHI4" s="198"/>
      <c r="RHJ4" s="198"/>
      <c r="RHK4" s="198"/>
      <c r="RHL4" s="198"/>
      <c r="RHM4" s="198"/>
      <c r="RHN4" s="198"/>
      <c r="RHO4" s="198"/>
      <c r="RHP4" s="198"/>
      <c r="RHQ4" s="198"/>
      <c r="RHR4" s="198"/>
      <c r="RHS4" s="198"/>
      <c r="RHT4" s="198"/>
      <c r="RHU4" s="198"/>
      <c r="RHV4" s="198"/>
      <c r="RHW4" s="198"/>
      <c r="RHX4" s="198"/>
      <c r="RHY4" s="198"/>
      <c r="RHZ4" s="198"/>
      <c r="RIA4" s="198"/>
      <c r="RIB4" s="198"/>
      <c r="RIC4" s="198"/>
      <c r="RID4" s="198"/>
      <c r="RIE4" s="198"/>
      <c r="RIF4" s="198"/>
      <c r="RIG4" s="198"/>
      <c r="RIH4" s="198"/>
      <c r="RII4" s="198"/>
      <c r="RIJ4" s="198"/>
      <c r="RIK4" s="198"/>
      <c r="RIL4" s="198"/>
      <c r="RIM4" s="198"/>
      <c r="RIN4" s="198"/>
      <c r="RIO4" s="198"/>
      <c r="RIP4" s="198"/>
      <c r="RIQ4" s="198"/>
      <c r="RIR4" s="198"/>
      <c r="RIS4" s="198"/>
      <c r="RIT4" s="198"/>
      <c r="RIU4" s="198"/>
      <c r="RIV4" s="198"/>
      <c r="RIW4" s="198"/>
      <c r="RIX4" s="198"/>
      <c r="RIY4" s="198"/>
      <c r="RIZ4" s="198"/>
      <c r="RJA4" s="198"/>
      <c r="RJB4" s="198"/>
      <c r="RJC4" s="198"/>
      <c r="RJD4" s="198"/>
      <c r="RJE4" s="198"/>
      <c r="RJF4" s="198"/>
      <c r="RJG4" s="198"/>
      <c r="RJH4" s="198"/>
      <c r="RJI4" s="198"/>
      <c r="RJJ4" s="198"/>
      <c r="RJK4" s="198"/>
      <c r="RJL4" s="198"/>
      <c r="RJM4" s="198"/>
      <c r="RJN4" s="198"/>
      <c r="RJO4" s="198"/>
      <c r="RJP4" s="198"/>
      <c r="RJQ4" s="198"/>
      <c r="RJR4" s="198"/>
      <c r="RJS4" s="198"/>
      <c r="RJT4" s="198"/>
      <c r="RJU4" s="198"/>
      <c r="RJV4" s="198"/>
      <c r="RJW4" s="198"/>
      <c r="RJX4" s="198"/>
      <c r="RJY4" s="198"/>
      <c r="RJZ4" s="198"/>
      <c r="RKA4" s="198"/>
      <c r="RKB4" s="198"/>
      <c r="RKC4" s="198"/>
      <c r="RKD4" s="198"/>
      <c r="RKE4" s="198"/>
      <c r="RKF4" s="198"/>
      <c r="RKG4" s="198"/>
      <c r="RKH4" s="198"/>
      <c r="RKI4" s="198"/>
      <c r="RKJ4" s="198"/>
      <c r="RKK4" s="198"/>
      <c r="RKL4" s="198"/>
      <c r="RKM4" s="198"/>
      <c r="RKN4" s="198"/>
      <c r="RKO4" s="198"/>
      <c r="RKP4" s="198"/>
      <c r="RKQ4" s="198"/>
      <c r="RKR4" s="198"/>
      <c r="RKS4" s="198"/>
      <c r="RKT4" s="198"/>
      <c r="RKU4" s="198"/>
      <c r="RKV4" s="198"/>
      <c r="RKW4" s="198"/>
      <c r="RKX4" s="198"/>
      <c r="RKY4" s="198"/>
      <c r="RKZ4" s="198"/>
      <c r="RLA4" s="198"/>
      <c r="RLB4" s="198"/>
      <c r="RLC4" s="198"/>
      <c r="RLD4" s="198"/>
      <c r="RLE4" s="198"/>
      <c r="RLF4" s="198"/>
      <c r="RLG4" s="198"/>
      <c r="RLH4" s="198"/>
      <c r="RLI4" s="198"/>
      <c r="RLJ4" s="198"/>
      <c r="RLK4" s="198"/>
      <c r="RLL4" s="198"/>
      <c r="RLM4" s="198"/>
      <c r="RLN4" s="198"/>
      <c r="RLO4" s="198"/>
      <c r="RLP4" s="198"/>
      <c r="RLQ4" s="198"/>
      <c r="RLR4" s="198"/>
      <c r="RLS4" s="198"/>
      <c r="RLT4" s="198"/>
      <c r="RLU4" s="198"/>
      <c r="RLV4" s="198"/>
      <c r="RLW4" s="198"/>
      <c r="RLX4" s="198"/>
      <c r="RLY4" s="198"/>
      <c r="RLZ4" s="198"/>
      <c r="RMA4" s="198"/>
      <c r="RMB4" s="198"/>
      <c r="RMC4" s="198"/>
      <c r="RMD4" s="198"/>
      <c r="RME4" s="198"/>
      <c r="RMF4" s="198"/>
      <c r="RMG4" s="198"/>
      <c r="RMH4" s="198"/>
      <c r="RMI4" s="198"/>
      <c r="RMJ4" s="198"/>
      <c r="RMK4" s="198"/>
      <c r="RML4" s="198"/>
      <c r="RMM4" s="198"/>
      <c r="RMN4" s="198"/>
      <c r="RMO4" s="198"/>
      <c r="RMP4" s="198"/>
      <c r="RMQ4" s="198"/>
      <c r="RMR4" s="198"/>
      <c r="RMS4" s="198"/>
      <c r="RMT4" s="198"/>
      <c r="RMU4" s="198"/>
      <c r="RMV4" s="198"/>
      <c r="RMW4" s="198"/>
      <c r="RMX4" s="198"/>
      <c r="RMY4" s="198"/>
      <c r="RMZ4" s="198"/>
      <c r="RNA4" s="198"/>
      <c r="RNB4" s="198"/>
      <c r="RNC4" s="198"/>
      <c r="RND4" s="198"/>
      <c r="RNE4" s="198"/>
      <c r="RNF4" s="198"/>
      <c r="RNG4" s="198"/>
      <c r="RNH4" s="198"/>
      <c r="RNI4" s="198"/>
      <c r="RNJ4" s="198"/>
      <c r="RNK4" s="198"/>
      <c r="RNL4" s="198"/>
      <c r="RNM4" s="198"/>
      <c r="RNN4" s="198"/>
      <c r="RNO4" s="198"/>
      <c r="RNP4" s="198"/>
      <c r="RNQ4" s="198"/>
      <c r="RNR4" s="198"/>
      <c r="RNS4" s="198"/>
      <c r="RNT4" s="198"/>
      <c r="RNU4" s="198"/>
      <c r="RNV4" s="198"/>
      <c r="RNW4" s="198"/>
      <c r="RNX4" s="198"/>
      <c r="RNY4" s="198"/>
      <c r="RNZ4" s="198"/>
      <c r="ROA4" s="198"/>
      <c r="ROB4" s="198"/>
      <c r="ROC4" s="198"/>
      <c r="ROD4" s="198"/>
      <c r="ROE4" s="198"/>
      <c r="ROF4" s="198"/>
      <c r="ROG4" s="198"/>
      <c r="ROH4" s="198"/>
      <c r="ROI4" s="198"/>
      <c r="ROJ4" s="198"/>
      <c r="ROK4" s="198"/>
      <c r="ROL4" s="198"/>
      <c r="ROM4" s="198"/>
      <c r="RON4" s="198"/>
      <c r="ROO4" s="198"/>
      <c r="ROP4" s="198"/>
      <c r="ROQ4" s="198"/>
      <c r="ROR4" s="198"/>
      <c r="ROS4" s="198"/>
      <c r="ROT4" s="198"/>
      <c r="ROU4" s="198"/>
      <c r="ROV4" s="198"/>
      <c r="ROW4" s="198"/>
      <c r="ROX4" s="198"/>
      <c r="ROY4" s="198"/>
      <c r="ROZ4" s="198"/>
      <c r="RPA4" s="198"/>
      <c r="RPB4" s="198"/>
      <c r="RPC4" s="198"/>
      <c r="RPD4" s="198"/>
      <c r="RPE4" s="198"/>
      <c r="RPF4" s="198"/>
      <c r="RPG4" s="198"/>
      <c r="RPH4" s="198"/>
      <c r="RPI4" s="198"/>
      <c r="RPJ4" s="198"/>
      <c r="RPK4" s="198"/>
      <c r="RPL4" s="198"/>
      <c r="RPM4" s="198"/>
      <c r="RPN4" s="198"/>
      <c r="RPO4" s="198"/>
      <c r="RPP4" s="198"/>
      <c r="RPQ4" s="198"/>
      <c r="RPR4" s="198"/>
      <c r="RPS4" s="198"/>
      <c r="RPT4" s="198"/>
      <c r="RPU4" s="198"/>
      <c r="RPV4" s="198"/>
      <c r="RPW4" s="198"/>
      <c r="RPX4" s="198"/>
      <c r="RPY4" s="198"/>
      <c r="RPZ4" s="198"/>
      <c r="RQA4" s="198"/>
      <c r="RQB4" s="198"/>
      <c r="RQC4" s="198"/>
      <c r="RQD4" s="198"/>
      <c r="RQE4" s="198"/>
      <c r="RQF4" s="198"/>
      <c r="RQG4" s="198"/>
      <c r="RQH4" s="198"/>
      <c r="RQI4" s="198"/>
      <c r="RQJ4" s="198"/>
      <c r="RQK4" s="198"/>
      <c r="RQL4" s="198"/>
      <c r="RQM4" s="198"/>
      <c r="RQN4" s="198"/>
      <c r="RQO4" s="198"/>
      <c r="RQP4" s="198"/>
      <c r="RQQ4" s="198"/>
      <c r="RQR4" s="198"/>
      <c r="RQS4" s="198"/>
      <c r="RQT4" s="198"/>
      <c r="RQU4" s="198"/>
      <c r="RQV4" s="198"/>
      <c r="RQW4" s="198"/>
      <c r="RQX4" s="198"/>
      <c r="RQY4" s="198"/>
      <c r="RQZ4" s="198"/>
      <c r="RRA4" s="198"/>
      <c r="RRB4" s="198"/>
      <c r="RRC4" s="198"/>
      <c r="RRD4" s="198"/>
      <c r="RRE4" s="198"/>
      <c r="RRF4" s="198"/>
      <c r="RRG4" s="198"/>
      <c r="RRH4" s="198"/>
      <c r="RRI4" s="198"/>
      <c r="RRJ4" s="198"/>
      <c r="RRK4" s="198"/>
      <c r="RRL4" s="198"/>
      <c r="RRM4" s="198"/>
      <c r="RRN4" s="198"/>
      <c r="RRO4" s="198"/>
      <c r="RRP4" s="198"/>
      <c r="RRQ4" s="198"/>
      <c r="RRR4" s="198"/>
      <c r="RRS4" s="198"/>
      <c r="RRT4" s="198"/>
      <c r="RRU4" s="198"/>
      <c r="RRV4" s="198"/>
      <c r="RRW4" s="198"/>
      <c r="RRX4" s="198"/>
      <c r="RRY4" s="198"/>
      <c r="RRZ4" s="198"/>
      <c r="RSA4" s="198"/>
      <c r="RSB4" s="198"/>
      <c r="RSC4" s="198"/>
      <c r="RSD4" s="198"/>
      <c r="RSE4" s="198"/>
      <c r="RSF4" s="198"/>
      <c r="RSG4" s="198"/>
      <c r="RSH4" s="198"/>
      <c r="RSI4" s="198"/>
      <c r="RSJ4" s="198"/>
      <c r="RSK4" s="198"/>
      <c r="RSL4" s="198"/>
      <c r="RSM4" s="198"/>
      <c r="RSN4" s="198"/>
      <c r="RSO4" s="198"/>
      <c r="RSP4" s="198"/>
      <c r="RSQ4" s="198"/>
      <c r="RSR4" s="198"/>
      <c r="RSS4" s="198"/>
      <c r="RST4" s="198"/>
      <c r="RSU4" s="198"/>
      <c r="RSV4" s="198"/>
      <c r="RSW4" s="198"/>
      <c r="RSX4" s="198"/>
      <c r="RSY4" s="198"/>
      <c r="RSZ4" s="198"/>
      <c r="RTA4" s="198"/>
      <c r="RTB4" s="198"/>
      <c r="RTC4" s="198"/>
      <c r="RTD4" s="198"/>
      <c r="RTE4" s="198"/>
      <c r="RTF4" s="198"/>
      <c r="RTG4" s="198"/>
      <c r="RTH4" s="198"/>
      <c r="RTI4" s="198"/>
      <c r="RTJ4" s="198"/>
      <c r="RTK4" s="198"/>
      <c r="RTL4" s="198"/>
      <c r="RTM4" s="198"/>
      <c r="RTN4" s="198"/>
      <c r="RTO4" s="198"/>
      <c r="RTP4" s="198"/>
      <c r="RTQ4" s="198"/>
      <c r="RTR4" s="198"/>
      <c r="RTS4" s="198"/>
      <c r="RTT4" s="198"/>
      <c r="RTU4" s="198"/>
      <c r="RTV4" s="198"/>
      <c r="RTW4" s="198"/>
      <c r="RTX4" s="198"/>
      <c r="RTY4" s="198"/>
      <c r="RTZ4" s="198"/>
      <c r="RUA4" s="198"/>
      <c r="RUB4" s="198"/>
      <c r="RUC4" s="198"/>
      <c r="RUD4" s="198"/>
      <c r="RUE4" s="198"/>
      <c r="RUF4" s="198"/>
      <c r="RUG4" s="198"/>
      <c r="RUH4" s="198"/>
      <c r="RUI4" s="198"/>
      <c r="RUJ4" s="198"/>
      <c r="RUK4" s="198"/>
      <c r="RUL4" s="198"/>
      <c r="RUM4" s="198"/>
      <c r="RUN4" s="198"/>
      <c r="RUO4" s="198"/>
      <c r="RUP4" s="198"/>
      <c r="RUQ4" s="198"/>
      <c r="RUR4" s="198"/>
      <c r="RUS4" s="198"/>
      <c r="RUT4" s="198"/>
      <c r="RUU4" s="198"/>
      <c r="RUV4" s="198"/>
      <c r="RUW4" s="198"/>
      <c r="RUX4" s="198"/>
      <c r="RUY4" s="198"/>
      <c r="RUZ4" s="198"/>
      <c r="RVA4" s="198"/>
      <c r="RVB4" s="198"/>
      <c r="RVC4" s="198"/>
      <c r="RVD4" s="198"/>
      <c r="RVE4" s="198"/>
      <c r="RVF4" s="198"/>
      <c r="RVG4" s="198"/>
      <c r="RVH4" s="198"/>
      <c r="RVI4" s="198"/>
      <c r="RVJ4" s="198"/>
      <c r="RVK4" s="198"/>
      <c r="RVL4" s="198"/>
      <c r="RVM4" s="198"/>
      <c r="RVN4" s="198"/>
      <c r="RVO4" s="198"/>
      <c r="RVP4" s="198"/>
      <c r="RVQ4" s="198"/>
      <c r="RVR4" s="198"/>
      <c r="RVS4" s="198"/>
      <c r="RVT4" s="198"/>
      <c r="RVU4" s="198"/>
      <c r="RVV4" s="198"/>
      <c r="RVW4" s="198"/>
      <c r="RVX4" s="198"/>
      <c r="RVY4" s="198"/>
      <c r="RVZ4" s="198"/>
      <c r="RWA4" s="198"/>
      <c r="RWB4" s="198"/>
      <c r="RWC4" s="198"/>
      <c r="RWD4" s="198"/>
      <c r="RWE4" s="198"/>
      <c r="RWF4" s="198"/>
      <c r="RWG4" s="198"/>
      <c r="RWH4" s="198"/>
      <c r="RWI4" s="198"/>
      <c r="RWJ4" s="198"/>
      <c r="RWK4" s="198"/>
      <c r="RWL4" s="198"/>
      <c r="RWM4" s="198"/>
      <c r="RWN4" s="198"/>
      <c r="RWO4" s="198"/>
      <c r="RWP4" s="198"/>
      <c r="RWQ4" s="198"/>
      <c r="RWR4" s="198"/>
      <c r="RWS4" s="198"/>
      <c r="RWT4" s="198"/>
      <c r="RWU4" s="198"/>
      <c r="RWV4" s="198"/>
      <c r="RWW4" s="198"/>
      <c r="RWX4" s="198"/>
      <c r="RWY4" s="198"/>
      <c r="RWZ4" s="198"/>
      <c r="RXA4" s="198"/>
      <c r="RXB4" s="198"/>
      <c r="RXC4" s="198"/>
      <c r="RXD4" s="198"/>
      <c r="RXE4" s="198"/>
      <c r="RXF4" s="198"/>
      <c r="RXG4" s="198"/>
      <c r="RXH4" s="198"/>
      <c r="RXI4" s="198"/>
      <c r="RXJ4" s="198"/>
      <c r="RXK4" s="198"/>
      <c r="RXL4" s="198"/>
      <c r="RXM4" s="198"/>
      <c r="RXN4" s="198"/>
      <c r="RXO4" s="198"/>
      <c r="RXP4" s="198"/>
      <c r="RXQ4" s="198"/>
      <c r="RXR4" s="198"/>
      <c r="RXS4" s="198"/>
      <c r="RXT4" s="198"/>
      <c r="RXU4" s="198"/>
      <c r="RXV4" s="198"/>
      <c r="RXW4" s="198"/>
      <c r="RXX4" s="198"/>
      <c r="RXY4" s="198"/>
      <c r="RXZ4" s="198"/>
      <c r="RYA4" s="198"/>
      <c r="RYB4" s="198"/>
      <c r="RYC4" s="198"/>
      <c r="RYD4" s="198"/>
      <c r="RYE4" s="198"/>
      <c r="RYF4" s="198"/>
      <c r="RYG4" s="198"/>
      <c r="RYH4" s="198"/>
      <c r="RYI4" s="198"/>
      <c r="RYJ4" s="198"/>
      <c r="RYK4" s="198"/>
      <c r="RYL4" s="198"/>
      <c r="RYM4" s="198"/>
      <c r="RYN4" s="198"/>
      <c r="RYO4" s="198"/>
      <c r="RYP4" s="198"/>
      <c r="RYQ4" s="198"/>
      <c r="RYR4" s="198"/>
      <c r="RYS4" s="198"/>
      <c r="RYT4" s="198"/>
      <c r="RYU4" s="198"/>
      <c r="RYV4" s="198"/>
      <c r="RYW4" s="198"/>
      <c r="RYX4" s="198"/>
      <c r="RYY4" s="198"/>
      <c r="RYZ4" s="198"/>
      <c r="RZA4" s="198"/>
      <c r="RZB4" s="198"/>
      <c r="RZC4" s="198"/>
      <c r="RZD4" s="198"/>
      <c r="RZE4" s="198"/>
      <c r="RZF4" s="198"/>
      <c r="RZG4" s="198"/>
      <c r="RZH4" s="198"/>
      <c r="RZI4" s="198"/>
      <c r="RZJ4" s="198"/>
      <c r="RZK4" s="198"/>
      <c r="RZL4" s="198"/>
      <c r="RZM4" s="198"/>
      <c r="RZN4" s="198"/>
      <c r="RZO4" s="198"/>
      <c r="RZP4" s="198"/>
      <c r="RZQ4" s="198"/>
      <c r="RZR4" s="198"/>
      <c r="RZS4" s="198"/>
      <c r="RZT4" s="198"/>
      <c r="RZU4" s="198"/>
      <c r="RZV4" s="198"/>
      <c r="RZW4" s="198"/>
      <c r="RZX4" s="198"/>
      <c r="RZY4" s="198"/>
      <c r="RZZ4" s="198"/>
      <c r="SAA4" s="198"/>
      <c r="SAB4" s="198"/>
      <c r="SAC4" s="198"/>
      <c r="SAD4" s="198"/>
      <c r="SAE4" s="198"/>
      <c r="SAF4" s="198"/>
      <c r="SAG4" s="198"/>
      <c r="SAH4" s="198"/>
      <c r="SAI4" s="198"/>
      <c r="SAJ4" s="198"/>
      <c r="SAK4" s="198"/>
      <c r="SAL4" s="198"/>
      <c r="SAM4" s="198"/>
      <c r="SAN4" s="198"/>
      <c r="SAO4" s="198"/>
      <c r="SAP4" s="198"/>
      <c r="SAQ4" s="198"/>
      <c r="SAR4" s="198"/>
      <c r="SAS4" s="198"/>
      <c r="SAT4" s="198"/>
      <c r="SAU4" s="198"/>
      <c r="SAV4" s="198"/>
      <c r="SAW4" s="198"/>
      <c r="SAX4" s="198"/>
      <c r="SAY4" s="198"/>
      <c r="SAZ4" s="198"/>
      <c r="SBA4" s="198"/>
      <c r="SBB4" s="198"/>
      <c r="SBC4" s="198"/>
      <c r="SBD4" s="198"/>
      <c r="SBE4" s="198"/>
      <c r="SBF4" s="198"/>
      <c r="SBG4" s="198"/>
      <c r="SBH4" s="198"/>
      <c r="SBI4" s="198"/>
      <c r="SBJ4" s="198"/>
      <c r="SBK4" s="198"/>
      <c r="SBL4" s="198"/>
      <c r="SBM4" s="198"/>
      <c r="SBN4" s="198"/>
      <c r="SBO4" s="198"/>
      <c r="SBP4" s="198"/>
      <c r="SBQ4" s="198"/>
      <c r="SBR4" s="198"/>
      <c r="SBS4" s="198"/>
      <c r="SBT4" s="198"/>
      <c r="SBU4" s="198"/>
      <c r="SBV4" s="198"/>
      <c r="SBW4" s="198"/>
      <c r="SBX4" s="198"/>
      <c r="SBY4" s="198"/>
      <c r="SBZ4" s="198"/>
      <c r="SCA4" s="198"/>
      <c r="SCB4" s="198"/>
      <c r="SCC4" s="198"/>
      <c r="SCD4" s="198"/>
      <c r="SCE4" s="198"/>
      <c r="SCF4" s="198"/>
      <c r="SCG4" s="198"/>
      <c r="SCH4" s="198"/>
      <c r="SCI4" s="198"/>
      <c r="SCJ4" s="198"/>
      <c r="SCK4" s="198"/>
      <c r="SCL4" s="198"/>
      <c r="SCM4" s="198"/>
      <c r="SCN4" s="198"/>
      <c r="SCO4" s="198"/>
      <c r="SCP4" s="198"/>
      <c r="SCQ4" s="198"/>
      <c r="SCR4" s="198"/>
      <c r="SCS4" s="198"/>
      <c r="SCT4" s="198"/>
      <c r="SCU4" s="198"/>
      <c r="SCV4" s="198"/>
      <c r="SCW4" s="198"/>
      <c r="SCX4" s="198"/>
      <c r="SCY4" s="198"/>
      <c r="SCZ4" s="198"/>
      <c r="SDA4" s="198"/>
      <c r="SDB4" s="198"/>
      <c r="SDC4" s="198"/>
      <c r="SDD4" s="198"/>
      <c r="SDE4" s="198"/>
      <c r="SDF4" s="198"/>
      <c r="SDG4" s="198"/>
      <c r="SDH4" s="198"/>
      <c r="SDI4" s="198"/>
      <c r="SDJ4" s="198"/>
      <c r="SDK4" s="198"/>
      <c r="SDL4" s="198"/>
      <c r="SDM4" s="198"/>
      <c r="SDN4" s="198"/>
      <c r="SDO4" s="198"/>
      <c r="SDP4" s="198"/>
      <c r="SDQ4" s="198"/>
      <c r="SDR4" s="198"/>
      <c r="SDS4" s="198"/>
      <c r="SDT4" s="198"/>
      <c r="SDU4" s="198"/>
      <c r="SDV4" s="198"/>
      <c r="SDW4" s="198"/>
      <c r="SDX4" s="198"/>
      <c r="SDY4" s="198"/>
      <c r="SDZ4" s="198"/>
      <c r="SEA4" s="198"/>
      <c r="SEB4" s="198"/>
      <c r="SEC4" s="198"/>
      <c r="SED4" s="198"/>
      <c r="SEE4" s="198"/>
      <c r="SEF4" s="198"/>
      <c r="SEG4" s="198"/>
      <c r="SEH4" s="198"/>
      <c r="SEI4" s="198"/>
      <c r="SEJ4" s="198"/>
      <c r="SEK4" s="198"/>
      <c r="SEL4" s="198"/>
      <c r="SEM4" s="198"/>
      <c r="SEN4" s="198"/>
      <c r="SEO4" s="198"/>
      <c r="SEP4" s="198"/>
      <c r="SEQ4" s="198"/>
      <c r="SER4" s="198"/>
      <c r="SES4" s="198"/>
      <c r="SET4" s="198"/>
      <c r="SEU4" s="198"/>
      <c r="SEV4" s="198"/>
      <c r="SEW4" s="198"/>
      <c r="SEX4" s="198"/>
      <c r="SEY4" s="198"/>
      <c r="SEZ4" s="198"/>
      <c r="SFA4" s="198"/>
      <c r="SFB4" s="198"/>
      <c r="SFC4" s="198"/>
      <c r="SFD4" s="198"/>
      <c r="SFE4" s="198"/>
      <c r="SFF4" s="198"/>
      <c r="SFG4" s="198"/>
      <c r="SFH4" s="198"/>
      <c r="SFI4" s="198"/>
      <c r="SFJ4" s="198"/>
      <c r="SFK4" s="198"/>
      <c r="SFL4" s="198"/>
      <c r="SFM4" s="198"/>
      <c r="SFN4" s="198"/>
      <c r="SFO4" s="198"/>
      <c r="SFP4" s="198"/>
      <c r="SFQ4" s="198"/>
      <c r="SFR4" s="198"/>
      <c r="SFS4" s="198"/>
      <c r="SFT4" s="198"/>
      <c r="SFU4" s="198"/>
      <c r="SFV4" s="198"/>
      <c r="SFW4" s="198"/>
      <c r="SFX4" s="198"/>
      <c r="SFY4" s="198"/>
      <c r="SFZ4" s="198"/>
      <c r="SGA4" s="198"/>
      <c r="SGB4" s="198"/>
      <c r="SGC4" s="198"/>
      <c r="SGD4" s="198"/>
      <c r="SGE4" s="198"/>
      <c r="SGF4" s="198"/>
      <c r="SGG4" s="198"/>
      <c r="SGH4" s="198"/>
      <c r="SGI4" s="198"/>
      <c r="SGJ4" s="198"/>
      <c r="SGK4" s="198"/>
      <c r="SGL4" s="198"/>
      <c r="SGM4" s="198"/>
      <c r="SGN4" s="198"/>
      <c r="SGO4" s="198"/>
      <c r="SGP4" s="198"/>
      <c r="SGQ4" s="198"/>
      <c r="SGR4" s="198"/>
      <c r="SGS4" s="198"/>
      <c r="SGT4" s="198"/>
      <c r="SGU4" s="198"/>
      <c r="SGV4" s="198"/>
      <c r="SGW4" s="198"/>
      <c r="SGX4" s="198"/>
      <c r="SGY4" s="198"/>
      <c r="SGZ4" s="198"/>
      <c r="SHA4" s="198"/>
      <c r="SHB4" s="198"/>
      <c r="SHC4" s="198"/>
      <c r="SHD4" s="198"/>
      <c r="SHE4" s="198"/>
      <c r="SHF4" s="198"/>
      <c r="SHG4" s="198"/>
      <c r="SHH4" s="198"/>
      <c r="SHI4" s="198"/>
      <c r="SHJ4" s="198"/>
      <c r="SHK4" s="198"/>
      <c r="SHL4" s="198"/>
      <c r="SHM4" s="198"/>
      <c r="SHN4" s="198"/>
      <c r="SHO4" s="198"/>
      <c r="SHP4" s="198"/>
      <c r="SHQ4" s="198"/>
      <c r="SHR4" s="198"/>
      <c r="SHS4" s="198"/>
      <c r="SHT4" s="198"/>
      <c r="SHU4" s="198"/>
      <c r="SHV4" s="198"/>
      <c r="SHW4" s="198"/>
      <c r="SHX4" s="198"/>
      <c r="SHY4" s="198"/>
      <c r="SHZ4" s="198"/>
      <c r="SIA4" s="198"/>
      <c r="SIB4" s="198"/>
      <c r="SIC4" s="198"/>
      <c r="SID4" s="198"/>
      <c r="SIE4" s="198"/>
      <c r="SIF4" s="198"/>
      <c r="SIG4" s="198"/>
      <c r="SIH4" s="198"/>
      <c r="SII4" s="198"/>
      <c r="SIJ4" s="198"/>
      <c r="SIK4" s="198"/>
      <c r="SIL4" s="198"/>
      <c r="SIM4" s="198"/>
      <c r="SIN4" s="198"/>
      <c r="SIO4" s="198"/>
      <c r="SIP4" s="198"/>
      <c r="SIQ4" s="198"/>
      <c r="SIR4" s="198"/>
      <c r="SIS4" s="198"/>
      <c r="SIT4" s="198"/>
      <c r="SIU4" s="198"/>
      <c r="SIV4" s="198"/>
      <c r="SIW4" s="198"/>
      <c r="SIX4" s="198"/>
      <c r="SIY4" s="198"/>
      <c r="SIZ4" s="198"/>
      <c r="SJA4" s="198"/>
      <c r="SJB4" s="198"/>
      <c r="SJC4" s="198"/>
      <c r="SJD4" s="198"/>
      <c r="SJE4" s="198"/>
      <c r="SJF4" s="198"/>
      <c r="SJG4" s="198"/>
      <c r="SJH4" s="198"/>
      <c r="SJI4" s="198"/>
      <c r="SJJ4" s="198"/>
      <c r="SJK4" s="198"/>
      <c r="SJL4" s="198"/>
      <c r="SJM4" s="198"/>
      <c r="SJN4" s="198"/>
      <c r="SJO4" s="198"/>
      <c r="SJP4" s="198"/>
      <c r="SJQ4" s="198"/>
      <c r="SJR4" s="198"/>
      <c r="SJS4" s="198"/>
      <c r="SJT4" s="198"/>
      <c r="SJU4" s="198"/>
      <c r="SJV4" s="198"/>
      <c r="SJW4" s="198"/>
      <c r="SJX4" s="198"/>
      <c r="SJY4" s="198"/>
      <c r="SJZ4" s="198"/>
      <c r="SKA4" s="198"/>
      <c r="SKB4" s="198"/>
      <c r="SKC4" s="198"/>
      <c r="SKD4" s="198"/>
      <c r="SKE4" s="198"/>
      <c r="SKF4" s="198"/>
      <c r="SKG4" s="198"/>
      <c r="SKH4" s="198"/>
      <c r="SKI4" s="198"/>
      <c r="SKJ4" s="198"/>
      <c r="SKK4" s="198"/>
      <c r="SKL4" s="198"/>
      <c r="SKM4" s="198"/>
      <c r="SKN4" s="198"/>
      <c r="SKO4" s="198"/>
      <c r="SKP4" s="198"/>
      <c r="SKQ4" s="198"/>
      <c r="SKR4" s="198"/>
      <c r="SKS4" s="198"/>
      <c r="SKT4" s="198"/>
      <c r="SKU4" s="198"/>
      <c r="SKV4" s="198"/>
      <c r="SKW4" s="198"/>
      <c r="SKX4" s="198"/>
      <c r="SKY4" s="198"/>
      <c r="SKZ4" s="198"/>
      <c r="SLA4" s="198"/>
      <c r="SLB4" s="198"/>
      <c r="SLC4" s="198"/>
      <c r="SLD4" s="198"/>
      <c r="SLE4" s="198"/>
      <c r="SLF4" s="198"/>
      <c r="SLG4" s="198"/>
      <c r="SLH4" s="198"/>
      <c r="SLI4" s="198"/>
      <c r="SLJ4" s="198"/>
      <c r="SLK4" s="198"/>
      <c r="SLL4" s="198"/>
      <c r="SLM4" s="198"/>
      <c r="SLN4" s="198"/>
      <c r="SLO4" s="198"/>
      <c r="SLP4" s="198"/>
      <c r="SLQ4" s="198"/>
      <c r="SLR4" s="198"/>
      <c r="SLS4" s="198"/>
      <c r="SLT4" s="198"/>
      <c r="SLU4" s="198"/>
      <c r="SLV4" s="198"/>
      <c r="SLW4" s="198"/>
      <c r="SLX4" s="198"/>
      <c r="SLY4" s="198"/>
      <c r="SLZ4" s="198"/>
      <c r="SMA4" s="198"/>
      <c r="SMB4" s="198"/>
      <c r="SMC4" s="198"/>
      <c r="SMD4" s="198"/>
      <c r="SME4" s="198"/>
      <c r="SMF4" s="198"/>
      <c r="SMG4" s="198"/>
      <c r="SMH4" s="198"/>
      <c r="SMI4" s="198"/>
      <c r="SMJ4" s="198"/>
      <c r="SMK4" s="198"/>
      <c r="SML4" s="198"/>
      <c r="SMM4" s="198"/>
      <c r="SMN4" s="198"/>
      <c r="SMO4" s="198"/>
      <c r="SMP4" s="198"/>
      <c r="SMQ4" s="198"/>
      <c r="SMR4" s="198"/>
      <c r="SMS4" s="198"/>
      <c r="SMT4" s="198"/>
      <c r="SMU4" s="198"/>
      <c r="SMV4" s="198"/>
      <c r="SMW4" s="198"/>
      <c r="SMX4" s="198"/>
      <c r="SMY4" s="198"/>
      <c r="SMZ4" s="198"/>
      <c r="SNA4" s="198"/>
      <c r="SNB4" s="198"/>
      <c r="SNC4" s="198"/>
      <c r="SND4" s="198"/>
      <c r="SNE4" s="198"/>
      <c r="SNF4" s="198"/>
      <c r="SNG4" s="198"/>
      <c r="SNH4" s="198"/>
      <c r="SNI4" s="198"/>
      <c r="SNJ4" s="198"/>
      <c r="SNK4" s="198"/>
      <c r="SNL4" s="198"/>
      <c r="SNM4" s="198"/>
      <c r="SNN4" s="198"/>
      <c r="SNO4" s="198"/>
      <c r="SNP4" s="198"/>
      <c r="SNQ4" s="198"/>
      <c r="SNR4" s="198"/>
      <c r="SNS4" s="198"/>
      <c r="SNT4" s="198"/>
      <c r="SNU4" s="198"/>
      <c r="SNV4" s="198"/>
      <c r="SNW4" s="198"/>
      <c r="SNX4" s="198"/>
      <c r="SNY4" s="198"/>
      <c r="SNZ4" s="198"/>
      <c r="SOA4" s="198"/>
      <c r="SOB4" s="198"/>
      <c r="SOC4" s="198"/>
      <c r="SOD4" s="198"/>
      <c r="SOE4" s="198"/>
      <c r="SOF4" s="198"/>
      <c r="SOG4" s="198"/>
      <c r="SOH4" s="198"/>
      <c r="SOI4" s="198"/>
      <c r="SOJ4" s="198"/>
      <c r="SOK4" s="198"/>
      <c r="SOL4" s="198"/>
      <c r="SOM4" s="198"/>
      <c r="SON4" s="198"/>
      <c r="SOO4" s="198"/>
      <c r="SOP4" s="198"/>
      <c r="SOQ4" s="198"/>
      <c r="SOR4" s="198"/>
      <c r="SOS4" s="198"/>
      <c r="SOT4" s="198"/>
      <c r="SOU4" s="198"/>
      <c r="SOV4" s="198"/>
      <c r="SOW4" s="198"/>
      <c r="SOX4" s="198"/>
      <c r="SOY4" s="198"/>
      <c r="SOZ4" s="198"/>
      <c r="SPA4" s="198"/>
      <c r="SPB4" s="198"/>
      <c r="SPC4" s="198"/>
      <c r="SPD4" s="198"/>
      <c r="SPE4" s="198"/>
      <c r="SPF4" s="198"/>
      <c r="SPG4" s="198"/>
      <c r="SPH4" s="198"/>
      <c r="SPI4" s="198"/>
      <c r="SPJ4" s="198"/>
      <c r="SPK4" s="198"/>
      <c r="SPL4" s="198"/>
      <c r="SPM4" s="198"/>
      <c r="SPN4" s="198"/>
      <c r="SPO4" s="198"/>
      <c r="SPP4" s="198"/>
      <c r="SPQ4" s="198"/>
      <c r="SPR4" s="198"/>
      <c r="SPS4" s="198"/>
      <c r="SPT4" s="198"/>
      <c r="SPU4" s="198"/>
      <c r="SPV4" s="198"/>
      <c r="SPW4" s="198"/>
      <c r="SPX4" s="198"/>
      <c r="SPY4" s="198"/>
      <c r="SPZ4" s="198"/>
      <c r="SQA4" s="198"/>
      <c r="SQB4" s="198"/>
      <c r="SQC4" s="198"/>
      <c r="SQD4" s="198"/>
      <c r="SQE4" s="198"/>
      <c r="SQF4" s="198"/>
      <c r="SQG4" s="198"/>
      <c r="SQH4" s="198"/>
      <c r="SQI4" s="198"/>
      <c r="SQJ4" s="198"/>
      <c r="SQK4" s="198"/>
      <c r="SQL4" s="198"/>
      <c r="SQM4" s="198"/>
      <c r="SQN4" s="198"/>
      <c r="SQO4" s="198"/>
      <c r="SQP4" s="198"/>
      <c r="SQQ4" s="198"/>
      <c r="SQR4" s="198"/>
      <c r="SQS4" s="198"/>
      <c r="SQT4" s="198"/>
      <c r="SQU4" s="198"/>
      <c r="SQV4" s="198"/>
      <c r="SQW4" s="198"/>
      <c r="SQX4" s="198"/>
      <c r="SQY4" s="198"/>
      <c r="SQZ4" s="198"/>
      <c r="SRA4" s="198"/>
      <c r="SRB4" s="198"/>
      <c r="SRC4" s="198"/>
      <c r="SRD4" s="198"/>
      <c r="SRE4" s="198"/>
      <c r="SRF4" s="198"/>
      <c r="SRG4" s="198"/>
      <c r="SRH4" s="198"/>
      <c r="SRI4" s="198"/>
      <c r="SRJ4" s="198"/>
      <c r="SRK4" s="198"/>
      <c r="SRL4" s="198"/>
      <c r="SRM4" s="198"/>
      <c r="SRN4" s="198"/>
      <c r="SRO4" s="198"/>
      <c r="SRP4" s="198"/>
      <c r="SRQ4" s="198"/>
      <c r="SRR4" s="198"/>
      <c r="SRS4" s="198"/>
      <c r="SRT4" s="198"/>
      <c r="SRU4" s="198"/>
      <c r="SRV4" s="198"/>
      <c r="SRW4" s="198"/>
      <c r="SRX4" s="198"/>
      <c r="SRY4" s="198"/>
      <c r="SRZ4" s="198"/>
      <c r="SSA4" s="198"/>
      <c r="SSB4" s="198"/>
      <c r="SSC4" s="198"/>
      <c r="SSD4" s="198"/>
      <c r="SSE4" s="198"/>
      <c r="SSF4" s="198"/>
      <c r="SSG4" s="198"/>
      <c r="SSH4" s="198"/>
      <c r="SSI4" s="198"/>
      <c r="SSJ4" s="198"/>
      <c r="SSK4" s="198"/>
      <c r="SSL4" s="198"/>
      <c r="SSM4" s="198"/>
      <c r="SSN4" s="198"/>
      <c r="SSO4" s="198"/>
      <c r="SSP4" s="198"/>
      <c r="SSQ4" s="198"/>
      <c r="SSR4" s="198"/>
      <c r="SSS4" s="198"/>
      <c r="SST4" s="198"/>
      <c r="SSU4" s="198"/>
      <c r="SSV4" s="198"/>
      <c r="SSW4" s="198"/>
      <c r="SSX4" s="198"/>
      <c r="SSY4" s="198"/>
      <c r="SSZ4" s="198"/>
      <c r="STA4" s="198"/>
      <c r="STB4" s="198"/>
      <c r="STC4" s="198"/>
      <c r="STD4" s="198"/>
      <c r="STE4" s="198"/>
      <c r="STF4" s="198"/>
      <c r="STG4" s="198"/>
      <c r="STH4" s="198"/>
      <c r="STI4" s="198"/>
      <c r="STJ4" s="198"/>
      <c r="STK4" s="198"/>
      <c r="STL4" s="198"/>
      <c r="STM4" s="198"/>
      <c r="STN4" s="198"/>
      <c r="STO4" s="198"/>
      <c r="STP4" s="198"/>
      <c r="STQ4" s="198"/>
      <c r="STR4" s="198"/>
      <c r="STS4" s="198"/>
      <c r="STT4" s="198"/>
      <c r="STU4" s="198"/>
      <c r="STV4" s="198"/>
      <c r="STW4" s="198"/>
      <c r="STX4" s="198"/>
      <c r="STY4" s="198"/>
      <c r="STZ4" s="198"/>
      <c r="SUA4" s="198"/>
      <c r="SUB4" s="198"/>
      <c r="SUC4" s="198"/>
      <c r="SUD4" s="198"/>
      <c r="SUE4" s="198"/>
      <c r="SUF4" s="198"/>
      <c r="SUG4" s="198"/>
      <c r="SUH4" s="198"/>
      <c r="SUI4" s="198"/>
      <c r="SUJ4" s="198"/>
      <c r="SUK4" s="198"/>
      <c r="SUL4" s="198"/>
      <c r="SUM4" s="198"/>
      <c r="SUN4" s="198"/>
      <c r="SUO4" s="198"/>
      <c r="SUP4" s="198"/>
      <c r="SUQ4" s="198"/>
      <c r="SUR4" s="198"/>
      <c r="SUS4" s="198"/>
      <c r="SUT4" s="198"/>
      <c r="SUU4" s="198"/>
      <c r="SUV4" s="198"/>
      <c r="SUW4" s="198"/>
      <c r="SUX4" s="198"/>
      <c r="SUY4" s="198"/>
      <c r="SUZ4" s="198"/>
      <c r="SVA4" s="198"/>
      <c r="SVB4" s="198"/>
      <c r="SVC4" s="198"/>
      <c r="SVD4" s="198"/>
      <c r="SVE4" s="198"/>
      <c r="SVF4" s="198"/>
      <c r="SVG4" s="198"/>
      <c r="SVH4" s="198"/>
      <c r="SVI4" s="198"/>
      <c r="SVJ4" s="198"/>
      <c r="SVK4" s="198"/>
      <c r="SVL4" s="198"/>
      <c r="SVM4" s="198"/>
      <c r="SVN4" s="198"/>
      <c r="SVO4" s="198"/>
      <c r="SVP4" s="198"/>
      <c r="SVQ4" s="198"/>
      <c r="SVR4" s="198"/>
      <c r="SVS4" s="198"/>
      <c r="SVT4" s="198"/>
      <c r="SVU4" s="198"/>
      <c r="SVV4" s="198"/>
      <c r="SVW4" s="198"/>
      <c r="SVX4" s="198"/>
      <c r="SVY4" s="198"/>
      <c r="SVZ4" s="198"/>
      <c r="SWA4" s="198"/>
      <c r="SWB4" s="198"/>
      <c r="SWC4" s="198"/>
      <c r="SWD4" s="198"/>
      <c r="SWE4" s="198"/>
      <c r="SWF4" s="198"/>
      <c r="SWG4" s="198"/>
      <c r="SWH4" s="198"/>
      <c r="SWI4" s="198"/>
      <c r="SWJ4" s="198"/>
      <c r="SWK4" s="198"/>
      <c r="SWL4" s="198"/>
      <c r="SWM4" s="198"/>
      <c r="SWN4" s="198"/>
      <c r="SWO4" s="198"/>
      <c r="SWP4" s="198"/>
      <c r="SWQ4" s="198"/>
      <c r="SWR4" s="198"/>
      <c r="SWS4" s="198"/>
      <c r="SWT4" s="198"/>
      <c r="SWU4" s="198"/>
      <c r="SWV4" s="198"/>
      <c r="SWW4" s="198"/>
      <c r="SWX4" s="198"/>
      <c r="SWY4" s="198"/>
      <c r="SWZ4" s="198"/>
      <c r="SXA4" s="198"/>
      <c r="SXB4" s="198"/>
      <c r="SXC4" s="198"/>
      <c r="SXD4" s="198"/>
      <c r="SXE4" s="198"/>
      <c r="SXF4" s="198"/>
      <c r="SXG4" s="198"/>
      <c r="SXH4" s="198"/>
      <c r="SXI4" s="198"/>
      <c r="SXJ4" s="198"/>
      <c r="SXK4" s="198"/>
      <c r="SXL4" s="198"/>
      <c r="SXM4" s="198"/>
      <c r="SXN4" s="198"/>
      <c r="SXO4" s="198"/>
      <c r="SXP4" s="198"/>
      <c r="SXQ4" s="198"/>
      <c r="SXR4" s="198"/>
      <c r="SXS4" s="198"/>
      <c r="SXT4" s="198"/>
      <c r="SXU4" s="198"/>
      <c r="SXV4" s="198"/>
      <c r="SXW4" s="198"/>
      <c r="SXX4" s="198"/>
      <c r="SXY4" s="198"/>
      <c r="SXZ4" s="198"/>
      <c r="SYA4" s="198"/>
      <c r="SYB4" s="198"/>
      <c r="SYC4" s="198"/>
      <c r="SYD4" s="198"/>
      <c r="SYE4" s="198"/>
      <c r="SYF4" s="198"/>
      <c r="SYG4" s="198"/>
      <c r="SYH4" s="198"/>
      <c r="SYI4" s="198"/>
      <c r="SYJ4" s="198"/>
      <c r="SYK4" s="198"/>
      <c r="SYL4" s="198"/>
      <c r="SYM4" s="198"/>
      <c r="SYN4" s="198"/>
      <c r="SYO4" s="198"/>
      <c r="SYP4" s="198"/>
      <c r="SYQ4" s="198"/>
      <c r="SYR4" s="198"/>
      <c r="SYS4" s="198"/>
      <c r="SYT4" s="198"/>
      <c r="SYU4" s="198"/>
      <c r="SYV4" s="198"/>
      <c r="SYW4" s="198"/>
      <c r="SYX4" s="198"/>
      <c r="SYY4" s="198"/>
      <c r="SYZ4" s="198"/>
      <c r="SZA4" s="198"/>
      <c r="SZB4" s="198"/>
      <c r="SZC4" s="198"/>
      <c r="SZD4" s="198"/>
      <c r="SZE4" s="198"/>
      <c r="SZF4" s="198"/>
      <c r="SZG4" s="198"/>
      <c r="SZH4" s="198"/>
      <c r="SZI4" s="198"/>
      <c r="SZJ4" s="198"/>
      <c r="SZK4" s="198"/>
      <c r="SZL4" s="198"/>
      <c r="SZM4" s="198"/>
      <c r="SZN4" s="198"/>
      <c r="SZO4" s="198"/>
      <c r="SZP4" s="198"/>
      <c r="SZQ4" s="198"/>
      <c r="SZR4" s="198"/>
      <c r="SZS4" s="198"/>
      <c r="SZT4" s="198"/>
      <c r="SZU4" s="198"/>
      <c r="SZV4" s="198"/>
      <c r="SZW4" s="198"/>
      <c r="SZX4" s="198"/>
      <c r="SZY4" s="198"/>
      <c r="SZZ4" s="198"/>
      <c r="TAA4" s="198"/>
      <c r="TAB4" s="198"/>
      <c r="TAC4" s="198"/>
      <c r="TAD4" s="198"/>
      <c r="TAE4" s="198"/>
      <c r="TAF4" s="198"/>
      <c r="TAG4" s="198"/>
      <c r="TAH4" s="198"/>
      <c r="TAI4" s="198"/>
      <c r="TAJ4" s="198"/>
      <c r="TAK4" s="198"/>
      <c r="TAL4" s="198"/>
      <c r="TAM4" s="198"/>
      <c r="TAN4" s="198"/>
      <c r="TAO4" s="198"/>
      <c r="TAP4" s="198"/>
      <c r="TAQ4" s="198"/>
      <c r="TAR4" s="198"/>
      <c r="TAS4" s="198"/>
      <c r="TAT4" s="198"/>
      <c r="TAU4" s="198"/>
      <c r="TAV4" s="198"/>
      <c r="TAW4" s="198"/>
      <c r="TAX4" s="198"/>
      <c r="TAY4" s="198"/>
      <c r="TAZ4" s="198"/>
      <c r="TBA4" s="198"/>
      <c r="TBB4" s="198"/>
      <c r="TBC4" s="198"/>
      <c r="TBD4" s="198"/>
      <c r="TBE4" s="198"/>
      <c r="TBF4" s="198"/>
      <c r="TBG4" s="198"/>
      <c r="TBH4" s="198"/>
      <c r="TBI4" s="198"/>
      <c r="TBJ4" s="198"/>
      <c r="TBK4" s="198"/>
      <c r="TBL4" s="198"/>
      <c r="TBM4" s="198"/>
      <c r="TBN4" s="198"/>
      <c r="TBO4" s="198"/>
      <c r="TBP4" s="198"/>
      <c r="TBQ4" s="198"/>
      <c r="TBR4" s="198"/>
      <c r="TBS4" s="198"/>
      <c r="TBT4" s="198"/>
      <c r="TBU4" s="198"/>
      <c r="TBV4" s="198"/>
      <c r="TBW4" s="198"/>
      <c r="TBX4" s="198"/>
      <c r="TBY4" s="198"/>
      <c r="TBZ4" s="198"/>
      <c r="TCA4" s="198"/>
      <c r="TCB4" s="198"/>
      <c r="TCC4" s="198"/>
      <c r="TCD4" s="198"/>
      <c r="TCE4" s="198"/>
      <c r="TCF4" s="198"/>
      <c r="TCG4" s="198"/>
      <c r="TCH4" s="198"/>
      <c r="TCI4" s="198"/>
      <c r="TCJ4" s="198"/>
      <c r="TCK4" s="198"/>
      <c r="TCL4" s="198"/>
      <c r="TCM4" s="198"/>
      <c r="TCN4" s="198"/>
      <c r="TCO4" s="198"/>
      <c r="TCP4" s="198"/>
      <c r="TCQ4" s="198"/>
      <c r="TCR4" s="198"/>
      <c r="TCS4" s="198"/>
      <c r="TCT4" s="198"/>
      <c r="TCU4" s="198"/>
      <c r="TCV4" s="198"/>
      <c r="TCW4" s="198"/>
      <c r="TCX4" s="198"/>
      <c r="TCY4" s="198"/>
      <c r="TCZ4" s="198"/>
      <c r="TDA4" s="198"/>
      <c r="TDB4" s="198"/>
      <c r="TDC4" s="198"/>
      <c r="TDD4" s="198"/>
      <c r="TDE4" s="198"/>
      <c r="TDF4" s="198"/>
      <c r="TDG4" s="198"/>
      <c r="TDH4" s="198"/>
      <c r="TDI4" s="198"/>
      <c r="TDJ4" s="198"/>
      <c r="TDK4" s="198"/>
      <c r="TDL4" s="198"/>
      <c r="TDM4" s="198"/>
      <c r="TDN4" s="198"/>
      <c r="TDO4" s="198"/>
      <c r="TDP4" s="198"/>
      <c r="TDQ4" s="198"/>
      <c r="TDR4" s="198"/>
      <c r="TDS4" s="198"/>
      <c r="TDT4" s="198"/>
      <c r="TDU4" s="198"/>
      <c r="TDV4" s="198"/>
      <c r="TDW4" s="198"/>
      <c r="TDX4" s="198"/>
      <c r="TDY4" s="198"/>
      <c r="TDZ4" s="198"/>
      <c r="TEA4" s="198"/>
      <c r="TEB4" s="198"/>
      <c r="TEC4" s="198"/>
      <c r="TED4" s="198"/>
      <c r="TEE4" s="198"/>
      <c r="TEF4" s="198"/>
      <c r="TEG4" s="198"/>
      <c r="TEH4" s="198"/>
      <c r="TEI4" s="198"/>
      <c r="TEJ4" s="198"/>
      <c r="TEK4" s="198"/>
      <c r="TEL4" s="198"/>
      <c r="TEM4" s="198"/>
      <c r="TEN4" s="198"/>
      <c r="TEO4" s="198"/>
      <c r="TEP4" s="198"/>
      <c r="TEQ4" s="198"/>
      <c r="TER4" s="198"/>
      <c r="TES4" s="198"/>
      <c r="TET4" s="198"/>
      <c r="TEU4" s="198"/>
      <c r="TEV4" s="198"/>
      <c r="TEW4" s="198"/>
      <c r="TEX4" s="198"/>
      <c r="TEY4" s="198"/>
      <c r="TEZ4" s="198"/>
      <c r="TFA4" s="198"/>
      <c r="TFB4" s="198"/>
      <c r="TFC4" s="198"/>
      <c r="TFD4" s="198"/>
      <c r="TFE4" s="198"/>
      <c r="TFF4" s="198"/>
      <c r="TFG4" s="198"/>
      <c r="TFH4" s="198"/>
      <c r="TFI4" s="198"/>
      <c r="TFJ4" s="198"/>
      <c r="TFK4" s="198"/>
      <c r="TFL4" s="198"/>
      <c r="TFM4" s="198"/>
      <c r="TFN4" s="198"/>
      <c r="TFO4" s="198"/>
      <c r="TFP4" s="198"/>
      <c r="TFQ4" s="198"/>
      <c r="TFR4" s="198"/>
      <c r="TFS4" s="198"/>
      <c r="TFT4" s="198"/>
      <c r="TFU4" s="198"/>
      <c r="TFV4" s="198"/>
      <c r="TFW4" s="198"/>
      <c r="TFX4" s="198"/>
      <c r="TFY4" s="198"/>
      <c r="TFZ4" s="198"/>
      <c r="TGA4" s="198"/>
      <c r="TGB4" s="198"/>
      <c r="TGC4" s="198"/>
      <c r="TGD4" s="198"/>
      <c r="TGE4" s="198"/>
      <c r="TGF4" s="198"/>
      <c r="TGG4" s="198"/>
      <c r="TGH4" s="198"/>
      <c r="TGI4" s="198"/>
      <c r="TGJ4" s="198"/>
      <c r="TGK4" s="198"/>
      <c r="TGL4" s="198"/>
      <c r="TGM4" s="198"/>
      <c r="TGN4" s="198"/>
      <c r="TGO4" s="198"/>
      <c r="TGP4" s="198"/>
      <c r="TGQ4" s="198"/>
      <c r="TGR4" s="198"/>
      <c r="TGS4" s="198"/>
      <c r="TGT4" s="198"/>
      <c r="TGU4" s="198"/>
      <c r="TGV4" s="198"/>
      <c r="TGW4" s="198"/>
      <c r="TGX4" s="198"/>
      <c r="TGY4" s="198"/>
      <c r="TGZ4" s="198"/>
      <c r="THA4" s="198"/>
      <c r="THB4" s="198"/>
      <c r="THC4" s="198"/>
      <c r="THD4" s="198"/>
      <c r="THE4" s="198"/>
      <c r="THF4" s="198"/>
      <c r="THG4" s="198"/>
      <c r="THH4" s="198"/>
      <c r="THI4" s="198"/>
      <c r="THJ4" s="198"/>
      <c r="THK4" s="198"/>
      <c r="THL4" s="198"/>
      <c r="THM4" s="198"/>
      <c r="THN4" s="198"/>
      <c r="THO4" s="198"/>
      <c r="THP4" s="198"/>
      <c r="THQ4" s="198"/>
      <c r="THR4" s="198"/>
      <c r="THS4" s="198"/>
      <c r="THT4" s="198"/>
      <c r="THU4" s="198"/>
      <c r="THV4" s="198"/>
      <c r="THW4" s="198"/>
      <c r="THX4" s="198"/>
      <c r="THY4" s="198"/>
      <c r="THZ4" s="198"/>
      <c r="TIA4" s="198"/>
      <c r="TIB4" s="198"/>
      <c r="TIC4" s="198"/>
      <c r="TID4" s="198"/>
      <c r="TIE4" s="198"/>
      <c r="TIF4" s="198"/>
      <c r="TIG4" s="198"/>
      <c r="TIH4" s="198"/>
      <c r="TII4" s="198"/>
      <c r="TIJ4" s="198"/>
      <c r="TIK4" s="198"/>
      <c r="TIL4" s="198"/>
      <c r="TIM4" s="198"/>
      <c r="TIN4" s="198"/>
      <c r="TIO4" s="198"/>
      <c r="TIP4" s="198"/>
      <c r="TIQ4" s="198"/>
      <c r="TIR4" s="198"/>
      <c r="TIS4" s="198"/>
      <c r="TIT4" s="198"/>
      <c r="TIU4" s="198"/>
      <c r="TIV4" s="198"/>
      <c r="TIW4" s="198"/>
      <c r="TIX4" s="198"/>
      <c r="TIY4" s="198"/>
      <c r="TIZ4" s="198"/>
      <c r="TJA4" s="198"/>
      <c r="TJB4" s="198"/>
      <c r="TJC4" s="198"/>
      <c r="TJD4" s="198"/>
      <c r="TJE4" s="198"/>
      <c r="TJF4" s="198"/>
      <c r="TJG4" s="198"/>
      <c r="TJH4" s="198"/>
      <c r="TJI4" s="198"/>
      <c r="TJJ4" s="198"/>
      <c r="TJK4" s="198"/>
      <c r="TJL4" s="198"/>
      <c r="TJM4" s="198"/>
      <c r="TJN4" s="198"/>
      <c r="TJO4" s="198"/>
      <c r="TJP4" s="198"/>
      <c r="TJQ4" s="198"/>
      <c r="TJR4" s="198"/>
      <c r="TJS4" s="198"/>
      <c r="TJT4" s="198"/>
      <c r="TJU4" s="198"/>
      <c r="TJV4" s="198"/>
      <c r="TJW4" s="198"/>
      <c r="TJX4" s="198"/>
      <c r="TJY4" s="198"/>
      <c r="TJZ4" s="198"/>
      <c r="TKA4" s="198"/>
      <c r="TKB4" s="198"/>
      <c r="TKC4" s="198"/>
      <c r="TKD4" s="198"/>
      <c r="TKE4" s="198"/>
      <c r="TKF4" s="198"/>
      <c r="TKG4" s="198"/>
      <c r="TKH4" s="198"/>
      <c r="TKI4" s="198"/>
      <c r="TKJ4" s="198"/>
      <c r="TKK4" s="198"/>
      <c r="TKL4" s="198"/>
      <c r="TKM4" s="198"/>
      <c r="TKN4" s="198"/>
      <c r="TKO4" s="198"/>
      <c r="TKP4" s="198"/>
      <c r="TKQ4" s="198"/>
      <c r="TKR4" s="198"/>
      <c r="TKS4" s="198"/>
      <c r="TKT4" s="198"/>
      <c r="TKU4" s="198"/>
      <c r="TKV4" s="198"/>
      <c r="TKW4" s="198"/>
      <c r="TKX4" s="198"/>
      <c r="TKY4" s="198"/>
      <c r="TKZ4" s="198"/>
      <c r="TLA4" s="198"/>
      <c r="TLB4" s="198"/>
      <c r="TLC4" s="198"/>
      <c r="TLD4" s="198"/>
      <c r="TLE4" s="198"/>
      <c r="TLF4" s="198"/>
      <c r="TLG4" s="198"/>
      <c r="TLH4" s="198"/>
      <c r="TLI4" s="198"/>
      <c r="TLJ4" s="198"/>
      <c r="TLK4" s="198"/>
      <c r="TLL4" s="198"/>
      <c r="TLM4" s="198"/>
      <c r="TLN4" s="198"/>
      <c r="TLO4" s="198"/>
      <c r="TLP4" s="198"/>
      <c r="TLQ4" s="198"/>
      <c r="TLR4" s="198"/>
      <c r="TLS4" s="198"/>
      <c r="TLT4" s="198"/>
      <c r="TLU4" s="198"/>
      <c r="TLV4" s="198"/>
      <c r="TLW4" s="198"/>
      <c r="TLX4" s="198"/>
      <c r="TLY4" s="198"/>
      <c r="TLZ4" s="198"/>
      <c r="TMA4" s="198"/>
      <c r="TMB4" s="198"/>
      <c r="TMC4" s="198"/>
      <c r="TMD4" s="198"/>
      <c r="TME4" s="198"/>
      <c r="TMF4" s="198"/>
      <c r="TMG4" s="198"/>
      <c r="TMH4" s="198"/>
      <c r="TMI4" s="198"/>
      <c r="TMJ4" s="198"/>
      <c r="TMK4" s="198"/>
      <c r="TML4" s="198"/>
      <c r="TMM4" s="198"/>
      <c r="TMN4" s="198"/>
      <c r="TMO4" s="198"/>
      <c r="TMP4" s="198"/>
      <c r="TMQ4" s="198"/>
      <c r="TMR4" s="198"/>
      <c r="TMS4" s="198"/>
      <c r="TMT4" s="198"/>
      <c r="TMU4" s="198"/>
      <c r="TMV4" s="198"/>
      <c r="TMW4" s="198"/>
      <c r="TMX4" s="198"/>
      <c r="TMY4" s="198"/>
      <c r="TMZ4" s="198"/>
      <c r="TNA4" s="198"/>
      <c r="TNB4" s="198"/>
      <c r="TNC4" s="198"/>
      <c r="TND4" s="198"/>
      <c r="TNE4" s="198"/>
      <c r="TNF4" s="198"/>
      <c r="TNG4" s="198"/>
      <c r="TNH4" s="198"/>
      <c r="TNI4" s="198"/>
      <c r="TNJ4" s="198"/>
      <c r="TNK4" s="198"/>
      <c r="TNL4" s="198"/>
      <c r="TNM4" s="198"/>
      <c r="TNN4" s="198"/>
      <c r="TNO4" s="198"/>
      <c r="TNP4" s="198"/>
      <c r="TNQ4" s="198"/>
      <c r="TNR4" s="198"/>
      <c r="TNS4" s="198"/>
      <c r="TNT4" s="198"/>
      <c r="TNU4" s="198"/>
      <c r="TNV4" s="198"/>
      <c r="TNW4" s="198"/>
      <c r="TNX4" s="198"/>
      <c r="TNY4" s="198"/>
      <c r="TNZ4" s="198"/>
      <c r="TOA4" s="198"/>
      <c r="TOB4" s="198"/>
      <c r="TOC4" s="198"/>
      <c r="TOD4" s="198"/>
      <c r="TOE4" s="198"/>
      <c r="TOF4" s="198"/>
      <c r="TOG4" s="198"/>
      <c r="TOH4" s="198"/>
      <c r="TOI4" s="198"/>
      <c r="TOJ4" s="198"/>
      <c r="TOK4" s="198"/>
      <c r="TOL4" s="198"/>
      <c r="TOM4" s="198"/>
      <c r="TON4" s="198"/>
      <c r="TOO4" s="198"/>
      <c r="TOP4" s="198"/>
      <c r="TOQ4" s="198"/>
      <c r="TOR4" s="198"/>
      <c r="TOS4" s="198"/>
      <c r="TOT4" s="198"/>
      <c r="TOU4" s="198"/>
      <c r="TOV4" s="198"/>
      <c r="TOW4" s="198"/>
      <c r="TOX4" s="198"/>
      <c r="TOY4" s="198"/>
      <c r="TOZ4" s="198"/>
      <c r="TPA4" s="198"/>
      <c r="TPB4" s="198"/>
      <c r="TPC4" s="198"/>
      <c r="TPD4" s="198"/>
      <c r="TPE4" s="198"/>
      <c r="TPF4" s="198"/>
      <c r="TPG4" s="198"/>
      <c r="TPH4" s="198"/>
      <c r="TPI4" s="198"/>
      <c r="TPJ4" s="198"/>
      <c r="TPK4" s="198"/>
      <c r="TPL4" s="198"/>
      <c r="TPM4" s="198"/>
      <c r="TPN4" s="198"/>
      <c r="TPO4" s="198"/>
      <c r="TPP4" s="198"/>
      <c r="TPQ4" s="198"/>
      <c r="TPR4" s="198"/>
      <c r="TPS4" s="198"/>
      <c r="TPT4" s="198"/>
      <c r="TPU4" s="198"/>
      <c r="TPV4" s="198"/>
      <c r="TPW4" s="198"/>
      <c r="TPX4" s="198"/>
      <c r="TPY4" s="198"/>
      <c r="TPZ4" s="198"/>
      <c r="TQA4" s="198"/>
      <c r="TQB4" s="198"/>
      <c r="TQC4" s="198"/>
      <c r="TQD4" s="198"/>
      <c r="TQE4" s="198"/>
      <c r="TQF4" s="198"/>
      <c r="TQG4" s="198"/>
      <c r="TQH4" s="198"/>
      <c r="TQI4" s="198"/>
      <c r="TQJ4" s="198"/>
      <c r="TQK4" s="198"/>
      <c r="TQL4" s="198"/>
      <c r="TQM4" s="198"/>
      <c r="TQN4" s="198"/>
      <c r="TQO4" s="198"/>
      <c r="TQP4" s="198"/>
      <c r="TQQ4" s="198"/>
      <c r="TQR4" s="198"/>
      <c r="TQS4" s="198"/>
      <c r="TQT4" s="198"/>
      <c r="TQU4" s="198"/>
      <c r="TQV4" s="198"/>
      <c r="TQW4" s="198"/>
      <c r="TQX4" s="198"/>
      <c r="TQY4" s="198"/>
      <c r="TQZ4" s="198"/>
      <c r="TRA4" s="198"/>
      <c r="TRB4" s="198"/>
      <c r="TRC4" s="198"/>
      <c r="TRD4" s="198"/>
      <c r="TRE4" s="198"/>
      <c r="TRF4" s="198"/>
      <c r="TRG4" s="198"/>
      <c r="TRH4" s="198"/>
      <c r="TRI4" s="198"/>
      <c r="TRJ4" s="198"/>
      <c r="TRK4" s="198"/>
      <c r="TRL4" s="198"/>
      <c r="TRM4" s="198"/>
      <c r="TRN4" s="198"/>
      <c r="TRO4" s="198"/>
      <c r="TRP4" s="198"/>
      <c r="TRQ4" s="198"/>
      <c r="TRR4" s="198"/>
      <c r="TRS4" s="198"/>
      <c r="TRT4" s="198"/>
      <c r="TRU4" s="198"/>
      <c r="TRV4" s="198"/>
      <c r="TRW4" s="198"/>
      <c r="TRX4" s="198"/>
      <c r="TRY4" s="198"/>
      <c r="TRZ4" s="198"/>
      <c r="TSA4" s="198"/>
      <c r="TSB4" s="198"/>
      <c r="TSC4" s="198"/>
      <c r="TSD4" s="198"/>
      <c r="TSE4" s="198"/>
      <c r="TSF4" s="198"/>
      <c r="TSG4" s="198"/>
      <c r="TSH4" s="198"/>
      <c r="TSI4" s="198"/>
      <c r="TSJ4" s="198"/>
      <c r="TSK4" s="198"/>
      <c r="TSL4" s="198"/>
      <c r="TSM4" s="198"/>
      <c r="TSN4" s="198"/>
      <c r="TSO4" s="198"/>
      <c r="TSP4" s="198"/>
      <c r="TSQ4" s="198"/>
      <c r="TSR4" s="198"/>
      <c r="TSS4" s="198"/>
      <c r="TST4" s="198"/>
      <c r="TSU4" s="198"/>
      <c r="TSV4" s="198"/>
      <c r="TSW4" s="198"/>
      <c r="TSX4" s="198"/>
      <c r="TSY4" s="198"/>
      <c r="TSZ4" s="198"/>
      <c r="TTA4" s="198"/>
      <c r="TTB4" s="198"/>
      <c r="TTC4" s="198"/>
      <c r="TTD4" s="198"/>
      <c r="TTE4" s="198"/>
      <c r="TTF4" s="198"/>
      <c r="TTG4" s="198"/>
      <c r="TTH4" s="198"/>
      <c r="TTI4" s="198"/>
      <c r="TTJ4" s="198"/>
      <c r="TTK4" s="198"/>
      <c r="TTL4" s="198"/>
      <c r="TTM4" s="198"/>
      <c r="TTN4" s="198"/>
      <c r="TTO4" s="198"/>
      <c r="TTP4" s="198"/>
      <c r="TTQ4" s="198"/>
      <c r="TTR4" s="198"/>
      <c r="TTS4" s="198"/>
      <c r="TTT4" s="198"/>
      <c r="TTU4" s="198"/>
      <c r="TTV4" s="198"/>
      <c r="TTW4" s="198"/>
      <c r="TTX4" s="198"/>
      <c r="TTY4" s="198"/>
      <c r="TTZ4" s="198"/>
      <c r="TUA4" s="198"/>
      <c r="TUB4" s="198"/>
      <c r="TUC4" s="198"/>
      <c r="TUD4" s="198"/>
      <c r="TUE4" s="198"/>
      <c r="TUF4" s="198"/>
      <c r="TUG4" s="198"/>
      <c r="TUH4" s="198"/>
      <c r="TUI4" s="198"/>
      <c r="TUJ4" s="198"/>
      <c r="TUK4" s="198"/>
      <c r="TUL4" s="198"/>
      <c r="TUM4" s="198"/>
      <c r="TUN4" s="198"/>
      <c r="TUO4" s="198"/>
      <c r="TUP4" s="198"/>
      <c r="TUQ4" s="198"/>
      <c r="TUR4" s="198"/>
      <c r="TUS4" s="198"/>
      <c r="TUT4" s="198"/>
      <c r="TUU4" s="198"/>
      <c r="TUV4" s="198"/>
      <c r="TUW4" s="198"/>
      <c r="TUX4" s="198"/>
      <c r="TUY4" s="198"/>
      <c r="TUZ4" s="198"/>
      <c r="TVA4" s="198"/>
      <c r="TVB4" s="198"/>
      <c r="TVC4" s="198"/>
      <c r="TVD4" s="198"/>
      <c r="TVE4" s="198"/>
      <c r="TVF4" s="198"/>
      <c r="TVG4" s="198"/>
      <c r="TVH4" s="198"/>
      <c r="TVI4" s="198"/>
      <c r="TVJ4" s="198"/>
      <c r="TVK4" s="198"/>
      <c r="TVL4" s="198"/>
      <c r="TVM4" s="198"/>
      <c r="TVN4" s="198"/>
      <c r="TVO4" s="198"/>
      <c r="TVP4" s="198"/>
      <c r="TVQ4" s="198"/>
      <c r="TVR4" s="198"/>
      <c r="TVS4" s="198"/>
      <c r="TVT4" s="198"/>
      <c r="TVU4" s="198"/>
      <c r="TVV4" s="198"/>
      <c r="TVW4" s="198"/>
      <c r="TVX4" s="198"/>
      <c r="TVY4" s="198"/>
      <c r="TVZ4" s="198"/>
      <c r="TWA4" s="198"/>
      <c r="TWB4" s="198"/>
      <c r="TWC4" s="198"/>
      <c r="TWD4" s="198"/>
      <c r="TWE4" s="198"/>
      <c r="TWF4" s="198"/>
      <c r="TWG4" s="198"/>
      <c r="TWH4" s="198"/>
      <c r="TWI4" s="198"/>
      <c r="TWJ4" s="198"/>
      <c r="TWK4" s="198"/>
      <c r="TWL4" s="198"/>
      <c r="TWM4" s="198"/>
      <c r="TWN4" s="198"/>
      <c r="TWO4" s="198"/>
      <c r="TWP4" s="198"/>
      <c r="TWQ4" s="198"/>
      <c r="TWR4" s="198"/>
      <c r="TWS4" s="198"/>
      <c r="TWT4" s="198"/>
      <c r="TWU4" s="198"/>
      <c r="TWV4" s="198"/>
      <c r="TWW4" s="198"/>
      <c r="TWX4" s="198"/>
      <c r="TWY4" s="198"/>
      <c r="TWZ4" s="198"/>
      <c r="TXA4" s="198"/>
      <c r="TXB4" s="198"/>
      <c r="TXC4" s="198"/>
      <c r="TXD4" s="198"/>
      <c r="TXE4" s="198"/>
      <c r="TXF4" s="198"/>
      <c r="TXG4" s="198"/>
      <c r="TXH4" s="198"/>
      <c r="TXI4" s="198"/>
      <c r="TXJ4" s="198"/>
      <c r="TXK4" s="198"/>
      <c r="TXL4" s="198"/>
      <c r="TXM4" s="198"/>
      <c r="TXN4" s="198"/>
      <c r="TXO4" s="198"/>
      <c r="TXP4" s="198"/>
      <c r="TXQ4" s="198"/>
      <c r="TXR4" s="198"/>
      <c r="TXS4" s="198"/>
      <c r="TXT4" s="198"/>
      <c r="TXU4" s="198"/>
      <c r="TXV4" s="198"/>
      <c r="TXW4" s="198"/>
      <c r="TXX4" s="198"/>
      <c r="TXY4" s="198"/>
      <c r="TXZ4" s="198"/>
      <c r="TYA4" s="198"/>
      <c r="TYB4" s="198"/>
      <c r="TYC4" s="198"/>
      <c r="TYD4" s="198"/>
      <c r="TYE4" s="198"/>
      <c r="TYF4" s="198"/>
      <c r="TYG4" s="198"/>
      <c r="TYH4" s="198"/>
      <c r="TYI4" s="198"/>
      <c r="TYJ4" s="198"/>
      <c r="TYK4" s="198"/>
      <c r="TYL4" s="198"/>
      <c r="TYM4" s="198"/>
      <c r="TYN4" s="198"/>
      <c r="TYO4" s="198"/>
      <c r="TYP4" s="198"/>
      <c r="TYQ4" s="198"/>
      <c r="TYR4" s="198"/>
      <c r="TYS4" s="198"/>
      <c r="TYT4" s="198"/>
      <c r="TYU4" s="198"/>
      <c r="TYV4" s="198"/>
      <c r="TYW4" s="198"/>
      <c r="TYX4" s="198"/>
      <c r="TYY4" s="198"/>
      <c r="TYZ4" s="198"/>
      <c r="TZA4" s="198"/>
      <c r="TZB4" s="198"/>
      <c r="TZC4" s="198"/>
      <c r="TZD4" s="198"/>
      <c r="TZE4" s="198"/>
      <c r="TZF4" s="198"/>
      <c r="TZG4" s="198"/>
      <c r="TZH4" s="198"/>
      <c r="TZI4" s="198"/>
      <c r="TZJ4" s="198"/>
      <c r="TZK4" s="198"/>
      <c r="TZL4" s="198"/>
      <c r="TZM4" s="198"/>
      <c r="TZN4" s="198"/>
      <c r="TZO4" s="198"/>
      <c r="TZP4" s="198"/>
      <c r="TZQ4" s="198"/>
      <c r="TZR4" s="198"/>
      <c r="TZS4" s="198"/>
      <c r="TZT4" s="198"/>
      <c r="TZU4" s="198"/>
      <c r="TZV4" s="198"/>
      <c r="TZW4" s="198"/>
      <c r="TZX4" s="198"/>
      <c r="TZY4" s="198"/>
      <c r="TZZ4" s="198"/>
      <c r="UAA4" s="198"/>
      <c r="UAB4" s="198"/>
      <c r="UAC4" s="198"/>
      <c r="UAD4" s="198"/>
      <c r="UAE4" s="198"/>
      <c r="UAF4" s="198"/>
      <c r="UAG4" s="198"/>
      <c r="UAH4" s="198"/>
      <c r="UAI4" s="198"/>
      <c r="UAJ4" s="198"/>
      <c r="UAK4" s="198"/>
      <c r="UAL4" s="198"/>
      <c r="UAM4" s="198"/>
      <c r="UAN4" s="198"/>
      <c r="UAO4" s="198"/>
      <c r="UAP4" s="198"/>
      <c r="UAQ4" s="198"/>
      <c r="UAR4" s="198"/>
      <c r="UAS4" s="198"/>
      <c r="UAT4" s="198"/>
      <c r="UAU4" s="198"/>
      <c r="UAV4" s="198"/>
      <c r="UAW4" s="198"/>
      <c r="UAX4" s="198"/>
      <c r="UAY4" s="198"/>
      <c r="UAZ4" s="198"/>
      <c r="UBA4" s="198"/>
      <c r="UBB4" s="198"/>
      <c r="UBC4" s="198"/>
      <c r="UBD4" s="198"/>
      <c r="UBE4" s="198"/>
      <c r="UBF4" s="198"/>
      <c r="UBG4" s="198"/>
      <c r="UBH4" s="198"/>
      <c r="UBI4" s="198"/>
      <c r="UBJ4" s="198"/>
      <c r="UBK4" s="198"/>
      <c r="UBL4" s="198"/>
      <c r="UBM4" s="198"/>
      <c r="UBN4" s="198"/>
      <c r="UBO4" s="198"/>
      <c r="UBP4" s="198"/>
      <c r="UBQ4" s="198"/>
      <c r="UBR4" s="198"/>
      <c r="UBS4" s="198"/>
      <c r="UBT4" s="198"/>
      <c r="UBU4" s="198"/>
      <c r="UBV4" s="198"/>
      <c r="UBW4" s="198"/>
      <c r="UBX4" s="198"/>
      <c r="UBY4" s="198"/>
      <c r="UBZ4" s="198"/>
      <c r="UCA4" s="198"/>
      <c r="UCB4" s="198"/>
      <c r="UCC4" s="198"/>
      <c r="UCD4" s="198"/>
      <c r="UCE4" s="198"/>
      <c r="UCF4" s="198"/>
      <c r="UCG4" s="198"/>
      <c r="UCH4" s="198"/>
      <c r="UCI4" s="198"/>
      <c r="UCJ4" s="198"/>
      <c r="UCK4" s="198"/>
      <c r="UCL4" s="198"/>
      <c r="UCM4" s="198"/>
      <c r="UCN4" s="198"/>
      <c r="UCO4" s="198"/>
      <c r="UCP4" s="198"/>
      <c r="UCQ4" s="198"/>
      <c r="UCR4" s="198"/>
      <c r="UCS4" s="198"/>
      <c r="UCT4" s="198"/>
      <c r="UCU4" s="198"/>
      <c r="UCV4" s="198"/>
      <c r="UCW4" s="198"/>
      <c r="UCX4" s="198"/>
      <c r="UCY4" s="198"/>
      <c r="UCZ4" s="198"/>
      <c r="UDA4" s="198"/>
      <c r="UDB4" s="198"/>
      <c r="UDC4" s="198"/>
      <c r="UDD4" s="198"/>
      <c r="UDE4" s="198"/>
      <c r="UDF4" s="198"/>
      <c r="UDG4" s="198"/>
      <c r="UDH4" s="198"/>
      <c r="UDI4" s="198"/>
      <c r="UDJ4" s="198"/>
      <c r="UDK4" s="198"/>
      <c r="UDL4" s="198"/>
      <c r="UDM4" s="198"/>
      <c r="UDN4" s="198"/>
      <c r="UDO4" s="198"/>
      <c r="UDP4" s="198"/>
      <c r="UDQ4" s="198"/>
      <c r="UDR4" s="198"/>
      <c r="UDS4" s="198"/>
      <c r="UDT4" s="198"/>
      <c r="UDU4" s="198"/>
      <c r="UDV4" s="198"/>
      <c r="UDW4" s="198"/>
      <c r="UDX4" s="198"/>
      <c r="UDY4" s="198"/>
      <c r="UDZ4" s="198"/>
      <c r="UEA4" s="198"/>
      <c r="UEB4" s="198"/>
      <c r="UEC4" s="198"/>
      <c r="UED4" s="198"/>
      <c r="UEE4" s="198"/>
      <c r="UEF4" s="198"/>
      <c r="UEG4" s="198"/>
      <c r="UEH4" s="198"/>
      <c r="UEI4" s="198"/>
      <c r="UEJ4" s="198"/>
      <c r="UEK4" s="198"/>
      <c r="UEL4" s="198"/>
      <c r="UEM4" s="198"/>
      <c r="UEN4" s="198"/>
      <c r="UEO4" s="198"/>
      <c r="UEP4" s="198"/>
      <c r="UEQ4" s="198"/>
      <c r="UER4" s="198"/>
      <c r="UES4" s="198"/>
      <c r="UET4" s="198"/>
      <c r="UEU4" s="198"/>
      <c r="UEV4" s="198"/>
      <c r="UEW4" s="198"/>
      <c r="UEX4" s="198"/>
      <c r="UEY4" s="198"/>
      <c r="UEZ4" s="198"/>
      <c r="UFA4" s="198"/>
      <c r="UFB4" s="198"/>
      <c r="UFC4" s="198"/>
      <c r="UFD4" s="198"/>
      <c r="UFE4" s="198"/>
      <c r="UFF4" s="198"/>
      <c r="UFG4" s="198"/>
      <c r="UFH4" s="198"/>
      <c r="UFI4" s="198"/>
      <c r="UFJ4" s="198"/>
      <c r="UFK4" s="198"/>
      <c r="UFL4" s="198"/>
      <c r="UFM4" s="198"/>
      <c r="UFN4" s="198"/>
      <c r="UFO4" s="198"/>
      <c r="UFP4" s="198"/>
      <c r="UFQ4" s="198"/>
      <c r="UFR4" s="198"/>
      <c r="UFS4" s="198"/>
      <c r="UFT4" s="198"/>
      <c r="UFU4" s="198"/>
      <c r="UFV4" s="198"/>
      <c r="UFW4" s="198"/>
      <c r="UFX4" s="198"/>
      <c r="UFY4" s="198"/>
      <c r="UFZ4" s="198"/>
      <c r="UGA4" s="198"/>
      <c r="UGB4" s="198"/>
      <c r="UGC4" s="198"/>
      <c r="UGD4" s="198"/>
      <c r="UGE4" s="198"/>
      <c r="UGF4" s="198"/>
      <c r="UGG4" s="198"/>
      <c r="UGH4" s="198"/>
      <c r="UGI4" s="198"/>
      <c r="UGJ4" s="198"/>
      <c r="UGK4" s="198"/>
      <c r="UGL4" s="198"/>
      <c r="UGM4" s="198"/>
      <c r="UGN4" s="198"/>
      <c r="UGO4" s="198"/>
      <c r="UGP4" s="198"/>
      <c r="UGQ4" s="198"/>
      <c r="UGR4" s="198"/>
      <c r="UGS4" s="198"/>
      <c r="UGT4" s="198"/>
      <c r="UGU4" s="198"/>
      <c r="UGV4" s="198"/>
      <c r="UGW4" s="198"/>
      <c r="UGX4" s="198"/>
      <c r="UGY4" s="198"/>
      <c r="UGZ4" s="198"/>
      <c r="UHA4" s="198"/>
      <c r="UHB4" s="198"/>
      <c r="UHC4" s="198"/>
      <c r="UHD4" s="198"/>
      <c r="UHE4" s="198"/>
      <c r="UHF4" s="198"/>
      <c r="UHG4" s="198"/>
      <c r="UHH4" s="198"/>
      <c r="UHI4" s="198"/>
      <c r="UHJ4" s="198"/>
      <c r="UHK4" s="198"/>
      <c r="UHL4" s="198"/>
      <c r="UHM4" s="198"/>
      <c r="UHN4" s="198"/>
      <c r="UHO4" s="198"/>
      <c r="UHP4" s="198"/>
      <c r="UHQ4" s="198"/>
      <c r="UHR4" s="198"/>
      <c r="UHS4" s="198"/>
      <c r="UHT4" s="198"/>
      <c r="UHU4" s="198"/>
      <c r="UHV4" s="198"/>
      <c r="UHW4" s="198"/>
      <c r="UHX4" s="198"/>
      <c r="UHY4" s="198"/>
      <c r="UHZ4" s="198"/>
      <c r="UIA4" s="198"/>
      <c r="UIB4" s="198"/>
      <c r="UIC4" s="198"/>
      <c r="UID4" s="198"/>
      <c r="UIE4" s="198"/>
      <c r="UIF4" s="198"/>
      <c r="UIG4" s="198"/>
      <c r="UIH4" s="198"/>
      <c r="UII4" s="198"/>
      <c r="UIJ4" s="198"/>
      <c r="UIK4" s="198"/>
      <c r="UIL4" s="198"/>
      <c r="UIM4" s="198"/>
      <c r="UIN4" s="198"/>
      <c r="UIO4" s="198"/>
      <c r="UIP4" s="198"/>
      <c r="UIQ4" s="198"/>
      <c r="UIR4" s="198"/>
      <c r="UIS4" s="198"/>
      <c r="UIT4" s="198"/>
      <c r="UIU4" s="198"/>
      <c r="UIV4" s="198"/>
      <c r="UIW4" s="198"/>
      <c r="UIX4" s="198"/>
      <c r="UIY4" s="198"/>
      <c r="UIZ4" s="198"/>
      <c r="UJA4" s="198"/>
      <c r="UJB4" s="198"/>
      <c r="UJC4" s="198"/>
      <c r="UJD4" s="198"/>
      <c r="UJE4" s="198"/>
      <c r="UJF4" s="198"/>
      <c r="UJG4" s="198"/>
      <c r="UJH4" s="198"/>
      <c r="UJI4" s="198"/>
      <c r="UJJ4" s="198"/>
      <c r="UJK4" s="198"/>
      <c r="UJL4" s="198"/>
      <c r="UJM4" s="198"/>
      <c r="UJN4" s="198"/>
      <c r="UJO4" s="198"/>
      <c r="UJP4" s="198"/>
      <c r="UJQ4" s="198"/>
      <c r="UJR4" s="198"/>
      <c r="UJS4" s="198"/>
      <c r="UJT4" s="198"/>
      <c r="UJU4" s="198"/>
      <c r="UJV4" s="198"/>
      <c r="UJW4" s="198"/>
      <c r="UJX4" s="198"/>
      <c r="UJY4" s="198"/>
      <c r="UJZ4" s="198"/>
      <c r="UKA4" s="198"/>
      <c r="UKB4" s="198"/>
      <c r="UKC4" s="198"/>
      <c r="UKD4" s="198"/>
      <c r="UKE4" s="198"/>
      <c r="UKF4" s="198"/>
      <c r="UKG4" s="198"/>
      <c r="UKH4" s="198"/>
      <c r="UKI4" s="198"/>
      <c r="UKJ4" s="198"/>
      <c r="UKK4" s="198"/>
      <c r="UKL4" s="198"/>
      <c r="UKM4" s="198"/>
      <c r="UKN4" s="198"/>
      <c r="UKO4" s="198"/>
      <c r="UKP4" s="198"/>
      <c r="UKQ4" s="198"/>
      <c r="UKR4" s="198"/>
      <c r="UKS4" s="198"/>
      <c r="UKT4" s="198"/>
      <c r="UKU4" s="198"/>
      <c r="UKV4" s="198"/>
      <c r="UKW4" s="198"/>
      <c r="UKX4" s="198"/>
      <c r="UKY4" s="198"/>
      <c r="UKZ4" s="198"/>
      <c r="ULA4" s="198"/>
      <c r="ULB4" s="198"/>
      <c r="ULC4" s="198"/>
      <c r="ULD4" s="198"/>
      <c r="ULE4" s="198"/>
      <c r="ULF4" s="198"/>
      <c r="ULG4" s="198"/>
      <c r="ULH4" s="198"/>
      <c r="ULI4" s="198"/>
      <c r="ULJ4" s="198"/>
      <c r="ULK4" s="198"/>
      <c r="ULL4" s="198"/>
      <c r="ULM4" s="198"/>
      <c r="ULN4" s="198"/>
      <c r="ULO4" s="198"/>
      <c r="ULP4" s="198"/>
      <c r="ULQ4" s="198"/>
      <c r="ULR4" s="198"/>
      <c r="ULS4" s="198"/>
      <c r="ULT4" s="198"/>
      <c r="ULU4" s="198"/>
      <c r="ULV4" s="198"/>
      <c r="ULW4" s="198"/>
      <c r="ULX4" s="198"/>
      <c r="ULY4" s="198"/>
      <c r="ULZ4" s="198"/>
      <c r="UMA4" s="198"/>
      <c r="UMB4" s="198"/>
      <c r="UMC4" s="198"/>
      <c r="UMD4" s="198"/>
      <c r="UME4" s="198"/>
      <c r="UMF4" s="198"/>
      <c r="UMG4" s="198"/>
      <c r="UMH4" s="198"/>
      <c r="UMI4" s="198"/>
      <c r="UMJ4" s="198"/>
      <c r="UMK4" s="198"/>
      <c r="UML4" s="198"/>
      <c r="UMM4" s="198"/>
      <c r="UMN4" s="198"/>
      <c r="UMO4" s="198"/>
      <c r="UMP4" s="198"/>
      <c r="UMQ4" s="198"/>
      <c r="UMR4" s="198"/>
      <c r="UMS4" s="198"/>
      <c r="UMT4" s="198"/>
      <c r="UMU4" s="198"/>
      <c r="UMV4" s="198"/>
      <c r="UMW4" s="198"/>
      <c r="UMX4" s="198"/>
      <c r="UMY4" s="198"/>
      <c r="UMZ4" s="198"/>
      <c r="UNA4" s="198"/>
      <c r="UNB4" s="198"/>
      <c r="UNC4" s="198"/>
      <c r="UND4" s="198"/>
      <c r="UNE4" s="198"/>
      <c r="UNF4" s="198"/>
      <c r="UNG4" s="198"/>
      <c r="UNH4" s="198"/>
      <c r="UNI4" s="198"/>
      <c r="UNJ4" s="198"/>
      <c r="UNK4" s="198"/>
      <c r="UNL4" s="198"/>
      <c r="UNM4" s="198"/>
      <c r="UNN4" s="198"/>
      <c r="UNO4" s="198"/>
      <c r="UNP4" s="198"/>
      <c r="UNQ4" s="198"/>
      <c r="UNR4" s="198"/>
      <c r="UNS4" s="198"/>
      <c r="UNT4" s="198"/>
      <c r="UNU4" s="198"/>
      <c r="UNV4" s="198"/>
      <c r="UNW4" s="198"/>
      <c r="UNX4" s="198"/>
      <c r="UNY4" s="198"/>
      <c r="UNZ4" s="198"/>
      <c r="UOA4" s="198"/>
      <c r="UOB4" s="198"/>
      <c r="UOC4" s="198"/>
      <c r="UOD4" s="198"/>
      <c r="UOE4" s="198"/>
      <c r="UOF4" s="198"/>
      <c r="UOG4" s="198"/>
      <c r="UOH4" s="198"/>
      <c r="UOI4" s="198"/>
      <c r="UOJ4" s="198"/>
      <c r="UOK4" s="198"/>
      <c r="UOL4" s="198"/>
      <c r="UOM4" s="198"/>
      <c r="UON4" s="198"/>
      <c r="UOO4" s="198"/>
      <c r="UOP4" s="198"/>
      <c r="UOQ4" s="198"/>
      <c r="UOR4" s="198"/>
      <c r="UOS4" s="198"/>
      <c r="UOT4" s="198"/>
      <c r="UOU4" s="198"/>
      <c r="UOV4" s="198"/>
      <c r="UOW4" s="198"/>
      <c r="UOX4" s="198"/>
      <c r="UOY4" s="198"/>
      <c r="UOZ4" s="198"/>
      <c r="UPA4" s="198"/>
      <c r="UPB4" s="198"/>
      <c r="UPC4" s="198"/>
      <c r="UPD4" s="198"/>
      <c r="UPE4" s="198"/>
      <c r="UPF4" s="198"/>
      <c r="UPG4" s="198"/>
      <c r="UPH4" s="198"/>
      <c r="UPI4" s="198"/>
      <c r="UPJ4" s="198"/>
      <c r="UPK4" s="198"/>
      <c r="UPL4" s="198"/>
      <c r="UPM4" s="198"/>
      <c r="UPN4" s="198"/>
      <c r="UPO4" s="198"/>
      <c r="UPP4" s="198"/>
      <c r="UPQ4" s="198"/>
      <c r="UPR4" s="198"/>
      <c r="UPS4" s="198"/>
      <c r="UPT4" s="198"/>
      <c r="UPU4" s="198"/>
      <c r="UPV4" s="198"/>
      <c r="UPW4" s="198"/>
      <c r="UPX4" s="198"/>
      <c r="UPY4" s="198"/>
      <c r="UPZ4" s="198"/>
      <c r="UQA4" s="198"/>
      <c r="UQB4" s="198"/>
      <c r="UQC4" s="198"/>
      <c r="UQD4" s="198"/>
      <c r="UQE4" s="198"/>
      <c r="UQF4" s="198"/>
      <c r="UQG4" s="198"/>
      <c r="UQH4" s="198"/>
      <c r="UQI4" s="198"/>
      <c r="UQJ4" s="198"/>
      <c r="UQK4" s="198"/>
      <c r="UQL4" s="198"/>
      <c r="UQM4" s="198"/>
      <c r="UQN4" s="198"/>
      <c r="UQO4" s="198"/>
      <c r="UQP4" s="198"/>
      <c r="UQQ4" s="198"/>
      <c r="UQR4" s="198"/>
      <c r="UQS4" s="198"/>
      <c r="UQT4" s="198"/>
      <c r="UQU4" s="198"/>
      <c r="UQV4" s="198"/>
      <c r="UQW4" s="198"/>
      <c r="UQX4" s="198"/>
      <c r="UQY4" s="198"/>
      <c r="UQZ4" s="198"/>
      <c r="URA4" s="198"/>
      <c r="URB4" s="198"/>
      <c r="URC4" s="198"/>
      <c r="URD4" s="198"/>
      <c r="URE4" s="198"/>
      <c r="URF4" s="198"/>
      <c r="URG4" s="198"/>
      <c r="URH4" s="198"/>
      <c r="URI4" s="198"/>
      <c r="URJ4" s="198"/>
      <c r="URK4" s="198"/>
      <c r="URL4" s="198"/>
      <c r="URM4" s="198"/>
      <c r="URN4" s="198"/>
      <c r="URO4" s="198"/>
      <c r="URP4" s="198"/>
      <c r="URQ4" s="198"/>
      <c r="URR4" s="198"/>
      <c r="URS4" s="198"/>
      <c r="URT4" s="198"/>
      <c r="URU4" s="198"/>
      <c r="URV4" s="198"/>
      <c r="URW4" s="198"/>
      <c r="URX4" s="198"/>
      <c r="URY4" s="198"/>
      <c r="URZ4" s="198"/>
      <c r="USA4" s="198"/>
      <c r="USB4" s="198"/>
      <c r="USC4" s="198"/>
      <c r="USD4" s="198"/>
      <c r="USE4" s="198"/>
      <c r="USF4" s="198"/>
      <c r="USG4" s="198"/>
      <c r="USH4" s="198"/>
      <c r="USI4" s="198"/>
      <c r="USJ4" s="198"/>
      <c r="USK4" s="198"/>
      <c r="USL4" s="198"/>
      <c r="USM4" s="198"/>
      <c r="USN4" s="198"/>
      <c r="USO4" s="198"/>
      <c r="USP4" s="198"/>
      <c r="USQ4" s="198"/>
      <c r="USR4" s="198"/>
      <c r="USS4" s="198"/>
      <c r="UST4" s="198"/>
      <c r="USU4" s="198"/>
      <c r="USV4" s="198"/>
      <c r="USW4" s="198"/>
      <c r="USX4" s="198"/>
      <c r="USY4" s="198"/>
      <c r="USZ4" s="198"/>
      <c r="UTA4" s="198"/>
      <c r="UTB4" s="198"/>
      <c r="UTC4" s="198"/>
      <c r="UTD4" s="198"/>
      <c r="UTE4" s="198"/>
      <c r="UTF4" s="198"/>
      <c r="UTG4" s="198"/>
      <c r="UTH4" s="198"/>
      <c r="UTI4" s="198"/>
      <c r="UTJ4" s="198"/>
      <c r="UTK4" s="198"/>
      <c r="UTL4" s="198"/>
      <c r="UTM4" s="198"/>
      <c r="UTN4" s="198"/>
      <c r="UTO4" s="198"/>
      <c r="UTP4" s="198"/>
      <c r="UTQ4" s="198"/>
      <c r="UTR4" s="198"/>
      <c r="UTS4" s="198"/>
      <c r="UTT4" s="198"/>
      <c r="UTU4" s="198"/>
      <c r="UTV4" s="198"/>
      <c r="UTW4" s="198"/>
      <c r="UTX4" s="198"/>
      <c r="UTY4" s="198"/>
      <c r="UTZ4" s="198"/>
      <c r="UUA4" s="198"/>
      <c r="UUB4" s="198"/>
      <c r="UUC4" s="198"/>
      <c r="UUD4" s="198"/>
      <c r="UUE4" s="198"/>
      <c r="UUF4" s="198"/>
      <c r="UUG4" s="198"/>
      <c r="UUH4" s="198"/>
      <c r="UUI4" s="198"/>
      <c r="UUJ4" s="198"/>
      <c r="UUK4" s="198"/>
      <c r="UUL4" s="198"/>
      <c r="UUM4" s="198"/>
      <c r="UUN4" s="198"/>
      <c r="UUO4" s="198"/>
      <c r="UUP4" s="198"/>
      <c r="UUQ4" s="198"/>
      <c r="UUR4" s="198"/>
      <c r="UUS4" s="198"/>
      <c r="UUT4" s="198"/>
      <c r="UUU4" s="198"/>
      <c r="UUV4" s="198"/>
      <c r="UUW4" s="198"/>
      <c r="UUX4" s="198"/>
      <c r="UUY4" s="198"/>
      <c r="UUZ4" s="198"/>
      <c r="UVA4" s="198"/>
      <c r="UVB4" s="198"/>
      <c r="UVC4" s="198"/>
      <c r="UVD4" s="198"/>
      <c r="UVE4" s="198"/>
      <c r="UVF4" s="198"/>
      <c r="UVG4" s="198"/>
      <c r="UVH4" s="198"/>
      <c r="UVI4" s="198"/>
      <c r="UVJ4" s="198"/>
      <c r="UVK4" s="198"/>
      <c r="UVL4" s="198"/>
      <c r="UVM4" s="198"/>
      <c r="UVN4" s="198"/>
      <c r="UVO4" s="198"/>
      <c r="UVP4" s="198"/>
      <c r="UVQ4" s="198"/>
      <c r="UVR4" s="198"/>
      <c r="UVS4" s="198"/>
      <c r="UVT4" s="198"/>
      <c r="UVU4" s="198"/>
      <c r="UVV4" s="198"/>
      <c r="UVW4" s="198"/>
      <c r="UVX4" s="198"/>
      <c r="UVY4" s="198"/>
      <c r="UVZ4" s="198"/>
      <c r="UWA4" s="198"/>
      <c r="UWB4" s="198"/>
      <c r="UWC4" s="198"/>
      <c r="UWD4" s="198"/>
      <c r="UWE4" s="198"/>
      <c r="UWF4" s="198"/>
      <c r="UWG4" s="198"/>
      <c r="UWH4" s="198"/>
      <c r="UWI4" s="198"/>
      <c r="UWJ4" s="198"/>
      <c r="UWK4" s="198"/>
      <c r="UWL4" s="198"/>
      <c r="UWM4" s="198"/>
      <c r="UWN4" s="198"/>
      <c r="UWO4" s="198"/>
      <c r="UWP4" s="198"/>
      <c r="UWQ4" s="198"/>
      <c r="UWR4" s="198"/>
      <c r="UWS4" s="198"/>
      <c r="UWT4" s="198"/>
      <c r="UWU4" s="198"/>
      <c r="UWV4" s="198"/>
      <c r="UWW4" s="198"/>
      <c r="UWX4" s="198"/>
      <c r="UWY4" s="198"/>
      <c r="UWZ4" s="198"/>
      <c r="UXA4" s="198"/>
      <c r="UXB4" s="198"/>
      <c r="UXC4" s="198"/>
      <c r="UXD4" s="198"/>
      <c r="UXE4" s="198"/>
      <c r="UXF4" s="198"/>
      <c r="UXG4" s="198"/>
      <c r="UXH4" s="198"/>
      <c r="UXI4" s="198"/>
      <c r="UXJ4" s="198"/>
      <c r="UXK4" s="198"/>
      <c r="UXL4" s="198"/>
      <c r="UXM4" s="198"/>
      <c r="UXN4" s="198"/>
      <c r="UXO4" s="198"/>
      <c r="UXP4" s="198"/>
      <c r="UXQ4" s="198"/>
      <c r="UXR4" s="198"/>
      <c r="UXS4" s="198"/>
      <c r="UXT4" s="198"/>
      <c r="UXU4" s="198"/>
      <c r="UXV4" s="198"/>
      <c r="UXW4" s="198"/>
      <c r="UXX4" s="198"/>
      <c r="UXY4" s="198"/>
      <c r="UXZ4" s="198"/>
      <c r="UYA4" s="198"/>
      <c r="UYB4" s="198"/>
      <c r="UYC4" s="198"/>
      <c r="UYD4" s="198"/>
      <c r="UYE4" s="198"/>
      <c r="UYF4" s="198"/>
      <c r="UYG4" s="198"/>
      <c r="UYH4" s="198"/>
      <c r="UYI4" s="198"/>
      <c r="UYJ4" s="198"/>
      <c r="UYK4" s="198"/>
      <c r="UYL4" s="198"/>
      <c r="UYM4" s="198"/>
      <c r="UYN4" s="198"/>
      <c r="UYO4" s="198"/>
      <c r="UYP4" s="198"/>
      <c r="UYQ4" s="198"/>
      <c r="UYR4" s="198"/>
      <c r="UYS4" s="198"/>
      <c r="UYT4" s="198"/>
      <c r="UYU4" s="198"/>
      <c r="UYV4" s="198"/>
      <c r="UYW4" s="198"/>
      <c r="UYX4" s="198"/>
      <c r="UYY4" s="198"/>
      <c r="UYZ4" s="198"/>
      <c r="UZA4" s="198"/>
      <c r="UZB4" s="198"/>
      <c r="UZC4" s="198"/>
      <c r="UZD4" s="198"/>
      <c r="UZE4" s="198"/>
      <c r="UZF4" s="198"/>
      <c r="UZG4" s="198"/>
      <c r="UZH4" s="198"/>
      <c r="UZI4" s="198"/>
      <c r="UZJ4" s="198"/>
      <c r="UZK4" s="198"/>
      <c r="UZL4" s="198"/>
      <c r="UZM4" s="198"/>
      <c r="UZN4" s="198"/>
      <c r="UZO4" s="198"/>
      <c r="UZP4" s="198"/>
      <c r="UZQ4" s="198"/>
      <c r="UZR4" s="198"/>
      <c r="UZS4" s="198"/>
      <c r="UZT4" s="198"/>
      <c r="UZU4" s="198"/>
      <c r="UZV4" s="198"/>
      <c r="UZW4" s="198"/>
      <c r="UZX4" s="198"/>
      <c r="UZY4" s="198"/>
      <c r="UZZ4" s="198"/>
      <c r="VAA4" s="198"/>
      <c r="VAB4" s="198"/>
      <c r="VAC4" s="198"/>
      <c r="VAD4" s="198"/>
      <c r="VAE4" s="198"/>
      <c r="VAF4" s="198"/>
      <c r="VAG4" s="198"/>
      <c r="VAH4" s="198"/>
      <c r="VAI4" s="198"/>
      <c r="VAJ4" s="198"/>
      <c r="VAK4" s="198"/>
      <c r="VAL4" s="198"/>
      <c r="VAM4" s="198"/>
      <c r="VAN4" s="198"/>
      <c r="VAO4" s="198"/>
      <c r="VAP4" s="198"/>
      <c r="VAQ4" s="198"/>
      <c r="VAR4" s="198"/>
      <c r="VAS4" s="198"/>
      <c r="VAT4" s="198"/>
      <c r="VAU4" s="198"/>
      <c r="VAV4" s="198"/>
      <c r="VAW4" s="198"/>
      <c r="VAX4" s="198"/>
      <c r="VAY4" s="198"/>
      <c r="VAZ4" s="198"/>
      <c r="VBA4" s="198"/>
      <c r="VBB4" s="198"/>
      <c r="VBC4" s="198"/>
      <c r="VBD4" s="198"/>
      <c r="VBE4" s="198"/>
      <c r="VBF4" s="198"/>
      <c r="VBG4" s="198"/>
      <c r="VBH4" s="198"/>
      <c r="VBI4" s="198"/>
      <c r="VBJ4" s="198"/>
      <c r="VBK4" s="198"/>
      <c r="VBL4" s="198"/>
      <c r="VBM4" s="198"/>
      <c r="VBN4" s="198"/>
      <c r="VBO4" s="198"/>
      <c r="VBP4" s="198"/>
      <c r="VBQ4" s="198"/>
      <c r="VBR4" s="198"/>
      <c r="VBS4" s="198"/>
      <c r="VBT4" s="198"/>
      <c r="VBU4" s="198"/>
      <c r="VBV4" s="198"/>
      <c r="VBW4" s="198"/>
      <c r="VBX4" s="198"/>
      <c r="VBY4" s="198"/>
      <c r="VBZ4" s="198"/>
      <c r="VCA4" s="198"/>
      <c r="VCB4" s="198"/>
      <c r="VCC4" s="198"/>
      <c r="VCD4" s="198"/>
      <c r="VCE4" s="198"/>
      <c r="VCF4" s="198"/>
      <c r="VCG4" s="198"/>
      <c r="VCH4" s="198"/>
      <c r="VCI4" s="198"/>
      <c r="VCJ4" s="198"/>
      <c r="VCK4" s="198"/>
      <c r="VCL4" s="198"/>
      <c r="VCM4" s="198"/>
      <c r="VCN4" s="198"/>
      <c r="VCO4" s="198"/>
      <c r="VCP4" s="198"/>
      <c r="VCQ4" s="198"/>
      <c r="VCR4" s="198"/>
      <c r="VCS4" s="198"/>
      <c r="VCT4" s="198"/>
      <c r="VCU4" s="198"/>
      <c r="VCV4" s="198"/>
      <c r="VCW4" s="198"/>
      <c r="VCX4" s="198"/>
      <c r="VCY4" s="198"/>
      <c r="VCZ4" s="198"/>
      <c r="VDA4" s="198"/>
      <c r="VDB4" s="198"/>
      <c r="VDC4" s="198"/>
      <c r="VDD4" s="198"/>
      <c r="VDE4" s="198"/>
      <c r="VDF4" s="198"/>
      <c r="VDG4" s="198"/>
      <c r="VDH4" s="198"/>
      <c r="VDI4" s="198"/>
      <c r="VDJ4" s="198"/>
      <c r="VDK4" s="198"/>
      <c r="VDL4" s="198"/>
      <c r="VDM4" s="198"/>
      <c r="VDN4" s="198"/>
      <c r="VDO4" s="198"/>
      <c r="VDP4" s="198"/>
      <c r="VDQ4" s="198"/>
      <c r="VDR4" s="198"/>
      <c r="VDS4" s="198"/>
      <c r="VDT4" s="198"/>
      <c r="VDU4" s="198"/>
      <c r="VDV4" s="198"/>
      <c r="VDW4" s="198"/>
      <c r="VDX4" s="198"/>
      <c r="VDY4" s="198"/>
      <c r="VDZ4" s="198"/>
      <c r="VEA4" s="198"/>
      <c r="VEB4" s="198"/>
      <c r="VEC4" s="198"/>
      <c r="VED4" s="198"/>
      <c r="VEE4" s="198"/>
      <c r="VEF4" s="198"/>
      <c r="VEG4" s="198"/>
      <c r="VEH4" s="198"/>
      <c r="VEI4" s="198"/>
      <c r="VEJ4" s="198"/>
      <c r="VEK4" s="198"/>
      <c r="VEL4" s="198"/>
      <c r="VEM4" s="198"/>
      <c r="VEN4" s="198"/>
      <c r="VEO4" s="198"/>
      <c r="VEP4" s="198"/>
      <c r="VEQ4" s="198"/>
      <c r="VER4" s="198"/>
      <c r="VES4" s="198"/>
      <c r="VET4" s="198"/>
      <c r="VEU4" s="198"/>
      <c r="VEV4" s="198"/>
      <c r="VEW4" s="198"/>
      <c r="VEX4" s="198"/>
      <c r="VEY4" s="198"/>
      <c r="VEZ4" s="198"/>
      <c r="VFA4" s="198"/>
      <c r="VFB4" s="198"/>
      <c r="VFC4" s="198"/>
      <c r="VFD4" s="198"/>
      <c r="VFE4" s="198"/>
      <c r="VFF4" s="198"/>
      <c r="VFG4" s="198"/>
      <c r="VFH4" s="198"/>
      <c r="VFI4" s="198"/>
      <c r="VFJ4" s="198"/>
      <c r="VFK4" s="198"/>
      <c r="VFL4" s="198"/>
      <c r="VFM4" s="198"/>
      <c r="VFN4" s="198"/>
      <c r="VFO4" s="198"/>
      <c r="VFP4" s="198"/>
      <c r="VFQ4" s="198"/>
      <c r="VFR4" s="198"/>
      <c r="VFS4" s="198"/>
      <c r="VFT4" s="198"/>
      <c r="VFU4" s="198"/>
      <c r="VFV4" s="198"/>
      <c r="VFW4" s="198"/>
      <c r="VFX4" s="198"/>
      <c r="VFY4" s="198"/>
      <c r="VFZ4" s="198"/>
      <c r="VGA4" s="198"/>
      <c r="VGB4" s="198"/>
      <c r="VGC4" s="198"/>
      <c r="VGD4" s="198"/>
      <c r="VGE4" s="198"/>
      <c r="VGF4" s="198"/>
      <c r="VGG4" s="198"/>
      <c r="VGH4" s="198"/>
      <c r="VGI4" s="198"/>
      <c r="VGJ4" s="198"/>
      <c r="VGK4" s="198"/>
      <c r="VGL4" s="198"/>
      <c r="VGM4" s="198"/>
      <c r="VGN4" s="198"/>
      <c r="VGO4" s="198"/>
      <c r="VGP4" s="198"/>
      <c r="VGQ4" s="198"/>
      <c r="VGR4" s="198"/>
      <c r="VGS4" s="198"/>
      <c r="VGT4" s="198"/>
      <c r="VGU4" s="198"/>
      <c r="VGV4" s="198"/>
      <c r="VGW4" s="198"/>
      <c r="VGX4" s="198"/>
      <c r="VGY4" s="198"/>
      <c r="VGZ4" s="198"/>
      <c r="VHA4" s="198"/>
      <c r="VHB4" s="198"/>
      <c r="VHC4" s="198"/>
      <c r="VHD4" s="198"/>
      <c r="VHE4" s="198"/>
      <c r="VHF4" s="198"/>
      <c r="VHG4" s="198"/>
      <c r="VHH4" s="198"/>
      <c r="VHI4" s="198"/>
      <c r="VHJ4" s="198"/>
      <c r="VHK4" s="198"/>
      <c r="VHL4" s="198"/>
      <c r="VHM4" s="198"/>
      <c r="VHN4" s="198"/>
      <c r="VHO4" s="198"/>
      <c r="VHP4" s="198"/>
      <c r="VHQ4" s="198"/>
      <c r="VHR4" s="198"/>
      <c r="VHS4" s="198"/>
      <c r="VHT4" s="198"/>
      <c r="VHU4" s="198"/>
      <c r="VHV4" s="198"/>
      <c r="VHW4" s="198"/>
      <c r="VHX4" s="198"/>
      <c r="VHY4" s="198"/>
      <c r="VHZ4" s="198"/>
      <c r="VIA4" s="198"/>
      <c r="VIB4" s="198"/>
      <c r="VIC4" s="198"/>
      <c r="VID4" s="198"/>
      <c r="VIE4" s="198"/>
      <c r="VIF4" s="198"/>
      <c r="VIG4" s="198"/>
      <c r="VIH4" s="198"/>
      <c r="VII4" s="198"/>
      <c r="VIJ4" s="198"/>
      <c r="VIK4" s="198"/>
      <c r="VIL4" s="198"/>
      <c r="VIM4" s="198"/>
      <c r="VIN4" s="198"/>
      <c r="VIO4" s="198"/>
      <c r="VIP4" s="198"/>
      <c r="VIQ4" s="198"/>
      <c r="VIR4" s="198"/>
      <c r="VIS4" s="198"/>
      <c r="VIT4" s="198"/>
      <c r="VIU4" s="198"/>
      <c r="VIV4" s="198"/>
      <c r="VIW4" s="198"/>
      <c r="VIX4" s="198"/>
      <c r="VIY4" s="198"/>
      <c r="VIZ4" s="198"/>
      <c r="VJA4" s="198"/>
      <c r="VJB4" s="198"/>
      <c r="VJC4" s="198"/>
      <c r="VJD4" s="198"/>
      <c r="VJE4" s="198"/>
      <c r="VJF4" s="198"/>
      <c r="VJG4" s="198"/>
      <c r="VJH4" s="198"/>
      <c r="VJI4" s="198"/>
      <c r="VJJ4" s="198"/>
      <c r="VJK4" s="198"/>
      <c r="VJL4" s="198"/>
      <c r="VJM4" s="198"/>
      <c r="VJN4" s="198"/>
      <c r="VJO4" s="198"/>
      <c r="VJP4" s="198"/>
      <c r="VJQ4" s="198"/>
      <c r="VJR4" s="198"/>
      <c r="VJS4" s="198"/>
      <c r="VJT4" s="198"/>
      <c r="VJU4" s="198"/>
      <c r="VJV4" s="198"/>
      <c r="VJW4" s="198"/>
      <c r="VJX4" s="198"/>
      <c r="VJY4" s="198"/>
      <c r="VJZ4" s="198"/>
      <c r="VKA4" s="198"/>
      <c r="VKB4" s="198"/>
      <c r="VKC4" s="198"/>
      <c r="VKD4" s="198"/>
      <c r="VKE4" s="198"/>
      <c r="VKF4" s="198"/>
      <c r="VKG4" s="198"/>
      <c r="VKH4" s="198"/>
      <c r="VKI4" s="198"/>
      <c r="VKJ4" s="198"/>
      <c r="VKK4" s="198"/>
      <c r="VKL4" s="198"/>
      <c r="VKM4" s="198"/>
      <c r="VKN4" s="198"/>
      <c r="VKO4" s="198"/>
      <c r="VKP4" s="198"/>
      <c r="VKQ4" s="198"/>
      <c r="VKR4" s="198"/>
      <c r="VKS4" s="198"/>
      <c r="VKT4" s="198"/>
      <c r="VKU4" s="198"/>
      <c r="VKV4" s="198"/>
      <c r="VKW4" s="198"/>
      <c r="VKX4" s="198"/>
      <c r="VKY4" s="198"/>
      <c r="VKZ4" s="198"/>
      <c r="VLA4" s="198"/>
      <c r="VLB4" s="198"/>
      <c r="VLC4" s="198"/>
      <c r="VLD4" s="198"/>
      <c r="VLE4" s="198"/>
      <c r="VLF4" s="198"/>
      <c r="VLG4" s="198"/>
      <c r="VLH4" s="198"/>
      <c r="VLI4" s="198"/>
      <c r="VLJ4" s="198"/>
      <c r="VLK4" s="198"/>
      <c r="VLL4" s="198"/>
      <c r="VLM4" s="198"/>
      <c r="VLN4" s="198"/>
      <c r="VLO4" s="198"/>
      <c r="VLP4" s="198"/>
      <c r="VLQ4" s="198"/>
      <c r="VLR4" s="198"/>
      <c r="VLS4" s="198"/>
      <c r="VLT4" s="198"/>
      <c r="VLU4" s="198"/>
      <c r="VLV4" s="198"/>
      <c r="VLW4" s="198"/>
      <c r="VLX4" s="198"/>
      <c r="VLY4" s="198"/>
      <c r="VLZ4" s="198"/>
      <c r="VMA4" s="198"/>
      <c r="VMB4" s="198"/>
      <c r="VMC4" s="198"/>
      <c r="VMD4" s="198"/>
      <c r="VME4" s="198"/>
      <c r="VMF4" s="198"/>
      <c r="VMG4" s="198"/>
      <c r="VMH4" s="198"/>
      <c r="VMI4" s="198"/>
      <c r="VMJ4" s="198"/>
      <c r="VMK4" s="198"/>
      <c r="VML4" s="198"/>
      <c r="VMM4" s="198"/>
      <c r="VMN4" s="198"/>
      <c r="VMO4" s="198"/>
      <c r="VMP4" s="198"/>
      <c r="VMQ4" s="198"/>
      <c r="VMR4" s="198"/>
      <c r="VMS4" s="198"/>
      <c r="VMT4" s="198"/>
      <c r="VMU4" s="198"/>
      <c r="VMV4" s="198"/>
      <c r="VMW4" s="198"/>
      <c r="VMX4" s="198"/>
      <c r="VMY4" s="198"/>
      <c r="VMZ4" s="198"/>
      <c r="VNA4" s="198"/>
      <c r="VNB4" s="198"/>
      <c r="VNC4" s="198"/>
      <c r="VND4" s="198"/>
      <c r="VNE4" s="198"/>
      <c r="VNF4" s="198"/>
      <c r="VNG4" s="198"/>
      <c r="VNH4" s="198"/>
      <c r="VNI4" s="198"/>
      <c r="VNJ4" s="198"/>
      <c r="VNK4" s="198"/>
      <c r="VNL4" s="198"/>
      <c r="VNM4" s="198"/>
      <c r="VNN4" s="198"/>
      <c r="VNO4" s="198"/>
      <c r="VNP4" s="198"/>
      <c r="VNQ4" s="198"/>
      <c r="VNR4" s="198"/>
      <c r="VNS4" s="198"/>
      <c r="VNT4" s="198"/>
      <c r="VNU4" s="198"/>
      <c r="VNV4" s="198"/>
      <c r="VNW4" s="198"/>
      <c r="VNX4" s="198"/>
      <c r="VNY4" s="198"/>
      <c r="VNZ4" s="198"/>
      <c r="VOA4" s="198"/>
      <c r="VOB4" s="198"/>
      <c r="VOC4" s="198"/>
      <c r="VOD4" s="198"/>
      <c r="VOE4" s="198"/>
      <c r="VOF4" s="198"/>
      <c r="VOG4" s="198"/>
      <c r="VOH4" s="198"/>
      <c r="VOI4" s="198"/>
      <c r="VOJ4" s="198"/>
      <c r="VOK4" s="198"/>
      <c r="VOL4" s="198"/>
      <c r="VOM4" s="198"/>
      <c r="VON4" s="198"/>
      <c r="VOO4" s="198"/>
      <c r="VOP4" s="198"/>
      <c r="VOQ4" s="198"/>
      <c r="VOR4" s="198"/>
      <c r="VOS4" s="198"/>
      <c r="VOT4" s="198"/>
      <c r="VOU4" s="198"/>
      <c r="VOV4" s="198"/>
      <c r="VOW4" s="198"/>
      <c r="VOX4" s="198"/>
      <c r="VOY4" s="198"/>
      <c r="VOZ4" s="198"/>
      <c r="VPA4" s="198"/>
      <c r="VPB4" s="198"/>
      <c r="VPC4" s="198"/>
      <c r="VPD4" s="198"/>
      <c r="VPE4" s="198"/>
      <c r="VPF4" s="198"/>
      <c r="VPG4" s="198"/>
      <c r="VPH4" s="198"/>
      <c r="VPI4" s="198"/>
      <c r="VPJ4" s="198"/>
      <c r="VPK4" s="198"/>
      <c r="VPL4" s="198"/>
      <c r="VPM4" s="198"/>
      <c r="VPN4" s="198"/>
      <c r="VPO4" s="198"/>
      <c r="VPP4" s="198"/>
      <c r="VPQ4" s="198"/>
      <c r="VPR4" s="198"/>
      <c r="VPS4" s="198"/>
      <c r="VPT4" s="198"/>
      <c r="VPU4" s="198"/>
      <c r="VPV4" s="198"/>
      <c r="VPW4" s="198"/>
      <c r="VPX4" s="198"/>
      <c r="VPY4" s="198"/>
      <c r="VPZ4" s="198"/>
      <c r="VQA4" s="198"/>
      <c r="VQB4" s="198"/>
      <c r="VQC4" s="198"/>
      <c r="VQD4" s="198"/>
      <c r="VQE4" s="198"/>
      <c r="VQF4" s="198"/>
      <c r="VQG4" s="198"/>
      <c r="VQH4" s="198"/>
      <c r="VQI4" s="198"/>
      <c r="VQJ4" s="198"/>
      <c r="VQK4" s="198"/>
      <c r="VQL4" s="198"/>
      <c r="VQM4" s="198"/>
      <c r="VQN4" s="198"/>
      <c r="VQO4" s="198"/>
      <c r="VQP4" s="198"/>
      <c r="VQQ4" s="198"/>
      <c r="VQR4" s="198"/>
      <c r="VQS4" s="198"/>
      <c r="VQT4" s="198"/>
      <c r="VQU4" s="198"/>
      <c r="VQV4" s="198"/>
      <c r="VQW4" s="198"/>
      <c r="VQX4" s="198"/>
      <c r="VQY4" s="198"/>
      <c r="VQZ4" s="198"/>
      <c r="VRA4" s="198"/>
      <c r="VRB4" s="198"/>
      <c r="VRC4" s="198"/>
      <c r="VRD4" s="198"/>
      <c r="VRE4" s="198"/>
      <c r="VRF4" s="198"/>
      <c r="VRG4" s="198"/>
      <c r="VRH4" s="198"/>
      <c r="VRI4" s="198"/>
      <c r="VRJ4" s="198"/>
      <c r="VRK4" s="198"/>
      <c r="VRL4" s="198"/>
      <c r="VRM4" s="198"/>
      <c r="VRN4" s="198"/>
      <c r="VRO4" s="198"/>
      <c r="VRP4" s="198"/>
      <c r="VRQ4" s="198"/>
      <c r="VRR4" s="198"/>
      <c r="VRS4" s="198"/>
      <c r="VRT4" s="198"/>
      <c r="VRU4" s="198"/>
      <c r="VRV4" s="198"/>
      <c r="VRW4" s="198"/>
      <c r="VRX4" s="198"/>
      <c r="VRY4" s="198"/>
      <c r="VRZ4" s="198"/>
      <c r="VSA4" s="198"/>
      <c r="VSB4" s="198"/>
      <c r="VSC4" s="198"/>
      <c r="VSD4" s="198"/>
      <c r="VSE4" s="198"/>
      <c r="VSF4" s="198"/>
      <c r="VSG4" s="198"/>
      <c r="VSH4" s="198"/>
      <c r="VSI4" s="198"/>
      <c r="VSJ4" s="198"/>
      <c r="VSK4" s="198"/>
      <c r="VSL4" s="198"/>
      <c r="VSM4" s="198"/>
      <c r="VSN4" s="198"/>
      <c r="VSO4" s="198"/>
      <c r="VSP4" s="198"/>
      <c r="VSQ4" s="198"/>
      <c r="VSR4" s="198"/>
      <c r="VSS4" s="198"/>
      <c r="VST4" s="198"/>
      <c r="VSU4" s="198"/>
      <c r="VSV4" s="198"/>
      <c r="VSW4" s="198"/>
      <c r="VSX4" s="198"/>
      <c r="VSY4" s="198"/>
      <c r="VSZ4" s="198"/>
      <c r="VTA4" s="198"/>
      <c r="VTB4" s="198"/>
      <c r="VTC4" s="198"/>
      <c r="VTD4" s="198"/>
      <c r="VTE4" s="198"/>
      <c r="VTF4" s="198"/>
      <c r="VTG4" s="198"/>
      <c r="VTH4" s="198"/>
      <c r="VTI4" s="198"/>
      <c r="VTJ4" s="198"/>
      <c r="VTK4" s="198"/>
      <c r="VTL4" s="198"/>
      <c r="VTM4" s="198"/>
      <c r="VTN4" s="198"/>
      <c r="VTO4" s="198"/>
      <c r="VTP4" s="198"/>
      <c r="VTQ4" s="198"/>
      <c r="VTR4" s="198"/>
      <c r="VTS4" s="198"/>
      <c r="VTT4" s="198"/>
      <c r="VTU4" s="198"/>
      <c r="VTV4" s="198"/>
      <c r="VTW4" s="198"/>
      <c r="VTX4" s="198"/>
      <c r="VTY4" s="198"/>
      <c r="VTZ4" s="198"/>
      <c r="VUA4" s="198"/>
      <c r="VUB4" s="198"/>
      <c r="VUC4" s="198"/>
      <c r="VUD4" s="198"/>
      <c r="VUE4" s="198"/>
      <c r="VUF4" s="198"/>
      <c r="VUG4" s="198"/>
      <c r="VUH4" s="198"/>
      <c r="VUI4" s="198"/>
      <c r="VUJ4" s="198"/>
      <c r="VUK4" s="198"/>
      <c r="VUL4" s="198"/>
      <c r="VUM4" s="198"/>
      <c r="VUN4" s="198"/>
      <c r="VUO4" s="198"/>
      <c r="VUP4" s="198"/>
      <c r="VUQ4" s="198"/>
      <c r="VUR4" s="198"/>
      <c r="VUS4" s="198"/>
      <c r="VUT4" s="198"/>
      <c r="VUU4" s="198"/>
      <c r="VUV4" s="198"/>
      <c r="VUW4" s="198"/>
      <c r="VUX4" s="198"/>
      <c r="VUY4" s="198"/>
      <c r="VUZ4" s="198"/>
      <c r="VVA4" s="198"/>
      <c r="VVB4" s="198"/>
      <c r="VVC4" s="198"/>
      <c r="VVD4" s="198"/>
      <c r="VVE4" s="198"/>
      <c r="VVF4" s="198"/>
      <c r="VVG4" s="198"/>
      <c r="VVH4" s="198"/>
      <c r="VVI4" s="198"/>
      <c r="VVJ4" s="198"/>
      <c r="VVK4" s="198"/>
      <c r="VVL4" s="198"/>
      <c r="VVM4" s="198"/>
      <c r="VVN4" s="198"/>
      <c r="VVO4" s="198"/>
      <c r="VVP4" s="198"/>
      <c r="VVQ4" s="198"/>
      <c r="VVR4" s="198"/>
      <c r="VVS4" s="198"/>
      <c r="VVT4" s="198"/>
      <c r="VVU4" s="198"/>
      <c r="VVV4" s="198"/>
      <c r="VVW4" s="198"/>
      <c r="VVX4" s="198"/>
      <c r="VVY4" s="198"/>
      <c r="VVZ4" s="198"/>
      <c r="VWA4" s="198"/>
      <c r="VWB4" s="198"/>
      <c r="VWC4" s="198"/>
      <c r="VWD4" s="198"/>
      <c r="VWE4" s="198"/>
      <c r="VWF4" s="198"/>
      <c r="VWG4" s="198"/>
      <c r="VWH4" s="198"/>
      <c r="VWI4" s="198"/>
      <c r="VWJ4" s="198"/>
      <c r="VWK4" s="198"/>
      <c r="VWL4" s="198"/>
      <c r="VWM4" s="198"/>
      <c r="VWN4" s="198"/>
      <c r="VWO4" s="198"/>
      <c r="VWP4" s="198"/>
      <c r="VWQ4" s="198"/>
      <c r="VWR4" s="198"/>
      <c r="VWS4" s="198"/>
      <c r="VWT4" s="198"/>
      <c r="VWU4" s="198"/>
      <c r="VWV4" s="198"/>
      <c r="VWW4" s="198"/>
      <c r="VWX4" s="198"/>
      <c r="VWY4" s="198"/>
      <c r="VWZ4" s="198"/>
      <c r="VXA4" s="198"/>
      <c r="VXB4" s="198"/>
      <c r="VXC4" s="198"/>
      <c r="VXD4" s="198"/>
      <c r="VXE4" s="198"/>
      <c r="VXF4" s="198"/>
      <c r="VXG4" s="198"/>
      <c r="VXH4" s="198"/>
      <c r="VXI4" s="198"/>
      <c r="VXJ4" s="198"/>
      <c r="VXK4" s="198"/>
      <c r="VXL4" s="198"/>
      <c r="VXM4" s="198"/>
      <c r="VXN4" s="198"/>
      <c r="VXO4" s="198"/>
      <c r="VXP4" s="198"/>
      <c r="VXQ4" s="198"/>
      <c r="VXR4" s="198"/>
      <c r="VXS4" s="198"/>
      <c r="VXT4" s="198"/>
      <c r="VXU4" s="198"/>
      <c r="VXV4" s="198"/>
      <c r="VXW4" s="198"/>
      <c r="VXX4" s="198"/>
      <c r="VXY4" s="198"/>
      <c r="VXZ4" s="198"/>
      <c r="VYA4" s="198"/>
      <c r="VYB4" s="198"/>
      <c r="VYC4" s="198"/>
      <c r="VYD4" s="198"/>
      <c r="VYE4" s="198"/>
      <c r="VYF4" s="198"/>
      <c r="VYG4" s="198"/>
      <c r="VYH4" s="198"/>
      <c r="VYI4" s="198"/>
      <c r="VYJ4" s="198"/>
      <c r="VYK4" s="198"/>
      <c r="VYL4" s="198"/>
      <c r="VYM4" s="198"/>
      <c r="VYN4" s="198"/>
      <c r="VYO4" s="198"/>
      <c r="VYP4" s="198"/>
      <c r="VYQ4" s="198"/>
      <c r="VYR4" s="198"/>
      <c r="VYS4" s="198"/>
      <c r="VYT4" s="198"/>
      <c r="VYU4" s="198"/>
      <c r="VYV4" s="198"/>
      <c r="VYW4" s="198"/>
      <c r="VYX4" s="198"/>
      <c r="VYY4" s="198"/>
      <c r="VYZ4" s="198"/>
      <c r="VZA4" s="198"/>
      <c r="VZB4" s="198"/>
      <c r="VZC4" s="198"/>
      <c r="VZD4" s="198"/>
      <c r="VZE4" s="198"/>
      <c r="VZF4" s="198"/>
      <c r="VZG4" s="198"/>
      <c r="VZH4" s="198"/>
      <c r="VZI4" s="198"/>
      <c r="VZJ4" s="198"/>
      <c r="VZK4" s="198"/>
      <c r="VZL4" s="198"/>
      <c r="VZM4" s="198"/>
      <c r="VZN4" s="198"/>
      <c r="VZO4" s="198"/>
      <c r="VZP4" s="198"/>
      <c r="VZQ4" s="198"/>
      <c r="VZR4" s="198"/>
      <c r="VZS4" s="198"/>
      <c r="VZT4" s="198"/>
      <c r="VZU4" s="198"/>
      <c r="VZV4" s="198"/>
      <c r="VZW4" s="198"/>
      <c r="VZX4" s="198"/>
      <c r="VZY4" s="198"/>
      <c r="VZZ4" s="198"/>
      <c r="WAA4" s="198"/>
      <c r="WAB4" s="198"/>
      <c r="WAC4" s="198"/>
      <c r="WAD4" s="198"/>
      <c r="WAE4" s="198"/>
      <c r="WAF4" s="198"/>
      <c r="WAG4" s="198"/>
      <c r="WAH4" s="198"/>
      <c r="WAI4" s="198"/>
      <c r="WAJ4" s="198"/>
      <c r="WAK4" s="198"/>
      <c r="WAL4" s="198"/>
      <c r="WAM4" s="198"/>
      <c r="WAN4" s="198"/>
      <c r="WAO4" s="198"/>
      <c r="WAP4" s="198"/>
      <c r="WAQ4" s="198"/>
      <c r="WAR4" s="198"/>
      <c r="WAS4" s="198"/>
      <c r="WAT4" s="198"/>
      <c r="WAU4" s="198"/>
      <c r="WAV4" s="198"/>
      <c r="WAW4" s="198"/>
      <c r="WAX4" s="198"/>
      <c r="WAY4" s="198"/>
      <c r="WAZ4" s="198"/>
      <c r="WBA4" s="198"/>
      <c r="WBB4" s="198"/>
      <c r="WBC4" s="198"/>
      <c r="WBD4" s="198"/>
      <c r="WBE4" s="198"/>
      <c r="WBF4" s="198"/>
      <c r="WBG4" s="198"/>
      <c r="WBH4" s="198"/>
      <c r="WBI4" s="198"/>
      <c r="WBJ4" s="198"/>
      <c r="WBK4" s="198"/>
      <c r="WBL4" s="198"/>
      <c r="WBM4" s="198"/>
      <c r="WBN4" s="198"/>
      <c r="WBO4" s="198"/>
      <c r="WBP4" s="198"/>
      <c r="WBQ4" s="198"/>
      <c r="WBR4" s="198"/>
      <c r="WBS4" s="198"/>
      <c r="WBT4" s="198"/>
      <c r="WBU4" s="198"/>
      <c r="WBV4" s="198"/>
      <c r="WBW4" s="198"/>
      <c r="WBX4" s="198"/>
      <c r="WBY4" s="198"/>
      <c r="WBZ4" s="198"/>
      <c r="WCA4" s="198"/>
      <c r="WCB4" s="198"/>
      <c r="WCC4" s="198"/>
      <c r="WCD4" s="198"/>
      <c r="WCE4" s="198"/>
      <c r="WCF4" s="198"/>
      <c r="WCG4" s="198"/>
      <c r="WCH4" s="198"/>
      <c r="WCI4" s="198"/>
      <c r="WCJ4" s="198"/>
      <c r="WCK4" s="198"/>
      <c r="WCL4" s="198"/>
      <c r="WCM4" s="198"/>
      <c r="WCN4" s="198"/>
      <c r="WCO4" s="198"/>
      <c r="WCP4" s="198"/>
      <c r="WCQ4" s="198"/>
      <c r="WCR4" s="198"/>
      <c r="WCS4" s="198"/>
      <c r="WCT4" s="198"/>
      <c r="WCU4" s="198"/>
      <c r="WCV4" s="198"/>
      <c r="WCW4" s="198"/>
      <c r="WCX4" s="198"/>
      <c r="WCY4" s="198"/>
      <c r="WCZ4" s="198"/>
      <c r="WDA4" s="198"/>
      <c r="WDB4" s="198"/>
      <c r="WDC4" s="198"/>
      <c r="WDD4" s="198"/>
      <c r="WDE4" s="198"/>
      <c r="WDF4" s="198"/>
      <c r="WDG4" s="198"/>
      <c r="WDH4" s="198"/>
      <c r="WDI4" s="198"/>
      <c r="WDJ4" s="198"/>
      <c r="WDK4" s="198"/>
      <c r="WDL4" s="198"/>
      <c r="WDM4" s="198"/>
      <c r="WDN4" s="198"/>
      <c r="WDO4" s="198"/>
      <c r="WDP4" s="198"/>
      <c r="WDQ4" s="198"/>
      <c r="WDR4" s="198"/>
      <c r="WDS4" s="198"/>
      <c r="WDT4" s="198"/>
      <c r="WDU4" s="198"/>
      <c r="WDV4" s="198"/>
      <c r="WDW4" s="198"/>
      <c r="WDX4" s="198"/>
      <c r="WDY4" s="198"/>
      <c r="WDZ4" s="198"/>
      <c r="WEA4" s="198"/>
      <c r="WEB4" s="198"/>
      <c r="WEC4" s="198"/>
      <c r="WED4" s="198"/>
      <c r="WEE4" s="198"/>
      <c r="WEF4" s="198"/>
      <c r="WEG4" s="198"/>
      <c r="WEH4" s="198"/>
      <c r="WEI4" s="198"/>
      <c r="WEJ4" s="198"/>
      <c r="WEK4" s="198"/>
      <c r="WEL4" s="198"/>
      <c r="WEM4" s="198"/>
      <c r="WEN4" s="198"/>
      <c r="WEO4" s="198"/>
      <c r="WEP4" s="198"/>
      <c r="WEQ4" s="198"/>
      <c r="WER4" s="198"/>
      <c r="WES4" s="198"/>
      <c r="WET4" s="198"/>
      <c r="WEU4" s="198"/>
      <c r="WEV4" s="198"/>
      <c r="WEW4" s="198"/>
      <c r="WEX4" s="198"/>
      <c r="WEY4" s="198"/>
      <c r="WEZ4" s="198"/>
      <c r="WFA4" s="198"/>
      <c r="WFB4" s="198"/>
      <c r="WFC4" s="198"/>
      <c r="WFD4" s="198"/>
      <c r="WFE4" s="198"/>
      <c r="WFF4" s="198"/>
      <c r="WFG4" s="198"/>
      <c r="WFH4" s="198"/>
      <c r="WFI4" s="198"/>
      <c r="WFJ4" s="198"/>
      <c r="WFK4" s="198"/>
      <c r="WFL4" s="198"/>
      <c r="WFM4" s="198"/>
      <c r="WFN4" s="198"/>
      <c r="WFO4" s="198"/>
      <c r="WFP4" s="198"/>
      <c r="WFQ4" s="198"/>
      <c r="WFR4" s="198"/>
      <c r="WFS4" s="198"/>
      <c r="WFT4" s="198"/>
      <c r="WFU4" s="198"/>
      <c r="WFV4" s="198"/>
      <c r="WFW4" s="198"/>
      <c r="WFX4" s="198"/>
      <c r="WFY4" s="198"/>
      <c r="WFZ4" s="198"/>
      <c r="WGA4" s="198"/>
      <c r="WGB4" s="198"/>
      <c r="WGC4" s="198"/>
      <c r="WGD4" s="198"/>
      <c r="WGE4" s="198"/>
      <c r="WGF4" s="198"/>
      <c r="WGG4" s="198"/>
      <c r="WGH4" s="198"/>
      <c r="WGI4" s="198"/>
      <c r="WGJ4" s="198"/>
      <c r="WGK4" s="198"/>
      <c r="WGL4" s="198"/>
      <c r="WGM4" s="198"/>
      <c r="WGN4" s="198"/>
      <c r="WGO4" s="198"/>
      <c r="WGP4" s="198"/>
      <c r="WGQ4" s="198"/>
      <c r="WGR4" s="198"/>
      <c r="WGS4" s="198"/>
      <c r="WGT4" s="198"/>
      <c r="WGU4" s="198"/>
      <c r="WGV4" s="198"/>
      <c r="WGW4" s="198"/>
      <c r="WGX4" s="198"/>
      <c r="WGY4" s="198"/>
      <c r="WGZ4" s="198"/>
      <c r="WHA4" s="198"/>
      <c r="WHB4" s="198"/>
      <c r="WHC4" s="198"/>
      <c r="WHD4" s="198"/>
      <c r="WHE4" s="198"/>
      <c r="WHF4" s="198"/>
      <c r="WHG4" s="198"/>
      <c r="WHH4" s="198"/>
      <c r="WHI4" s="198"/>
      <c r="WHJ4" s="198"/>
      <c r="WHK4" s="198"/>
      <c r="WHL4" s="198"/>
      <c r="WHM4" s="198"/>
      <c r="WHN4" s="198"/>
      <c r="WHO4" s="198"/>
      <c r="WHP4" s="198"/>
      <c r="WHQ4" s="198"/>
      <c r="WHR4" s="198"/>
      <c r="WHS4" s="198"/>
      <c r="WHT4" s="198"/>
      <c r="WHU4" s="198"/>
      <c r="WHV4" s="198"/>
      <c r="WHW4" s="198"/>
      <c r="WHX4" s="198"/>
      <c r="WHY4" s="198"/>
      <c r="WHZ4" s="198"/>
      <c r="WIA4" s="198"/>
      <c r="WIB4" s="198"/>
      <c r="WIC4" s="198"/>
      <c r="WID4" s="198"/>
      <c r="WIE4" s="198"/>
      <c r="WIF4" s="198"/>
      <c r="WIG4" s="198"/>
      <c r="WIH4" s="198"/>
      <c r="WII4" s="198"/>
      <c r="WIJ4" s="198"/>
      <c r="WIK4" s="198"/>
      <c r="WIL4" s="198"/>
      <c r="WIM4" s="198"/>
      <c r="WIN4" s="198"/>
      <c r="WIO4" s="198"/>
      <c r="WIP4" s="198"/>
      <c r="WIQ4" s="198"/>
      <c r="WIR4" s="198"/>
      <c r="WIS4" s="198"/>
      <c r="WIT4" s="198"/>
      <c r="WIU4" s="198"/>
      <c r="WIV4" s="198"/>
      <c r="WIW4" s="198"/>
      <c r="WIX4" s="198"/>
      <c r="WIY4" s="198"/>
      <c r="WIZ4" s="198"/>
      <c r="WJA4" s="198"/>
      <c r="WJB4" s="198"/>
      <c r="WJC4" s="198"/>
      <c r="WJD4" s="198"/>
      <c r="WJE4" s="198"/>
      <c r="WJF4" s="198"/>
      <c r="WJG4" s="198"/>
      <c r="WJH4" s="198"/>
      <c r="WJI4" s="198"/>
      <c r="WJJ4" s="198"/>
      <c r="WJK4" s="198"/>
      <c r="WJL4" s="198"/>
      <c r="WJM4" s="198"/>
      <c r="WJN4" s="198"/>
      <c r="WJO4" s="198"/>
      <c r="WJP4" s="198"/>
      <c r="WJQ4" s="198"/>
      <c r="WJR4" s="198"/>
      <c r="WJS4" s="198"/>
      <c r="WJT4" s="198"/>
      <c r="WJU4" s="198"/>
      <c r="WJV4" s="198"/>
      <c r="WJW4" s="198"/>
      <c r="WJX4" s="198"/>
      <c r="WJY4" s="198"/>
      <c r="WJZ4" s="198"/>
      <c r="WKA4" s="198"/>
      <c r="WKB4" s="198"/>
      <c r="WKC4" s="198"/>
      <c r="WKD4" s="198"/>
      <c r="WKE4" s="198"/>
      <c r="WKF4" s="198"/>
      <c r="WKG4" s="198"/>
      <c r="WKH4" s="198"/>
      <c r="WKI4" s="198"/>
      <c r="WKJ4" s="198"/>
      <c r="WKK4" s="198"/>
      <c r="WKL4" s="198"/>
      <c r="WKM4" s="198"/>
      <c r="WKN4" s="198"/>
      <c r="WKO4" s="198"/>
      <c r="WKP4" s="198"/>
      <c r="WKQ4" s="198"/>
      <c r="WKR4" s="198"/>
      <c r="WKS4" s="198"/>
      <c r="WKT4" s="198"/>
      <c r="WKU4" s="198"/>
      <c r="WKV4" s="198"/>
      <c r="WKW4" s="198"/>
      <c r="WKX4" s="198"/>
      <c r="WKY4" s="198"/>
      <c r="WKZ4" s="198"/>
      <c r="WLA4" s="198"/>
      <c r="WLB4" s="198"/>
      <c r="WLC4" s="198"/>
      <c r="WLD4" s="198"/>
      <c r="WLE4" s="198"/>
      <c r="WLF4" s="198"/>
      <c r="WLG4" s="198"/>
      <c r="WLH4" s="198"/>
      <c r="WLI4" s="198"/>
      <c r="WLJ4" s="198"/>
      <c r="WLK4" s="198"/>
      <c r="WLL4" s="198"/>
      <c r="WLM4" s="198"/>
      <c r="WLN4" s="198"/>
      <c r="WLO4" s="198"/>
      <c r="WLP4" s="198"/>
      <c r="WLQ4" s="198"/>
      <c r="WLR4" s="198"/>
      <c r="WLS4" s="198"/>
      <c r="WLT4" s="198"/>
      <c r="WLU4" s="198"/>
      <c r="WLV4" s="198"/>
      <c r="WLW4" s="198"/>
      <c r="WLX4" s="198"/>
      <c r="WLY4" s="198"/>
      <c r="WLZ4" s="198"/>
      <c r="WMA4" s="198"/>
      <c r="WMB4" s="198"/>
      <c r="WMC4" s="198"/>
      <c r="WMD4" s="198"/>
      <c r="WME4" s="198"/>
      <c r="WMF4" s="198"/>
      <c r="WMG4" s="198"/>
      <c r="WMH4" s="198"/>
      <c r="WMI4" s="198"/>
      <c r="WMJ4" s="198"/>
      <c r="WMK4" s="198"/>
      <c r="WML4" s="198"/>
      <c r="WMM4" s="198"/>
      <c r="WMN4" s="198"/>
      <c r="WMO4" s="198"/>
      <c r="WMP4" s="198"/>
      <c r="WMQ4" s="198"/>
      <c r="WMR4" s="198"/>
      <c r="WMS4" s="198"/>
      <c r="WMT4" s="198"/>
      <c r="WMU4" s="198"/>
      <c r="WMV4" s="198"/>
      <c r="WMW4" s="198"/>
      <c r="WMX4" s="198"/>
      <c r="WMY4" s="198"/>
      <c r="WMZ4" s="198"/>
      <c r="WNA4" s="198"/>
      <c r="WNB4" s="198"/>
      <c r="WNC4" s="198"/>
      <c r="WND4" s="198"/>
      <c r="WNE4" s="198"/>
      <c r="WNF4" s="198"/>
      <c r="WNG4" s="198"/>
      <c r="WNH4" s="198"/>
      <c r="WNI4" s="198"/>
      <c r="WNJ4" s="198"/>
      <c r="WNK4" s="198"/>
      <c r="WNL4" s="198"/>
      <c r="WNM4" s="198"/>
      <c r="WNN4" s="198"/>
      <c r="WNO4" s="198"/>
      <c r="WNP4" s="198"/>
      <c r="WNQ4" s="198"/>
      <c r="WNR4" s="198"/>
      <c r="WNS4" s="198"/>
      <c r="WNT4" s="198"/>
      <c r="WNU4" s="198"/>
      <c r="WNV4" s="198"/>
      <c r="WNW4" s="198"/>
      <c r="WNX4" s="198"/>
      <c r="WNY4" s="198"/>
      <c r="WNZ4" s="198"/>
      <c r="WOA4" s="198"/>
      <c r="WOB4" s="198"/>
      <c r="WOC4" s="198"/>
      <c r="WOD4" s="198"/>
      <c r="WOE4" s="198"/>
      <c r="WOF4" s="198"/>
      <c r="WOG4" s="198"/>
      <c r="WOH4" s="198"/>
      <c r="WOI4" s="198"/>
      <c r="WOJ4" s="198"/>
      <c r="WOK4" s="198"/>
      <c r="WOL4" s="198"/>
      <c r="WOM4" s="198"/>
      <c r="WON4" s="198"/>
      <c r="WOO4" s="198"/>
      <c r="WOP4" s="198"/>
      <c r="WOQ4" s="198"/>
      <c r="WOR4" s="198"/>
      <c r="WOS4" s="198"/>
      <c r="WOT4" s="198"/>
      <c r="WOU4" s="198"/>
      <c r="WOV4" s="198"/>
      <c r="WOW4" s="198"/>
      <c r="WOX4" s="198"/>
      <c r="WOY4" s="198"/>
      <c r="WOZ4" s="198"/>
      <c r="WPA4" s="198"/>
      <c r="WPB4" s="198"/>
      <c r="WPC4" s="198"/>
      <c r="WPD4" s="198"/>
      <c r="WPE4" s="198"/>
      <c r="WPF4" s="198"/>
      <c r="WPG4" s="198"/>
      <c r="WPH4" s="198"/>
      <c r="WPI4" s="198"/>
      <c r="WPJ4" s="198"/>
      <c r="WPK4" s="198"/>
      <c r="WPL4" s="198"/>
      <c r="WPM4" s="198"/>
      <c r="WPN4" s="198"/>
      <c r="WPO4" s="198"/>
      <c r="WPP4" s="198"/>
      <c r="WPQ4" s="198"/>
      <c r="WPR4" s="198"/>
      <c r="WPS4" s="198"/>
      <c r="WPT4" s="198"/>
      <c r="WPU4" s="198"/>
      <c r="WPV4" s="198"/>
      <c r="WPW4" s="198"/>
      <c r="WPX4" s="198"/>
      <c r="WPY4" s="198"/>
      <c r="WPZ4" s="198"/>
      <c r="WQA4" s="198"/>
      <c r="WQB4" s="198"/>
      <c r="WQC4" s="198"/>
      <c r="WQD4" s="198"/>
      <c r="WQE4" s="198"/>
      <c r="WQF4" s="198"/>
      <c r="WQG4" s="198"/>
      <c r="WQH4" s="198"/>
      <c r="WQI4" s="198"/>
      <c r="WQJ4" s="198"/>
      <c r="WQK4" s="198"/>
      <c r="WQL4" s="198"/>
      <c r="WQM4" s="198"/>
      <c r="WQN4" s="198"/>
      <c r="WQO4" s="198"/>
      <c r="WQP4" s="198"/>
      <c r="WQQ4" s="198"/>
      <c r="WQR4" s="198"/>
      <c r="WQS4" s="198"/>
      <c r="WQT4" s="198"/>
      <c r="WQU4" s="198"/>
      <c r="WQV4" s="198"/>
      <c r="WQW4" s="198"/>
      <c r="WQX4" s="198"/>
      <c r="WQY4" s="198"/>
      <c r="WQZ4" s="198"/>
      <c r="WRA4" s="198"/>
      <c r="WRB4" s="198"/>
      <c r="WRC4" s="198"/>
      <c r="WRD4" s="198"/>
      <c r="WRE4" s="198"/>
      <c r="WRF4" s="198"/>
      <c r="WRG4" s="198"/>
      <c r="WRH4" s="198"/>
      <c r="WRI4" s="198"/>
      <c r="WRJ4" s="198"/>
      <c r="WRK4" s="198"/>
      <c r="WRL4" s="198"/>
      <c r="WRM4" s="198"/>
      <c r="WRN4" s="198"/>
      <c r="WRO4" s="198"/>
      <c r="WRP4" s="198"/>
      <c r="WRQ4" s="198"/>
      <c r="WRR4" s="198"/>
      <c r="WRS4" s="198"/>
      <c r="WRT4" s="198"/>
      <c r="WRU4" s="198"/>
      <c r="WRV4" s="198"/>
      <c r="WRW4" s="198"/>
      <c r="WRX4" s="198"/>
      <c r="WRY4" s="198"/>
      <c r="WRZ4" s="198"/>
      <c r="WSA4" s="198"/>
      <c r="WSB4" s="198"/>
      <c r="WSC4" s="198"/>
      <c r="WSD4" s="198"/>
      <c r="WSE4" s="198"/>
      <c r="WSF4" s="198"/>
      <c r="WSG4" s="198"/>
      <c r="WSH4" s="198"/>
      <c r="WSI4" s="198"/>
      <c r="WSJ4" s="198"/>
      <c r="WSK4" s="198"/>
      <c r="WSL4" s="198"/>
      <c r="WSM4" s="198"/>
      <c r="WSN4" s="198"/>
      <c r="WSO4" s="198"/>
      <c r="WSP4" s="198"/>
      <c r="WSQ4" s="198"/>
      <c r="WSR4" s="198"/>
      <c r="WSS4" s="198"/>
      <c r="WST4" s="198"/>
      <c r="WSU4" s="198"/>
      <c r="WSV4" s="198"/>
      <c r="WSW4" s="198"/>
      <c r="WSX4" s="198"/>
      <c r="WSY4" s="198"/>
      <c r="WSZ4" s="198"/>
      <c r="WTA4" s="198"/>
      <c r="WTB4" s="198"/>
      <c r="WTC4" s="198"/>
      <c r="WTD4" s="198"/>
      <c r="WTE4" s="198"/>
      <c r="WTF4" s="198"/>
      <c r="WTG4" s="198"/>
      <c r="WTH4" s="198"/>
      <c r="WTI4" s="198"/>
      <c r="WTJ4" s="198"/>
      <c r="WTK4" s="198"/>
      <c r="WTL4" s="198"/>
      <c r="WTM4" s="198"/>
      <c r="WTN4" s="198"/>
      <c r="WTO4" s="198"/>
      <c r="WTP4" s="198"/>
      <c r="WTQ4" s="198"/>
      <c r="WTR4" s="198"/>
      <c r="WTS4" s="198"/>
      <c r="WTT4" s="198"/>
      <c r="WTU4" s="198"/>
      <c r="WTV4" s="198"/>
      <c r="WTW4" s="198"/>
      <c r="WTX4" s="198"/>
      <c r="WTY4" s="198"/>
      <c r="WTZ4" s="198"/>
      <c r="WUA4" s="198"/>
      <c r="WUB4" s="198"/>
      <c r="WUC4" s="198"/>
      <c r="WUD4" s="198"/>
      <c r="WUE4" s="198"/>
      <c r="WUF4" s="198"/>
      <c r="WUG4" s="198"/>
      <c r="WUH4" s="198"/>
      <c r="WUI4" s="198"/>
      <c r="WUJ4" s="198"/>
      <c r="WUK4" s="198"/>
      <c r="WUL4" s="198"/>
      <c r="WUM4" s="198"/>
      <c r="WUN4" s="198"/>
      <c r="WUO4" s="198"/>
      <c r="WUP4" s="198"/>
      <c r="WUQ4" s="198"/>
      <c r="WUR4" s="198"/>
      <c r="WUS4" s="198"/>
      <c r="WUT4" s="198"/>
      <c r="WUU4" s="198"/>
      <c r="WUV4" s="198"/>
      <c r="WUW4" s="198"/>
      <c r="WUX4" s="198"/>
      <c r="WUY4" s="198"/>
      <c r="WUZ4" s="198"/>
      <c r="WVA4" s="198"/>
      <c r="WVB4" s="198"/>
      <c r="WVC4" s="198"/>
      <c r="WVD4" s="198"/>
      <c r="WVE4" s="198"/>
      <c r="WVF4" s="198"/>
      <c r="WVG4" s="198"/>
      <c r="WVH4" s="198"/>
      <c r="WVI4" s="198"/>
      <c r="WVJ4" s="198"/>
      <c r="WVK4" s="198"/>
      <c r="WVL4" s="198"/>
      <c r="WVM4" s="198"/>
      <c r="WVN4" s="198"/>
      <c r="WVO4" s="198"/>
      <c r="WVP4" s="198"/>
      <c r="WVQ4" s="198"/>
      <c r="WVR4" s="198"/>
      <c r="WVS4" s="198"/>
      <c r="WVT4" s="198"/>
      <c r="WVU4" s="198"/>
      <c r="WVV4" s="198"/>
      <c r="WVW4" s="198"/>
      <c r="WVX4" s="198"/>
      <c r="WVY4" s="198"/>
      <c r="WVZ4" s="198"/>
      <c r="WWA4" s="198"/>
      <c r="WWB4" s="198"/>
      <c r="WWC4" s="198"/>
      <c r="WWD4" s="198"/>
      <c r="WWE4" s="198"/>
      <c r="WWF4" s="198"/>
      <c r="WWG4" s="198"/>
      <c r="WWH4" s="198"/>
      <c r="WWI4" s="198"/>
      <c r="WWJ4" s="198"/>
      <c r="WWK4" s="198"/>
      <c r="WWL4" s="198"/>
      <c r="WWM4" s="198"/>
      <c r="WWN4" s="198"/>
      <c r="WWO4" s="198"/>
      <c r="WWP4" s="198"/>
      <c r="WWQ4" s="198"/>
      <c r="WWR4" s="198"/>
      <c r="WWS4" s="198"/>
      <c r="WWT4" s="198"/>
      <c r="WWU4" s="198"/>
      <c r="WWV4" s="198"/>
      <c r="WWW4" s="198"/>
      <c r="WWX4" s="198"/>
      <c r="WWY4" s="198"/>
      <c r="WWZ4" s="198"/>
      <c r="WXA4" s="198"/>
      <c r="WXB4" s="198"/>
      <c r="WXC4" s="198"/>
      <c r="WXD4" s="198"/>
      <c r="WXE4" s="198"/>
      <c r="WXF4" s="198"/>
      <c r="WXG4" s="198"/>
      <c r="WXH4" s="198"/>
      <c r="WXI4" s="198"/>
      <c r="WXJ4" s="198"/>
      <c r="WXK4" s="198"/>
      <c r="WXL4" s="198"/>
      <c r="WXM4" s="198"/>
      <c r="WXN4" s="198"/>
      <c r="WXO4" s="198"/>
      <c r="WXP4" s="198"/>
      <c r="WXQ4" s="198"/>
      <c r="WXR4" s="198"/>
      <c r="WXS4" s="198"/>
      <c r="WXT4" s="198"/>
      <c r="WXU4" s="198"/>
      <c r="WXV4" s="198"/>
      <c r="WXW4" s="198"/>
      <c r="WXX4" s="198"/>
      <c r="WXY4" s="198"/>
      <c r="WXZ4" s="198"/>
      <c r="WYA4" s="198"/>
      <c r="WYB4" s="198"/>
      <c r="WYC4" s="198"/>
      <c r="WYD4" s="198"/>
      <c r="WYE4" s="198"/>
      <c r="WYF4" s="198"/>
      <c r="WYG4" s="198"/>
      <c r="WYH4" s="198"/>
      <c r="WYI4" s="198"/>
      <c r="WYJ4" s="198"/>
      <c r="WYK4" s="198"/>
      <c r="WYL4" s="198"/>
      <c r="WYM4" s="198"/>
      <c r="WYN4" s="198"/>
      <c r="WYO4" s="198"/>
      <c r="WYP4" s="198"/>
      <c r="WYQ4" s="198"/>
      <c r="WYR4" s="198"/>
      <c r="WYS4" s="198"/>
      <c r="WYT4" s="198"/>
      <c r="WYU4" s="198"/>
      <c r="WYV4" s="198"/>
      <c r="WYW4" s="198"/>
      <c r="WYX4" s="198"/>
      <c r="WYY4" s="198"/>
      <c r="WYZ4" s="198"/>
      <c r="WZA4" s="198"/>
      <c r="WZB4" s="198"/>
      <c r="WZC4" s="198"/>
      <c r="WZD4" s="198"/>
      <c r="WZE4" s="198"/>
      <c r="WZF4" s="198"/>
      <c r="WZG4" s="198"/>
      <c r="WZH4" s="198"/>
      <c r="WZI4" s="198"/>
      <c r="WZJ4" s="198"/>
      <c r="WZK4" s="198"/>
      <c r="WZL4" s="198"/>
      <c r="WZM4" s="198"/>
      <c r="WZN4" s="198"/>
      <c r="WZO4" s="198"/>
      <c r="WZP4" s="198"/>
      <c r="WZQ4" s="198"/>
      <c r="WZR4" s="198"/>
      <c r="WZS4" s="198"/>
      <c r="WZT4" s="198"/>
      <c r="WZU4" s="198"/>
      <c r="WZV4" s="198"/>
      <c r="WZW4" s="198"/>
      <c r="WZX4" s="198"/>
      <c r="WZY4" s="198"/>
      <c r="WZZ4" s="198"/>
      <c r="XAA4" s="198"/>
      <c r="XAB4" s="198"/>
      <c r="XAC4" s="198"/>
      <c r="XAD4" s="198"/>
      <c r="XAE4" s="198"/>
      <c r="XAF4" s="198"/>
      <c r="XAG4" s="198"/>
      <c r="XAH4" s="198"/>
      <c r="XAI4" s="198"/>
      <c r="XAJ4" s="198"/>
      <c r="XAK4" s="198"/>
      <c r="XAL4" s="198"/>
      <c r="XAM4" s="198"/>
      <c r="XAN4" s="198"/>
      <c r="XAO4" s="198"/>
      <c r="XAP4" s="198"/>
      <c r="XAQ4" s="198"/>
      <c r="XAR4" s="198"/>
      <c r="XAS4" s="198"/>
      <c r="XAT4" s="198"/>
      <c r="XAU4" s="198"/>
      <c r="XAV4" s="198"/>
      <c r="XAW4" s="198"/>
      <c r="XAX4" s="198"/>
      <c r="XAY4" s="198"/>
      <c r="XAZ4" s="198"/>
      <c r="XBA4" s="198"/>
      <c r="XBB4" s="198"/>
      <c r="XBC4" s="198"/>
      <c r="XBD4" s="198"/>
      <c r="XBE4" s="198"/>
      <c r="XBF4" s="198"/>
      <c r="XBG4" s="198"/>
      <c r="XBH4" s="198"/>
      <c r="XBI4" s="198"/>
      <c r="XBJ4" s="198"/>
      <c r="XBK4" s="198"/>
      <c r="XBL4" s="198"/>
      <c r="XBM4" s="198"/>
      <c r="XBN4" s="198"/>
      <c r="XBO4" s="198"/>
      <c r="XBP4" s="198"/>
      <c r="XBQ4" s="198"/>
      <c r="XBR4" s="198"/>
      <c r="XBS4" s="198"/>
      <c r="XBT4" s="198"/>
      <c r="XBU4" s="198"/>
      <c r="XBV4" s="198"/>
      <c r="XBW4" s="198"/>
      <c r="XBX4" s="198"/>
      <c r="XBY4" s="198"/>
      <c r="XBZ4" s="198"/>
      <c r="XCA4" s="198"/>
      <c r="XCB4" s="198"/>
      <c r="XCC4" s="198"/>
      <c r="XCD4" s="198"/>
      <c r="XCE4" s="198"/>
      <c r="XCF4" s="198"/>
      <c r="XCG4" s="198"/>
      <c r="XCH4" s="198"/>
      <c r="XCI4" s="198"/>
      <c r="XCJ4" s="198"/>
      <c r="XCK4" s="198"/>
      <c r="XCL4" s="198"/>
      <c r="XCM4" s="198"/>
      <c r="XCN4" s="198"/>
      <c r="XCO4" s="198"/>
      <c r="XCP4" s="198"/>
      <c r="XCQ4" s="198"/>
      <c r="XCR4" s="198"/>
      <c r="XCS4" s="198"/>
      <c r="XCT4" s="198"/>
      <c r="XCU4" s="198"/>
      <c r="XCV4" s="198"/>
      <c r="XCW4" s="198"/>
      <c r="XCX4" s="198"/>
      <c r="XCY4" s="198"/>
      <c r="XCZ4" s="198"/>
      <c r="XDA4" s="198"/>
      <c r="XDB4" s="198"/>
      <c r="XDC4" s="198"/>
      <c r="XDD4" s="198"/>
      <c r="XDE4" s="198"/>
      <c r="XDF4" s="198"/>
      <c r="XDG4" s="198"/>
      <c r="XDH4" s="198"/>
      <c r="XDI4" s="198"/>
      <c r="XDJ4" s="198"/>
      <c r="XDK4" s="198"/>
      <c r="XDL4" s="198"/>
      <c r="XDM4" s="198"/>
      <c r="XDN4" s="198"/>
      <c r="XDO4" s="198"/>
      <c r="XDP4" s="198"/>
      <c r="XDQ4" s="198"/>
      <c r="XDR4" s="198"/>
      <c r="XDS4" s="198"/>
      <c r="XDT4" s="198"/>
      <c r="XDU4" s="198"/>
      <c r="XDV4" s="198"/>
      <c r="XDW4" s="198"/>
      <c r="XDX4" s="198"/>
      <c r="XDY4" s="198"/>
      <c r="XDZ4" s="198"/>
      <c r="XEA4" s="198"/>
      <c r="XEB4" s="198"/>
      <c r="XEC4" s="198"/>
      <c r="XED4" s="198"/>
      <c r="XEE4" s="198"/>
      <c r="XEF4" s="198"/>
      <c r="XEG4" s="198"/>
      <c r="XEH4" s="198"/>
      <c r="XEI4" s="198"/>
      <c r="XEJ4" s="198"/>
      <c r="XEK4" s="198"/>
      <c r="XEL4" s="198"/>
      <c r="XEM4" s="198"/>
      <c r="XEN4" s="198"/>
      <c r="XEO4" s="198"/>
      <c r="XEP4" s="198"/>
      <c r="XEQ4" s="198"/>
      <c r="XER4" s="198"/>
      <c r="XES4" s="198"/>
      <c r="XET4" s="198"/>
      <c r="XEU4" s="198"/>
    </row>
    <row r="5" spans="1:16375" ht="1.5" customHeight="1">
      <c r="A5" s="16"/>
      <c r="B5" s="16"/>
      <c r="C5" s="16"/>
      <c r="D5" s="21"/>
      <c r="E5" s="198"/>
      <c r="F5" s="16"/>
      <c r="G5" s="21"/>
    </row>
    <row r="6" spans="1:16375" ht="21" customHeight="1">
      <c r="A6" s="16"/>
      <c r="B6" s="577" t="s">
        <v>121</v>
      </c>
      <c r="C6" s="578"/>
      <c r="D6" s="579"/>
      <c r="E6" s="198"/>
      <c r="F6" s="191" t="s">
        <v>122</v>
      </c>
    </row>
    <row r="7" spans="1:16375" ht="109.5" customHeight="1">
      <c r="A7" s="16"/>
      <c r="B7" s="36"/>
      <c r="C7" s="575" t="s">
        <v>123</v>
      </c>
      <c r="D7" s="576"/>
      <c r="E7" s="198"/>
      <c r="F7" s="572" t="s">
        <v>124</v>
      </c>
      <c r="G7" s="16"/>
    </row>
    <row r="8" spans="1:16375" ht="10.5" customHeight="1">
      <c r="A8" s="16"/>
      <c r="B8" s="192"/>
      <c r="C8" s="193"/>
      <c r="D8" s="193"/>
      <c r="E8" s="198"/>
      <c r="F8" s="573"/>
      <c r="G8" s="16"/>
    </row>
    <row r="9" spans="1:16375" ht="77.25" customHeight="1">
      <c r="A9" s="16"/>
      <c r="B9" s="194"/>
      <c r="C9" s="580" t="s">
        <v>125</v>
      </c>
      <c r="D9" s="581"/>
      <c r="E9" s="198"/>
      <c r="F9" s="574"/>
      <c r="G9" s="16"/>
    </row>
    <row r="10" spans="1:16375" ht="11.1" customHeight="1">
      <c r="A10" s="16"/>
      <c r="B10" s="16"/>
      <c r="C10" s="16"/>
      <c r="D10" s="16"/>
      <c r="E10" s="198"/>
      <c r="F10" s="192"/>
      <c r="G10" s="16"/>
    </row>
    <row r="11" spans="1:16375" ht="72.75" customHeight="1">
      <c r="A11" s="16"/>
      <c r="B11" s="36"/>
      <c r="C11" s="582" t="s">
        <v>126</v>
      </c>
      <c r="D11" s="576"/>
      <c r="E11" s="198"/>
      <c r="F11" s="584" t="s">
        <v>127</v>
      </c>
      <c r="G11" s="192"/>
    </row>
    <row r="12" spans="1:16375" ht="11.1" customHeight="1">
      <c r="A12" s="16"/>
      <c r="B12" s="16"/>
      <c r="C12" s="16"/>
      <c r="D12" s="16"/>
      <c r="E12" s="16"/>
      <c r="F12" s="585"/>
      <c r="G12" s="16"/>
    </row>
    <row r="13" spans="1:16375" ht="64.5" customHeight="1">
      <c r="A13" s="16"/>
      <c r="B13" s="36"/>
      <c r="C13" s="575" t="s">
        <v>128</v>
      </c>
      <c r="D13" s="576"/>
      <c r="E13" s="198"/>
      <c r="F13" s="585"/>
      <c r="G13" s="193"/>
    </row>
    <row r="14" spans="1:16375" ht="11.1" customHeight="1">
      <c r="A14" s="16"/>
      <c r="B14" s="16"/>
      <c r="C14" s="16"/>
      <c r="D14" s="16"/>
      <c r="E14" s="198"/>
      <c r="F14" s="585"/>
      <c r="G14" s="16"/>
    </row>
    <row r="15" spans="1:16375" ht="78.75" customHeight="1">
      <c r="A15" s="16"/>
      <c r="B15" s="36"/>
      <c r="C15" s="575" t="s">
        <v>129</v>
      </c>
      <c r="D15" s="576"/>
      <c r="E15" s="198"/>
      <c r="F15" s="585"/>
      <c r="G15" s="193"/>
    </row>
    <row r="16" spans="1:16375" ht="11.1" customHeight="1">
      <c r="A16" s="16"/>
      <c r="B16" s="16"/>
      <c r="C16" s="16"/>
      <c r="D16" s="16"/>
      <c r="E16" s="198"/>
      <c r="F16" s="585"/>
      <c r="G16" s="16"/>
    </row>
    <row r="17" spans="1:7" ht="81.75" customHeight="1">
      <c r="A17" s="16"/>
      <c r="B17" s="36"/>
      <c r="C17" s="575" t="s">
        <v>130</v>
      </c>
      <c r="D17" s="576"/>
      <c r="E17" s="198"/>
      <c r="F17" s="586"/>
      <c r="G17" s="193"/>
    </row>
    <row r="18" spans="1:7" ht="11.1" customHeight="1">
      <c r="A18" s="16"/>
      <c r="B18" s="16"/>
      <c r="C18" s="16"/>
      <c r="D18" s="16"/>
      <c r="E18" s="198"/>
      <c r="F18" s="195"/>
      <c r="G18" s="16"/>
    </row>
    <row r="19" spans="1:7" ht="50.25" customHeight="1">
      <c r="A19" s="16"/>
      <c r="B19" s="196"/>
      <c r="C19" s="568" t="s">
        <v>131</v>
      </c>
      <c r="D19" s="568"/>
      <c r="E19" s="568"/>
      <c r="F19" s="569"/>
      <c r="G19" s="193"/>
    </row>
    <row r="20" spans="1:7" ht="11.1" customHeight="1">
      <c r="A20" s="16"/>
      <c r="B20" s="16"/>
      <c r="C20" s="16"/>
      <c r="E20" s="198"/>
      <c r="F20" s="195"/>
      <c r="G20" s="16"/>
    </row>
    <row r="21" spans="1:7" ht="155.25" customHeight="1">
      <c r="A21" s="16"/>
      <c r="B21" s="36"/>
      <c r="C21" s="575" t="s">
        <v>132</v>
      </c>
      <c r="D21" s="575"/>
      <c r="E21" s="575"/>
      <c r="F21" s="576"/>
      <c r="G21" s="193"/>
    </row>
    <row r="22" spans="1:7" ht="11.1" customHeight="1">
      <c r="A22" s="16"/>
      <c r="B22" s="16"/>
      <c r="C22" s="16"/>
      <c r="E22" s="198"/>
      <c r="F22" s="193"/>
      <c r="G22" s="193"/>
    </row>
    <row r="23" spans="1:7" ht="65.25" customHeight="1">
      <c r="A23" s="16"/>
      <c r="B23" s="36"/>
      <c r="C23" s="582" t="s">
        <v>133</v>
      </c>
      <c r="D23" s="575"/>
      <c r="E23" s="575"/>
      <c r="F23" s="576"/>
      <c r="G23" s="193"/>
    </row>
    <row r="24" spans="1:7" ht="11.1" customHeight="1">
      <c r="A24" s="16"/>
      <c r="B24" s="16"/>
      <c r="C24" s="16"/>
      <c r="E24" s="198"/>
      <c r="F24" s="193"/>
      <c r="G24" s="193"/>
    </row>
    <row r="25" spans="1:7" ht="39.950000000000003" customHeight="1">
      <c r="A25" s="16"/>
      <c r="B25" s="36"/>
      <c r="C25" s="575" t="s">
        <v>134</v>
      </c>
      <c r="D25" s="575"/>
      <c r="E25" s="575"/>
      <c r="F25" s="576"/>
      <c r="G25" s="193"/>
    </row>
    <row r="26" spans="1:7" ht="11.1" customHeight="1">
      <c r="A26" s="16"/>
      <c r="B26" s="16"/>
      <c r="C26" s="16"/>
      <c r="E26" s="198"/>
      <c r="F26" s="193"/>
      <c r="G26" s="193"/>
    </row>
    <row r="27" spans="1:7" ht="168" customHeight="1">
      <c r="A27" s="16"/>
      <c r="B27" s="36"/>
      <c r="C27" s="575" t="s">
        <v>135</v>
      </c>
      <c r="D27" s="575"/>
      <c r="E27" s="575"/>
      <c r="F27" s="576"/>
      <c r="G27" s="193"/>
    </row>
    <row r="28" spans="1:7" ht="11.1" customHeight="1">
      <c r="A28" s="16"/>
      <c r="B28" s="16"/>
      <c r="C28" s="16"/>
      <c r="E28" s="198"/>
      <c r="F28" s="137"/>
      <c r="G28" s="193"/>
    </row>
    <row r="29" spans="1:7" ht="85.5" customHeight="1">
      <c r="A29" s="16"/>
      <c r="B29" s="36"/>
      <c r="C29" s="575" t="s">
        <v>136</v>
      </c>
      <c r="D29" s="575"/>
      <c r="E29" s="575"/>
      <c r="F29" s="576"/>
      <c r="G29" s="193"/>
    </row>
    <row r="30" spans="1:7" ht="11.1" customHeight="1">
      <c r="A30" s="16"/>
      <c r="B30" s="16"/>
      <c r="C30" s="16"/>
      <c r="E30" s="198"/>
      <c r="F30" s="16"/>
      <c r="G30" s="193"/>
    </row>
    <row r="31" spans="1:7" ht="106.5" customHeight="1">
      <c r="A31" s="16"/>
      <c r="B31" s="36"/>
      <c r="C31" s="575" t="s">
        <v>137</v>
      </c>
      <c r="D31" s="575"/>
      <c r="E31" s="575"/>
      <c r="F31" s="576"/>
      <c r="G31" s="193"/>
    </row>
    <row r="32" spans="1:7" ht="11.1" customHeight="1">
      <c r="A32" s="16"/>
      <c r="B32" s="16"/>
      <c r="C32" s="16"/>
      <c r="E32" s="198"/>
      <c r="F32" s="16"/>
      <c r="G32" s="193"/>
    </row>
    <row r="33" spans="1:7" ht="60" customHeight="1">
      <c r="A33" s="16"/>
      <c r="B33" s="36"/>
      <c r="C33" s="575" t="s">
        <v>138</v>
      </c>
      <c r="D33" s="575"/>
      <c r="E33" s="575"/>
      <c r="F33" s="576"/>
      <c r="G33" s="193"/>
    </row>
    <row r="34" spans="1:7" ht="11.1" customHeight="1">
      <c r="A34" s="16"/>
      <c r="B34" s="16"/>
      <c r="C34" s="16"/>
      <c r="E34" s="198"/>
      <c r="F34" s="16"/>
      <c r="G34" s="193"/>
    </row>
    <row r="35" spans="1:7" ht="73.5" customHeight="1">
      <c r="A35" s="16"/>
      <c r="B35" s="36"/>
      <c r="C35" s="575" t="s">
        <v>139</v>
      </c>
      <c r="D35" s="575"/>
      <c r="E35" s="575"/>
      <c r="F35" s="576"/>
      <c r="G35" s="193"/>
    </row>
    <row r="36" spans="1:7" ht="11.1" customHeight="1">
      <c r="A36" s="16"/>
      <c r="B36" s="16"/>
      <c r="C36" s="16"/>
      <c r="D36" s="16"/>
      <c r="E36" s="16"/>
      <c r="F36" s="16"/>
      <c r="G36" s="193"/>
    </row>
    <row r="37" spans="1:7" ht="11.1" hidden="1" customHeight="1">
      <c r="A37" s="16"/>
      <c r="B37" s="16"/>
      <c r="C37" s="16"/>
      <c r="D37" s="16"/>
      <c r="E37" s="16"/>
      <c r="F37" s="16"/>
      <c r="G37" s="193"/>
    </row>
    <row r="38" spans="1:7" ht="15" hidden="1">
      <c r="A38" s="16"/>
      <c r="B38" s="16"/>
      <c r="C38" s="16"/>
      <c r="D38" s="16"/>
      <c r="E38" s="16"/>
      <c r="F38" s="16"/>
      <c r="G38" s="16"/>
    </row>
    <row r="39" spans="1:7" ht="15" hidden="1">
      <c r="A39" s="16"/>
      <c r="B39" s="16"/>
      <c r="C39" s="16"/>
      <c r="D39" s="16"/>
      <c r="E39" s="16"/>
      <c r="F39" s="16"/>
      <c r="G39" s="16"/>
    </row>
    <row r="40" spans="1:7" ht="15" hidden="1">
      <c r="A40" s="16"/>
      <c r="B40" s="16"/>
      <c r="C40" s="16"/>
      <c r="D40" s="16"/>
      <c r="E40" s="16"/>
      <c r="F40" s="16"/>
      <c r="G40" s="16"/>
    </row>
    <row r="41" spans="1:7" ht="15" hidden="1">
      <c r="A41" s="16"/>
      <c r="B41" s="16"/>
      <c r="C41" s="16"/>
      <c r="D41" s="16"/>
      <c r="E41" s="16"/>
      <c r="F41" s="16"/>
      <c r="G41" s="16"/>
    </row>
    <row r="42" spans="1:7" ht="15" hidden="1">
      <c r="A42" s="16"/>
      <c r="B42" s="16"/>
      <c r="C42" s="16"/>
      <c r="D42" s="16"/>
      <c r="E42" s="16"/>
      <c r="F42" s="16"/>
      <c r="G42" s="16"/>
    </row>
    <row r="43" spans="1:7" ht="15" hidden="1">
      <c r="A43" s="16"/>
      <c r="B43" s="16"/>
      <c r="C43" s="16"/>
      <c r="D43" s="16"/>
      <c r="E43" s="16"/>
      <c r="F43" s="16"/>
      <c r="G43" s="16"/>
    </row>
    <row r="44" spans="1:7" ht="15" hidden="1">
      <c r="A44" s="16"/>
      <c r="B44" s="16"/>
      <c r="C44" s="16"/>
      <c r="D44" s="16"/>
      <c r="E44" s="16"/>
      <c r="F44" s="16"/>
      <c r="G44" s="16"/>
    </row>
    <row r="45" spans="1:7" ht="15" hidden="1">
      <c r="A45" s="16"/>
      <c r="B45" s="16"/>
      <c r="C45" s="16"/>
      <c r="D45" s="16"/>
      <c r="E45" s="16"/>
      <c r="F45" s="16"/>
      <c r="G45" s="16"/>
    </row>
    <row r="46" spans="1:7" ht="15" hidden="1">
      <c r="A46" s="16"/>
      <c r="B46" s="16"/>
      <c r="C46" s="16"/>
      <c r="D46" s="16"/>
      <c r="E46" s="16"/>
      <c r="F46" s="16"/>
      <c r="G46" s="16"/>
    </row>
    <row r="47" spans="1:7" ht="15" hidden="1">
      <c r="A47" s="16"/>
      <c r="B47" s="16"/>
      <c r="C47" s="16"/>
      <c r="D47" s="16"/>
      <c r="E47" s="16"/>
      <c r="F47" s="16"/>
      <c r="G47" s="16"/>
    </row>
    <row r="48" spans="1:7" ht="15" hidden="1">
      <c r="A48" s="16"/>
      <c r="B48" s="16"/>
      <c r="C48" s="16"/>
      <c r="D48" s="16"/>
      <c r="E48" s="16"/>
      <c r="F48" s="16"/>
      <c r="G48" s="16"/>
    </row>
    <row r="49" spans="1:7" ht="15" hidden="1">
      <c r="A49" s="16"/>
      <c r="B49" s="16"/>
      <c r="C49" s="16"/>
      <c r="D49" s="16"/>
      <c r="E49" s="16"/>
      <c r="F49" s="16"/>
      <c r="G49" s="16"/>
    </row>
    <row r="50" spans="1:7" ht="15" hidden="1">
      <c r="A50" s="16"/>
      <c r="B50" s="16"/>
      <c r="C50" s="16"/>
      <c r="E50" s="16"/>
      <c r="G50" s="16"/>
    </row>
    <row r="56" spans="1:7" ht="3.6" hidden="1" customHeight="1"/>
    <row r="57" spans="1:7" ht="3.6" hidden="1" customHeight="1"/>
    <row r="58" spans="1:7" ht="3.6" hidden="1" customHeight="1"/>
    <row r="59" spans="1:7" ht="3.6" hidden="1" customHeight="1"/>
    <row r="60" spans="1:7" ht="3.6" hidden="1" customHeight="1"/>
    <row r="61" spans="1:7" ht="3.6" hidden="1" customHeight="1"/>
    <row r="62" spans="1:7" ht="3.6" hidden="1" customHeight="1"/>
    <row r="63" spans="1:7" ht="3.6" hidden="1" customHeight="1"/>
    <row r="64" spans="1:7" ht="3.6" hidden="1" customHeight="1"/>
    <row r="65" ht="3.6" hidden="1" customHeight="1"/>
    <row r="66" ht="3.6" hidden="1" customHeight="1"/>
    <row r="67" ht="3.6" hidden="1" customHeight="1"/>
    <row r="68" ht="3.6" hidden="1" customHeight="1"/>
    <row r="69" ht="3.6" hidden="1" customHeight="1"/>
    <row r="70" ht="3.6" hidden="1" customHeight="1"/>
    <row r="71" ht="3.6" hidden="1" customHeight="1"/>
    <row r="72" ht="3.6" hidden="1" customHeight="1"/>
    <row r="73" ht="3.6" hidden="1" customHeight="1"/>
    <row r="74" ht="3.6" hidden="1" customHeight="1"/>
    <row r="75" ht="3.6" hidden="1" customHeight="1"/>
    <row r="76" ht="3.6" hidden="1" customHeight="1"/>
    <row r="77" ht="3.6" hidden="1" customHeight="1"/>
    <row r="78" ht="3.6" hidden="1" customHeight="1"/>
    <row r="79" ht="3.6" hidden="1" customHeight="1"/>
    <row r="80" ht="3.6" hidden="1" customHeight="1"/>
    <row r="81" spans="1:6" ht="3.6" hidden="1" customHeight="1"/>
    <row r="82" spans="1:6" ht="3.6" hidden="1" customHeight="1"/>
    <row r="83" spans="1:6" ht="3.6" hidden="1" customHeight="1"/>
    <row r="84" spans="1:6" ht="3.6" hidden="1" customHeight="1"/>
    <row r="85" spans="1:6" ht="3.6" hidden="1" customHeight="1"/>
    <row r="86" spans="1:6" ht="3.6" hidden="1" customHeight="1"/>
    <row r="87" spans="1:6" ht="3.6" hidden="1" customHeight="1"/>
    <row r="88" spans="1:6" ht="3.6" hidden="1" customHeight="1"/>
    <row r="89" spans="1:6" ht="3.6" hidden="1" customHeight="1"/>
    <row r="90" spans="1:6" ht="3.6" hidden="1" customHeight="1"/>
    <row r="91" spans="1:6" ht="3.6" hidden="1" customHeight="1">
      <c r="E91"/>
    </row>
    <row r="92" spans="1:6" ht="3.6" hidden="1" customHeight="1"/>
    <row r="93" spans="1:6" ht="3.6" hidden="1" customHeight="1">
      <c r="A93" s="16"/>
      <c r="B93" s="16"/>
      <c r="C93" s="16"/>
      <c r="D93" s="16"/>
      <c r="E93" s="17"/>
      <c r="F93" s="16"/>
    </row>
    <row r="94" spans="1:6" ht="3.6" hidden="1" customHeight="1"/>
  </sheetData>
  <sheetProtection algorithmName="SHA-512" hashValue="0I400z/AmzqlSql4NBt0poK33Yy8+R/fdQcuhihky0KAlnF+8RzaS6djPIXE5uO7ZKc61/1sW7wZNLuVRTsxOA==" saltValue="3Cr3kEyDlX121jb2MXALMQ==" spinCount="100000" sheet="1" objects="1" scenarios="1" selectLockedCells="1"/>
  <mergeCells count="20">
    <mergeCell ref="C31:F31"/>
    <mergeCell ref="C33:F33"/>
    <mergeCell ref="C35:F35"/>
    <mergeCell ref="C21:F21"/>
    <mergeCell ref="C23:F23"/>
    <mergeCell ref="C25:F25"/>
    <mergeCell ref="C27:F27"/>
    <mergeCell ref="C29:F29"/>
    <mergeCell ref="C19:F19"/>
    <mergeCell ref="B2:F2"/>
    <mergeCell ref="F7:F9"/>
    <mergeCell ref="C13:D13"/>
    <mergeCell ref="C15:D15"/>
    <mergeCell ref="C17:D17"/>
    <mergeCell ref="B6:D6"/>
    <mergeCell ref="C7:D7"/>
    <mergeCell ref="C9:D9"/>
    <mergeCell ref="C11:D11"/>
    <mergeCell ref="B4:C4"/>
    <mergeCell ref="F11:F17"/>
  </mergeCells>
  <hyperlinks>
    <hyperlink ref="F4" location="Main!A1" display="Return to Main" xr:uid="{AF347A32-A6A4-4AAC-8944-6E6043BDFD99}"/>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10E94-C72C-4F45-ACBD-ACB2A5F728EE}">
  <sheetPr codeName="Sheet32">
    <tabColor rgb="FF33CCCC"/>
  </sheetPr>
  <dimension ref="A1:L34"/>
  <sheetViews>
    <sheetView showGridLines="0" showRowColHeaders="0" topLeftCell="A3" zoomScaleNormal="100" workbookViewId="0">
      <selection activeCell="E12" sqref="E12"/>
    </sheetView>
  </sheetViews>
  <sheetFormatPr defaultColWidth="0" defaultRowHeight="15" customHeight="1" zeroHeight="1"/>
  <cols>
    <col min="1" max="1" width="4.42578125" style="87" customWidth="1"/>
    <col min="2" max="2" width="8.85546875" style="87" customWidth="1"/>
    <col min="3" max="3" width="22.140625" style="87" customWidth="1"/>
    <col min="4" max="4" width="45.5703125" style="87" customWidth="1"/>
    <col min="5" max="5" width="10.5703125" style="88" customWidth="1"/>
    <col min="6" max="6" width="5.5703125" style="87" customWidth="1"/>
    <col min="7" max="7" width="34.5703125" style="87" customWidth="1"/>
    <col min="8" max="8" width="17.5703125" style="87" customWidth="1"/>
    <col min="9" max="9" width="8.85546875" style="87" customWidth="1"/>
    <col min="10" max="10" width="4.5703125" style="87" customWidth="1"/>
    <col min="11" max="12" width="21.5703125" hidden="1" customWidth="1"/>
    <col min="13" max="16384" width="8.85546875" hidden="1"/>
  </cols>
  <sheetData>
    <row r="1" spans="1:12" ht="15" hidden="1" customHeight="1">
      <c r="A1" s="60"/>
      <c r="B1" s="60"/>
      <c r="C1" s="60"/>
      <c r="D1" s="60"/>
      <c r="E1" s="75"/>
      <c r="F1" s="60"/>
      <c r="G1" s="60"/>
      <c r="H1" s="60"/>
      <c r="I1" s="60"/>
      <c r="J1" s="60"/>
    </row>
    <row r="2" spans="1:12" ht="15" hidden="1" customHeight="1">
      <c r="A2" s="60"/>
      <c r="B2" s="60"/>
      <c r="C2" s="60"/>
      <c r="D2" s="60"/>
      <c r="E2" s="75"/>
      <c r="F2" s="60"/>
      <c r="G2" s="60"/>
      <c r="H2" s="60"/>
      <c r="I2" s="60"/>
      <c r="J2" s="60"/>
    </row>
    <row r="3" spans="1:12" ht="22.35" customHeight="1">
      <c r="A3" s="60"/>
      <c r="B3" s="39"/>
      <c r="C3" s="60"/>
      <c r="D3" s="60"/>
      <c r="E3" s="75"/>
      <c r="F3" s="60"/>
      <c r="G3" s="60"/>
      <c r="H3" s="60"/>
      <c r="I3" s="60"/>
      <c r="J3" s="60"/>
    </row>
    <row r="4" spans="1:12" ht="21.6" customHeight="1">
      <c r="A4" s="187" t="s">
        <v>96</v>
      </c>
      <c r="B4" s="639" t="str">
        <f>A4&amp;". "&amp;INDEX(VL_TDM!$E$11:$E$41,MATCH($A$4,VL_TDM!$B$11:$B$41,0),1)</f>
        <v>2C. Integrate Affordable and Below Market Rate Housing</v>
      </c>
      <c r="C4" s="600"/>
      <c r="D4" s="600"/>
      <c r="E4" s="600"/>
      <c r="F4" s="600"/>
      <c r="G4" s="600"/>
      <c r="H4" s="600"/>
      <c r="I4" s="601"/>
      <c r="J4" s="60"/>
    </row>
    <row r="5" spans="1:12" ht="15" customHeight="1">
      <c r="A5" s="60"/>
      <c r="B5" s="65"/>
      <c r="C5" s="71"/>
      <c r="D5" s="71"/>
      <c r="E5" s="71"/>
      <c r="F5" s="71"/>
      <c r="G5" s="73"/>
      <c r="H5" s="71"/>
      <c r="I5" s="64"/>
      <c r="J5" s="60"/>
    </row>
    <row r="6" spans="1:12" ht="15" customHeight="1">
      <c r="A6" s="60"/>
      <c r="B6" s="65"/>
      <c r="C6" s="81" t="s">
        <v>723</v>
      </c>
      <c r="D6" s="82" t="str">
        <f>INDEX(VL_TDM!$AC$11:$AC$41,MATCH($A$4,VL_TDM!$B$11:$B$41,0),1)</f>
        <v>Neighborhood/City</v>
      </c>
      <c r="E6" s="73"/>
      <c r="F6" s="370"/>
      <c r="G6" s="370"/>
      <c r="H6" s="500" t="s">
        <v>120</v>
      </c>
      <c r="I6" s="64"/>
      <c r="J6" s="60"/>
    </row>
    <row r="7" spans="1:12" ht="15" customHeight="1">
      <c r="A7" s="60"/>
      <c r="B7" s="65"/>
      <c r="C7" s="81" t="s">
        <v>724</v>
      </c>
      <c r="D7" s="85" t="str">
        <f>INDEX(VL_TDM!$AD$11:$AD$41,MATCH($A$4,VL_TDM!$B$11:$B$41,0),1)</f>
        <v>All neighborhood/city trips</v>
      </c>
      <c r="E7" s="81"/>
      <c r="F7" s="370"/>
      <c r="G7" s="370"/>
      <c r="H7" s="500" t="s">
        <v>153</v>
      </c>
      <c r="I7" s="64"/>
      <c r="J7" s="60"/>
    </row>
    <row r="8" spans="1:12" ht="15" customHeight="1">
      <c r="A8" s="60"/>
      <c r="B8" s="65"/>
      <c r="C8" s="81" t="s">
        <v>725</v>
      </c>
      <c r="D8" s="86">
        <f>INDEX(VL_TDM!$AE$11:$AE$41,MATCH($A$4,VL_TDM!$B$11:$B$41,0),1)</f>
        <v>1.2E-2</v>
      </c>
      <c r="E8" s="71"/>
      <c r="F8" s="71"/>
      <c r="G8" s="73"/>
      <c r="H8" s="71"/>
      <c r="I8" s="64"/>
      <c r="J8" s="60"/>
    </row>
    <row r="9" spans="1:12" ht="15" customHeight="1">
      <c r="A9" s="60"/>
      <c r="B9" s="65"/>
      <c r="C9" s="412"/>
      <c r="D9" s="73"/>
      <c r="E9" s="73"/>
      <c r="F9" s="73"/>
      <c r="G9" s="73"/>
      <c r="H9" s="73"/>
      <c r="I9" s="64"/>
      <c r="J9" s="60"/>
    </row>
    <row r="10" spans="1:12" ht="120" customHeight="1">
      <c r="A10" s="60"/>
      <c r="B10" s="65"/>
      <c r="C10" s="602" t="str">
        <f>INDEX(VL_TDM!$AF$11:$AF$41,MATCH($A$4,VL_TDM!$B$11:$B$41,0),1)</f>
        <v>Income has a statistically significant effect on the probability that a commuter will take transit or walk to work (1). Below market rate (BMR) housing provides greater opportunity for lower-income families to live closer to jobs centers and achieve jobs/housing match near transit. It also addresses to some degree the risk that new transit oriented development would displace lower-income families. This strategy potentially encourages building a greater percentage of smaller units that allow a greater number of families to be accommodated on infill and transit oriented development sites within a given building footprint and height limit. Lower-income families tend to have lower levels of auto ownership, allowing buildings to be designed with less parking which, in some cases, represents the difference between a project being economically viable or not. Residential development projects of five or more dwelling units will provide a deed-restricted low-income housing component on-site.</v>
      </c>
      <c r="D10" s="597"/>
      <c r="E10" s="597"/>
      <c r="F10" s="597"/>
      <c r="G10" s="597"/>
      <c r="H10" s="597"/>
      <c r="I10" s="64"/>
      <c r="J10" s="60"/>
    </row>
    <row r="11" spans="1:12" ht="15" customHeight="1">
      <c r="A11" s="60"/>
      <c r="B11" s="65"/>
      <c r="C11" s="71"/>
      <c r="D11" s="71"/>
      <c r="E11" s="73"/>
      <c r="F11" s="71"/>
      <c r="G11" s="71"/>
      <c r="H11" s="71"/>
      <c r="I11" s="64"/>
      <c r="J11" s="60"/>
    </row>
    <row r="12" spans="1:12" ht="15" customHeight="1">
      <c r="A12" s="60"/>
      <c r="B12" s="65"/>
      <c r="C12" s="77" t="s">
        <v>795</v>
      </c>
      <c r="D12" s="81"/>
      <c r="E12" s="55"/>
      <c r="F12" s="4"/>
      <c r="G12" s="363" t="s">
        <v>17</v>
      </c>
      <c r="H12" s="71"/>
      <c r="I12" s="64"/>
      <c r="J12" s="16"/>
    </row>
    <row r="13" spans="1:12" ht="7.35" customHeight="1">
      <c r="A13" s="60"/>
      <c r="B13" s="65"/>
      <c r="C13" s="77"/>
      <c r="D13" s="81"/>
      <c r="E13" s="413"/>
      <c r="F13" s="71"/>
      <c r="G13" s="205"/>
      <c r="H13" s="71"/>
      <c r="I13" s="64"/>
      <c r="J13" s="60"/>
    </row>
    <row r="14" spans="1:12" ht="15" customHeight="1">
      <c r="A14" s="60"/>
      <c r="B14" s="65"/>
      <c r="C14" s="77" t="s">
        <v>796</v>
      </c>
      <c r="D14" s="81"/>
      <c r="E14" s="377">
        <v>-0.04</v>
      </c>
      <c r="F14" s="73"/>
      <c r="G14" s="421" t="s">
        <v>746</v>
      </c>
      <c r="H14" s="71"/>
      <c r="I14" s="64"/>
      <c r="J14" s="16"/>
      <c r="K14" s="89"/>
      <c r="L14" s="89"/>
    </row>
    <row r="15" spans="1:12" ht="7.35" customHeight="1">
      <c r="A15" s="60"/>
      <c r="B15" s="65"/>
      <c r="C15" s="77"/>
      <c r="D15" s="81"/>
      <c r="E15" s="71"/>
      <c r="F15" s="71"/>
      <c r="G15" s="205"/>
      <c r="H15" s="71"/>
      <c r="I15" s="64"/>
      <c r="J15" s="60"/>
    </row>
    <row r="16" spans="1:12" ht="15" customHeight="1">
      <c r="A16" s="60"/>
      <c r="B16" s="65"/>
      <c r="C16" s="76"/>
      <c r="D16" s="76"/>
      <c r="E16" s="76"/>
      <c r="F16" s="76"/>
      <c r="G16" s="76"/>
      <c r="H16" s="71"/>
      <c r="I16" s="64"/>
      <c r="J16" s="60"/>
    </row>
    <row r="17" spans="1:11" ht="7.35" customHeight="1">
      <c r="A17" s="60"/>
      <c r="B17" s="65"/>
      <c r="C17" s="77"/>
      <c r="D17" s="81"/>
      <c r="E17" s="71"/>
      <c r="F17" s="71"/>
      <c r="G17" s="71"/>
      <c r="H17" s="71"/>
      <c r="I17" s="64"/>
      <c r="J17" s="60"/>
    </row>
    <row r="18" spans="1:11" ht="15" customHeight="1">
      <c r="A18" s="60"/>
      <c r="B18" s="65"/>
      <c r="C18" s="76" t="s">
        <v>789</v>
      </c>
      <c r="D18" s="73"/>
      <c r="E18" s="98" t="str">
        <f>IF(E12="","",IFERROR(MAX(-D8,E12*E14), ""))</f>
        <v/>
      </c>
      <c r="F18" s="378"/>
      <c r="G18" s="43" t="b">
        <v>0</v>
      </c>
      <c r="H18" s="170" t="str">
        <f>IF(OR(G18=TRUE,E18=""),"Not Active","Active")</f>
        <v>Not Active</v>
      </c>
      <c r="I18" s="64"/>
      <c r="J18" s="60"/>
    </row>
    <row r="19" spans="1:11" ht="15" customHeight="1">
      <c r="A19" s="60"/>
      <c r="B19" s="65"/>
      <c r="C19" s="71"/>
      <c r="D19" s="71"/>
      <c r="E19" s="73"/>
      <c r="F19" s="71"/>
      <c r="G19" s="71"/>
      <c r="H19" s="71"/>
      <c r="I19" s="64"/>
      <c r="J19" s="60"/>
    </row>
    <row r="20" spans="1:11" ht="17.850000000000001" customHeight="1">
      <c r="A20" s="60"/>
      <c r="B20" s="65"/>
      <c r="C20" s="640" t="str">
        <f>"Formula:  % Change in VMT = " &amp; SUBSTITUTE(" " &amp; C12 &amp; " * " &amp; C14 &amp; " "," used for calculation","")</f>
        <v xml:space="preserve">Formula:  % Change in VMT =  % of units in project that are deed-restricted BMR housing * Elasticity </v>
      </c>
      <c r="D20" s="641"/>
      <c r="E20" s="641"/>
      <c r="F20" s="641"/>
      <c r="G20" s="641"/>
      <c r="H20" s="642"/>
      <c r="I20" s="64"/>
      <c r="J20" s="60"/>
    </row>
    <row r="21" spans="1:11" ht="17.850000000000001" customHeight="1">
      <c r="A21" s="60"/>
      <c r="B21" s="65"/>
      <c r="C21" s="646" t="s">
        <v>797</v>
      </c>
      <c r="D21" s="647"/>
      <c r="E21" s="647"/>
      <c r="F21" s="647"/>
      <c r="G21" s="647"/>
      <c r="H21" s="648"/>
      <c r="I21" s="64"/>
      <c r="J21" s="60"/>
    </row>
    <row r="22" spans="1:11" ht="15" customHeight="1">
      <c r="A22" s="60"/>
      <c r="B22" s="65"/>
      <c r="C22" s="71"/>
      <c r="D22" s="418"/>
      <c r="E22" s="199"/>
      <c r="F22" s="199"/>
      <c r="G22" s="199"/>
      <c r="H22" s="199"/>
      <c r="I22" s="64"/>
      <c r="J22" s="60"/>
      <c r="K22" s="25"/>
    </row>
    <row r="23" spans="1:11" ht="15" customHeight="1">
      <c r="A23" s="60"/>
      <c r="B23" s="65"/>
      <c r="C23" s="71" t="s">
        <v>732</v>
      </c>
      <c r="D23" s="71"/>
      <c r="E23" s="73"/>
      <c r="F23" s="71"/>
      <c r="G23" s="71"/>
      <c r="H23" s="71"/>
      <c r="I23" s="64"/>
      <c r="J23" s="60"/>
    </row>
    <row r="24" spans="1:11" ht="196.5" customHeight="1">
      <c r="A24" s="60"/>
      <c r="B24" s="65"/>
      <c r="C24" s="620" t="str">
        <f>INDEX(VL_TDM!$AG$11:$AG$41,MATCH($A$4,VL_TDM!$B$11:$B$41,0),1)</f>
        <v>(1) Bento, Antonio M., Maureen L. Cropper, Ahmed Mushfiq Mobarak, and Katja Vinha. 2005. “The Effects of Urban Spatial Structure on Travel Demand in the United States.” The Review of Economics and Statistics 87,3: 466-478.
(2) Nelson\Nygaard, 2005. Crediting Low-Traffic Developments (p.15). http://www.montgomeryplanning.org/transportation/documents/TripGenerationAn alysisUsingURBEMIS.pdf Criteron Planner/Engineers and Fehr &amp; Peers Associates (2001). 
(3) Index 4D Method. A Quick-Response Method of Estimating Travel Impacts from Land- Use Changes. Technical Memorandum prepared for US EPA, October 2001. 
(4) Holtzclaw, John; Clear, Robert; Dittmar, Hank; Goldstein, David; and Haas, Peter (2002), “Location Efficiency: Neighborhood and Socio-Economic Characteristics Determine Auto Ownership and Use – Studies in Chicago, Los Angeles and San Francisco”, Transportation Planning and Technology, 25 (1): 1-27.</v>
      </c>
      <c r="D24" s="597"/>
      <c r="E24" s="597"/>
      <c r="F24" s="597"/>
      <c r="G24" s="597"/>
      <c r="H24" s="597"/>
      <c r="I24" s="64"/>
      <c r="J24" s="60"/>
    </row>
    <row r="25" spans="1:11" ht="15" customHeight="1">
      <c r="A25" s="60"/>
      <c r="B25" s="74"/>
      <c r="C25" s="177"/>
      <c r="D25" s="177"/>
      <c r="E25" s="379"/>
      <c r="F25" s="177"/>
      <c r="G25" s="177"/>
      <c r="H25" s="177"/>
      <c r="I25" s="380"/>
      <c r="J25" s="60"/>
    </row>
    <row r="26" spans="1:11" ht="22.35" customHeight="1">
      <c r="A26" s="60"/>
      <c r="B26" s="16"/>
      <c r="C26" s="16"/>
      <c r="D26" s="16"/>
      <c r="E26" s="75"/>
      <c r="F26" s="60"/>
      <c r="G26" s="60"/>
      <c r="H26" s="60"/>
      <c r="I26" s="60"/>
      <c r="J26" s="60"/>
    </row>
    <row r="33" spans="5:12" s="87" customFormat="1" hidden="1">
      <c r="E33" s="88"/>
      <c r="K33"/>
      <c r="L33"/>
    </row>
    <row r="34" spans="5:12" s="87" customFormat="1" hidden="1">
      <c r="E34" s="88"/>
      <c r="K34"/>
      <c r="L34"/>
    </row>
  </sheetData>
  <sheetProtection algorithmName="SHA-512" hashValue="3IDpRe3cauUryqTQCsx4zday0K3D2JM1XMtIxh+PA6+ZlGYFpV7uDjULDlwUxZnmKoxGUfqyU+JnidVaGBuWDw==" saltValue="JcNJg+eo5C1KA19DXrTi9A==" spinCount="100000" sheet="1" objects="1" scenarios="1" selectLockedCells="1"/>
  <mergeCells count="5">
    <mergeCell ref="B4:I4"/>
    <mergeCell ref="C10:H10"/>
    <mergeCell ref="C20:H20"/>
    <mergeCell ref="C24:H24"/>
    <mergeCell ref="C21:H21"/>
  </mergeCells>
  <conditionalFormatting sqref="E18">
    <cfRule type="expression" dxfId="37" priority="12">
      <formula>-ROUND($D$8,3)=ROUND($E$18,3)</formula>
    </cfRule>
    <cfRule type="expression" dxfId="36" priority="13">
      <formula>AND(E18&lt;&gt;"",E18&gt;0)</formula>
    </cfRule>
  </conditionalFormatting>
  <dataValidations count="1">
    <dataValidation type="decimal" allowBlank="1" showErrorMessage="1" errorTitle="Restriction" error="Value must be between 0% and 100%_x000a_" promptTitle="Restriction" prompt="Value must be between 0% and 100%_x000a_" sqref="E12" xr:uid="{5DC81179-5F34-40C2-A470-99F97299546A}">
      <formula1>0</formula1>
      <formula2>1</formula2>
    </dataValidation>
  </dataValidations>
  <hyperlinks>
    <hyperlink ref="H7" location="Results!A1" display="Results Summary" xr:uid="{F92E3E43-8FF0-4EDA-A0B5-EF061BCA494A}"/>
    <hyperlink ref="H6" location="Main!E65" display="Return to Main É" xr:uid="{A898FC75-1B00-46A9-9186-6D790FA158B6}"/>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6545" r:id="rId4" name="Check Box 1">
              <controlPr defaultSize="0" autoFill="0" autoLine="0" autoPict="0" altText="Exclude From Results Summary">
                <anchor moveWithCells="1">
                  <from>
                    <xdr:col>6</xdr:col>
                    <xdr:colOff>28575</xdr:colOff>
                    <xdr:row>16</xdr:row>
                    <xdr:rowOff>85725</xdr:rowOff>
                  </from>
                  <to>
                    <xdr:col>7</xdr:col>
                    <xdr:colOff>0</xdr:colOff>
                    <xdr:row>18</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4"/>
  </sheetPr>
  <dimension ref="A1:L34"/>
  <sheetViews>
    <sheetView showGridLines="0" showRowColHeaders="0" topLeftCell="A3" zoomScaleNormal="100" workbookViewId="0">
      <selection activeCell="E12" sqref="E12"/>
    </sheetView>
  </sheetViews>
  <sheetFormatPr defaultColWidth="0" defaultRowHeight="15" zeroHeight="1"/>
  <cols>
    <col min="1" max="1" width="4.42578125" style="87" customWidth="1"/>
    <col min="2" max="2" width="8.85546875" style="87" customWidth="1"/>
    <col min="3" max="3" width="20" style="87" customWidth="1"/>
    <col min="4" max="4" width="44.140625" style="87" customWidth="1"/>
    <col min="5" max="5" width="10.5703125" style="88" customWidth="1"/>
    <col min="6" max="6" width="5.5703125" style="88" customWidth="1"/>
    <col min="7" max="7" width="18.42578125" style="87" customWidth="1"/>
    <col min="8" max="8" width="17.5703125" style="87" customWidth="1"/>
    <col min="9" max="9" width="8.85546875" style="87" customWidth="1"/>
    <col min="10" max="10" width="4.5703125" style="87" customWidth="1"/>
    <col min="11" max="12" width="54.5703125" style="87" hidden="1" customWidth="1"/>
    <col min="13" max="16384" width="8.85546875" style="87" hidden="1"/>
  </cols>
  <sheetData>
    <row r="1" spans="1:11" hidden="1">
      <c r="A1" s="60"/>
      <c r="B1" s="60"/>
      <c r="C1" s="60"/>
      <c r="D1" s="60"/>
      <c r="E1" s="75"/>
      <c r="F1" s="75"/>
      <c r="G1" s="60"/>
      <c r="H1" s="60"/>
      <c r="I1" s="60"/>
      <c r="J1" s="60"/>
    </row>
    <row r="2" spans="1:11" hidden="1">
      <c r="A2" s="60"/>
      <c r="B2" s="60"/>
      <c r="C2" s="60"/>
      <c r="D2" s="60"/>
      <c r="E2" s="75"/>
      <c r="F2" s="75"/>
      <c r="G2" s="60"/>
      <c r="H2" s="60"/>
      <c r="I2" s="60"/>
      <c r="J2" s="60"/>
    </row>
    <row r="3" spans="1:11" ht="22.35" customHeight="1">
      <c r="A3" s="60"/>
      <c r="B3" s="39"/>
      <c r="C3" s="60"/>
      <c r="D3" s="60"/>
      <c r="E3" s="75"/>
      <c r="F3" s="75"/>
      <c r="G3" s="90"/>
      <c r="H3" s="90"/>
      <c r="I3" s="60"/>
      <c r="J3" s="60"/>
    </row>
    <row r="4" spans="1:11" ht="21.6" customHeight="1">
      <c r="A4" s="187" t="s">
        <v>108</v>
      </c>
      <c r="B4" s="649" t="str">
        <f>A4&amp;". "&amp;INDEX(VL_TDM!$E$11:$E$41,MATCH($A$4,VL_TDM!$B$11:$B$41,0),1)</f>
        <v>3A1. Price Workplace Parking</v>
      </c>
      <c r="C4" s="600"/>
      <c r="D4" s="600"/>
      <c r="E4" s="600"/>
      <c r="F4" s="600"/>
      <c r="G4" s="600"/>
      <c r="H4" s="600"/>
      <c r="I4" s="601"/>
      <c r="J4" s="60"/>
    </row>
    <row r="5" spans="1:11" ht="15" customHeight="1">
      <c r="A5" s="60"/>
      <c r="B5" s="65"/>
      <c r="C5" s="71"/>
      <c r="D5" s="71"/>
      <c r="E5" s="71"/>
      <c r="F5" s="71"/>
      <c r="G5" s="73"/>
      <c r="H5" s="73"/>
      <c r="I5" s="64"/>
      <c r="J5" s="60"/>
      <c r="K5" s="60"/>
    </row>
    <row r="6" spans="1:11" ht="15" customHeight="1">
      <c r="A6" s="60"/>
      <c r="B6" s="65"/>
      <c r="C6" s="71" t="s">
        <v>723</v>
      </c>
      <c r="D6" s="82" t="str">
        <f>INDEX(VL_TDM!$AC$11:$AC$41,MATCH($A$4,VL_TDM!$B$11:$B$41,0),1)</f>
        <v>Project/Site</v>
      </c>
      <c r="E6" s="73"/>
      <c r="F6" s="73"/>
      <c r="G6" s="73"/>
      <c r="H6" s="500" t="s">
        <v>120</v>
      </c>
      <c r="I6" s="64"/>
      <c r="J6" s="60"/>
    </row>
    <row r="7" spans="1:11" ht="15" customHeight="1">
      <c r="A7" s="60"/>
      <c r="B7" s="65"/>
      <c r="C7" s="81" t="s">
        <v>724</v>
      </c>
      <c r="D7" s="85" t="str">
        <f>INDEX(VL_TDM!$AD$11:$AD$41,MATCH($A$4,VL_TDM!$B$11:$B$41,0),1)</f>
        <v>Employee commute trips</v>
      </c>
      <c r="E7" s="71"/>
      <c r="F7" s="370"/>
      <c r="G7" s="73"/>
      <c r="H7" s="500" t="s">
        <v>153</v>
      </c>
      <c r="I7" s="64"/>
      <c r="J7" s="60"/>
    </row>
    <row r="8" spans="1:11" ht="15" customHeight="1">
      <c r="A8" s="60"/>
      <c r="B8" s="65"/>
      <c r="C8" s="81" t="s">
        <v>725</v>
      </c>
      <c r="D8" s="86">
        <f>INDEX(VL_TDM!$AE$11:$AE$41,MATCH($A$4,VL_TDM!$B$11:$B$41,0),1)</f>
        <v>0.2</v>
      </c>
      <c r="E8" s="71"/>
      <c r="F8" s="71"/>
      <c r="G8" s="73"/>
      <c r="H8" s="73"/>
      <c r="I8" s="64"/>
      <c r="J8" s="60"/>
      <c r="K8" s="60"/>
    </row>
    <row r="9" spans="1:11" ht="15" customHeight="1">
      <c r="A9" s="60"/>
      <c r="B9" s="65"/>
      <c r="C9" s="71"/>
      <c r="D9" s="71"/>
      <c r="E9" s="73"/>
      <c r="F9" s="73"/>
      <c r="G9" s="71"/>
      <c r="H9" s="71"/>
      <c r="I9" s="64"/>
      <c r="J9" s="60"/>
    </row>
    <row r="10" spans="1:11" ht="196.5" customHeight="1">
      <c r="A10" s="60"/>
      <c r="B10" s="65"/>
      <c r="C10" s="602" t="str">
        <f>INDEX(VL_TDM!$AF$11:$AF$41,MATCH($A$4,VL_TDM!$B$11:$B$41,0),1)</f>
        <v>This strategy will price on-site parking at workplaces. This may include the following: explicitly charging for parking for its employees, implementing above market rate pricing, validating parking only for invited guests, not providing employee parking and transportation allowances, and/or educating employees about available alternatives to driving. Because free employee parking is a common benefit, charging employees to park on-site increases the cost of choosing to drive to work. This is expected to reduce single-occupant vehicle commute trips, resulting in decreased VMT, thereby reducing associated GHG emissions. 
When implementing workplace parking, best practice is to ensure that other transportation options are available, convenient, and have competitive travel times (i.e., transit service near the project site, shuttle service, or a complete active transportation network serving the site and surrounding community), and that there is no alternative free parking available nearby (such as on-street). This strategy is ineffective in environments that do not have other modes available. Though like Strategy 3B, Parking “Cash-Out,” this strategy focuses on implementing market rate and above market rate pricing to provide a price signal for employees to consider other modes for their work commute. Strategy 3B requires employers to offer employee parking “cash-out.”</v>
      </c>
      <c r="D10" s="594"/>
      <c r="E10" s="594"/>
      <c r="F10" s="594"/>
      <c r="G10" s="594"/>
      <c r="H10" s="594"/>
      <c r="I10" s="64"/>
      <c r="J10" s="60"/>
    </row>
    <row r="11" spans="1:11" ht="15" customHeight="1">
      <c r="A11" s="60"/>
      <c r="B11" s="65"/>
      <c r="C11" s="71"/>
      <c r="D11" s="71"/>
      <c r="E11" s="73"/>
      <c r="F11" s="73"/>
      <c r="G11" s="71"/>
      <c r="H11" s="71"/>
      <c r="I11" s="64"/>
      <c r="J11" s="60"/>
    </row>
    <row r="12" spans="1:11" ht="15" customHeight="1">
      <c r="A12" s="60"/>
      <c r="B12" s="65"/>
      <c r="C12" s="77" t="s">
        <v>798</v>
      </c>
      <c r="D12" s="71"/>
      <c r="E12" s="44"/>
      <c r="F12" s="73"/>
      <c r="G12" s="71" t="s">
        <v>17</v>
      </c>
      <c r="H12" s="71"/>
      <c r="I12" s="64"/>
      <c r="J12" s="60"/>
    </row>
    <row r="13" spans="1:11" ht="7.35" customHeight="1">
      <c r="A13" s="60"/>
      <c r="B13" s="65"/>
      <c r="C13" s="77"/>
      <c r="D13" s="71"/>
      <c r="E13" s="210"/>
      <c r="F13" s="73"/>
      <c r="G13" s="71"/>
      <c r="H13" s="71"/>
      <c r="I13" s="64"/>
      <c r="J13" s="60"/>
    </row>
    <row r="14" spans="1:11" ht="15" customHeight="1">
      <c r="A14" s="60"/>
      <c r="B14" s="65"/>
      <c r="C14" s="77" t="s">
        <v>799</v>
      </c>
      <c r="D14" s="71"/>
      <c r="E14" s="44"/>
      <c r="F14" s="73"/>
      <c r="G14" s="71" t="s">
        <v>17</v>
      </c>
      <c r="H14" s="71"/>
      <c r="I14" s="64"/>
      <c r="J14" s="16"/>
    </row>
    <row r="15" spans="1:11" ht="7.35" customHeight="1">
      <c r="A15" s="60"/>
      <c r="B15" s="65"/>
      <c r="C15" s="77"/>
      <c r="D15" s="71"/>
      <c r="E15" s="378">
        <f>IF(E14=0,0.001,"")</f>
        <v>1E-3</v>
      </c>
      <c r="F15" s="73"/>
      <c r="G15" s="71"/>
      <c r="H15" s="71"/>
      <c r="I15" s="64"/>
      <c r="J15" s="60"/>
    </row>
    <row r="16" spans="1:11" ht="15" customHeight="1">
      <c r="A16" s="60"/>
      <c r="B16" s="65"/>
      <c r="C16" s="77" t="s">
        <v>800</v>
      </c>
      <c r="D16" s="71"/>
      <c r="E16" s="44"/>
      <c r="F16" s="73"/>
      <c r="G16" s="71" t="s">
        <v>17</v>
      </c>
      <c r="H16" s="71"/>
      <c r="I16" s="64"/>
      <c r="J16" s="16"/>
    </row>
    <row r="17" spans="1:10" ht="7.35" customHeight="1">
      <c r="A17" s="60"/>
      <c r="B17" s="65"/>
      <c r="C17" s="77"/>
      <c r="D17" s="71"/>
      <c r="E17" s="378"/>
      <c r="F17" s="73"/>
      <c r="G17" s="71"/>
      <c r="H17" s="71"/>
      <c r="I17" s="64"/>
      <c r="J17" s="60"/>
    </row>
    <row r="18" spans="1:10" ht="15.6" customHeight="1">
      <c r="A18" s="60"/>
      <c r="B18" s="65"/>
      <c r="C18" s="77" t="s">
        <v>801</v>
      </c>
      <c r="D18" s="71"/>
      <c r="E18" s="422" t="str">
        <f>IF(OR(ISBLANK(E14),ISBLANK(E16)),"",IF(E14=0,0.5,MIN(0.5,(E16-E14)/E14)))</f>
        <v/>
      </c>
      <c r="F18" s="73"/>
      <c r="G18" s="81" t="s">
        <v>744</v>
      </c>
      <c r="H18" s="81"/>
      <c r="I18" s="64"/>
      <c r="J18" s="60"/>
    </row>
    <row r="19" spans="1:10" ht="7.35" customHeight="1">
      <c r="A19" s="60"/>
      <c r="B19" s="65"/>
      <c r="C19" s="77"/>
      <c r="D19" s="71"/>
      <c r="E19" s="71"/>
      <c r="F19" s="73"/>
      <c r="G19" s="71"/>
      <c r="H19" s="71"/>
      <c r="I19" s="64"/>
      <c r="J19" s="60"/>
    </row>
    <row r="20" spans="1:10" ht="15" customHeight="1">
      <c r="A20" s="60"/>
      <c r="B20" s="65"/>
      <c r="C20" s="77" t="s">
        <v>802</v>
      </c>
      <c r="D20" s="71"/>
      <c r="E20" s="56"/>
      <c r="F20" s="73"/>
      <c r="G20" s="71" t="s">
        <v>17</v>
      </c>
      <c r="H20" s="71"/>
      <c r="I20" s="64"/>
      <c r="J20" s="16"/>
    </row>
    <row r="21" spans="1:10" ht="7.35" customHeight="1">
      <c r="A21" s="60"/>
      <c r="B21" s="65"/>
      <c r="C21" s="77"/>
      <c r="D21" s="71"/>
      <c r="E21" s="71"/>
      <c r="F21" s="73"/>
      <c r="G21" s="71"/>
      <c r="H21" s="71"/>
      <c r="I21" s="64"/>
      <c r="J21" s="60"/>
    </row>
    <row r="22" spans="1:10" ht="15" customHeight="1">
      <c r="A22" s="60"/>
      <c r="B22" s="65"/>
      <c r="C22" s="77" t="s">
        <v>803</v>
      </c>
      <c r="D22" s="71"/>
      <c r="E22" s="376">
        <v>-0.4</v>
      </c>
      <c r="F22" s="73"/>
      <c r="G22" s="421" t="s">
        <v>804</v>
      </c>
      <c r="H22" s="421"/>
      <c r="I22" s="64"/>
      <c r="J22" s="16"/>
    </row>
    <row r="23" spans="1:10" ht="7.35" customHeight="1">
      <c r="A23" s="60"/>
      <c r="B23" s="65"/>
      <c r="C23" s="77"/>
      <c r="D23" s="71"/>
      <c r="E23" s="71"/>
      <c r="F23" s="73"/>
      <c r="G23" s="71"/>
      <c r="H23" s="71"/>
      <c r="I23" s="64"/>
      <c r="J23" s="60"/>
    </row>
    <row r="24" spans="1:10" ht="15" customHeight="1">
      <c r="A24" s="60"/>
      <c r="B24" s="65"/>
      <c r="C24" s="77" t="s">
        <v>805</v>
      </c>
      <c r="D24" s="71"/>
      <c r="E24" s="376">
        <v>1</v>
      </c>
      <c r="F24" s="73"/>
      <c r="G24" s="80" t="s">
        <v>750</v>
      </c>
      <c r="H24" s="71"/>
      <c r="I24" s="64"/>
      <c r="J24" s="16"/>
    </row>
    <row r="25" spans="1:10" ht="7.35" customHeight="1">
      <c r="A25" s="60"/>
      <c r="B25" s="65"/>
      <c r="C25" s="77"/>
      <c r="D25" s="71"/>
      <c r="E25" s="71"/>
      <c r="F25" s="73"/>
      <c r="G25" s="71"/>
      <c r="H25" s="71"/>
      <c r="I25" s="64"/>
      <c r="J25" s="60"/>
    </row>
    <row r="26" spans="1:10" ht="15" customHeight="1">
      <c r="A26" s="60"/>
      <c r="B26" s="65"/>
      <c r="C26" s="77" t="s">
        <v>147</v>
      </c>
      <c r="D26" s="71"/>
      <c r="E26" s="98" t="str">
        <f>IF(AND(E14="",E16=""),"",IFERROR(MAX(-D8,E18*E22*E20*E24),""))</f>
        <v/>
      </c>
      <c r="F26" s="378"/>
      <c r="G26" s="43" t="b">
        <v>0</v>
      </c>
      <c r="H26" s="170" t="str">
        <f>IF(OR(G26=TRUE,E26=""),"Not Active","Active")</f>
        <v>Not Active</v>
      </c>
      <c r="I26" s="64"/>
      <c r="J26" s="60"/>
    </row>
    <row r="27" spans="1:10" ht="15" customHeight="1">
      <c r="A27" s="60"/>
      <c r="B27" s="65"/>
      <c r="C27" s="71"/>
      <c r="D27" s="71"/>
      <c r="E27" s="73"/>
      <c r="F27" s="73"/>
      <c r="G27" s="71"/>
      <c r="H27" s="71"/>
      <c r="I27" s="64"/>
      <c r="J27" s="60"/>
    </row>
    <row r="28" spans="1:10" ht="51.95" customHeight="1">
      <c r="A28" s="60"/>
      <c r="B28" s="65"/>
      <c r="C28" s="640" t="str">
        <f>"Formula:  % Change in VMT =  " &amp; SUBSTITUTE("(( " &amp; C16 &amp; " - " &amp; C14 &amp; " )/ " &amp; C14 &amp; " )* " &amp; C22 &amp; " * " &amp; C20 &amp; " * " &amp; C24 &amp; " "," used for calculation","")</f>
        <v xml:space="preserve">Formula:  % Change in VMT =  (( Proposed parking price - Baseline parking price )/ Baseline parking price )* Elasticity of parking demand with respect to parking price * Share of project users paying for parking * Ratio of vehicle trip reduction to VMT </v>
      </c>
      <c r="D28" s="641"/>
      <c r="E28" s="641"/>
      <c r="F28" s="641"/>
      <c r="G28" s="641"/>
      <c r="H28" s="642"/>
      <c r="I28" s="64"/>
      <c r="J28" s="60"/>
    </row>
    <row r="29" spans="1:10" ht="23.25" customHeight="1">
      <c r="A29" s="60"/>
      <c r="B29" s="65"/>
      <c r="C29" s="650" t="s">
        <v>806</v>
      </c>
      <c r="D29" s="651"/>
      <c r="E29" s="651"/>
      <c r="F29" s="651"/>
      <c r="G29" s="651"/>
      <c r="H29" s="652"/>
      <c r="I29" s="64"/>
      <c r="J29" s="60"/>
    </row>
    <row r="30" spans="1:10" ht="15" customHeight="1">
      <c r="A30" s="60"/>
      <c r="B30" s="65"/>
      <c r="C30" s="71"/>
      <c r="D30" s="71"/>
      <c r="E30" s="73"/>
      <c r="F30" s="73"/>
      <c r="G30" s="71"/>
      <c r="H30" s="71"/>
      <c r="I30" s="64"/>
      <c r="J30" s="60"/>
    </row>
    <row r="31" spans="1:10" ht="15" customHeight="1">
      <c r="A31" s="60"/>
      <c r="B31" s="65"/>
      <c r="C31" s="71" t="s">
        <v>732</v>
      </c>
      <c r="D31" s="71"/>
      <c r="E31" s="73"/>
      <c r="F31" s="73"/>
      <c r="G31" s="71"/>
      <c r="H31" s="71"/>
      <c r="I31" s="64"/>
      <c r="J31" s="60"/>
    </row>
    <row r="32" spans="1:10" ht="35.25" customHeight="1">
      <c r="A32" s="60"/>
      <c r="B32" s="65"/>
      <c r="C32" s="616" t="str">
        <f>INDEX(VL_TDM!$AG$11:$AG$41,MATCH($A$4,VL_TDM!$B$11:$B$41,0),1)</f>
        <v xml:space="preserve">(1) Lehner, S., Stefanie, P. 2019. The Price Elasticity of Parking: A Meta-analysis. Transportation Research Part A: Policy and Practice 121 2019. Available: http://sustainabletransportationsc.org/garage/pdf/parking_elasticity.pdf. Accessed: January 2021. </v>
      </c>
      <c r="D32" s="594"/>
      <c r="E32" s="594"/>
      <c r="F32" s="594"/>
      <c r="G32" s="594"/>
      <c r="H32" s="594"/>
      <c r="I32" s="64"/>
      <c r="J32" s="60"/>
    </row>
    <row r="33" spans="1:10" ht="15" customHeight="1">
      <c r="A33" s="60"/>
      <c r="B33" s="74"/>
      <c r="C33" s="177"/>
      <c r="D33" s="177"/>
      <c r="E33" s="379"/>
      <c r="F33" s="379"/>
      <c r="G33" s="177"/>
      <c r="H33" s="177"/>
      <c r="I33" s="380"/>
      <c r="J33" s="60"/>
    </row>
    <row r="34" spans="1:10" ht="22.35" customHeight="1">
      <c r="A34" s="60"/>
      <c r="B34" s="60"/>
      <c r="C34" s="60"/>
      <c r="D34" s="60"/>
      <c r="E34" s="75"/>
      <c r="F34" s="75"/>
      <c r="G34" s="60"/>
      <c r="H34" s="60"/>
      <c r="I34" s="60"/>
      <c r="J34" s="60"/>
    </row>
  </sheetData>
  <sheetProtection algorithmName="SHA-512" hashValue="REpOGg7WdxBakw7oRZJGzsuuGFOiinhCuXPnDcereXdtTMFTY9aUI1kMPcvtcNY5XukJ74BQmvuLDsxIECWVvQ==" saltValue="TOjq2J9FdnMdbfbTpIogpg==" spinCount="100000" sheet="1" objects="1" scenarios="1" selectLockedCells="1"/>
  <mergeCells count="5">
    <mergeCell ref="B4:I4"/>
    <mergeCell ref="C28:H28"/>
    <mergeCell ref="C10:H10"/>
    <mergeCell ref="C32:H32"/>
    <mergeCell ref="C29:H29"/>
  </mergeCells>
  <conditionalFormatting sqref="E26">
    <cfRule type="expression" dxfId="35" priority="13">
      <formula>-ROUND($D$8,3)=ROUND($E$26,3)</formula>
    </cfRule>
    <cfRule type="expression" dxfId="34" priority="14">
      <formula>AND(E26&lt;&gt;"",E26&gt;0)</formula>
    </cfRule>
  </conditionalFormatting>
  <dataValidations count="1">
    <dataValidation type="decimal" operator="greaterThanOrEqual" allowBlank="1" showInputMessage="1" showErrorMessage="1" error="Value must not be negative" sqref="E16 E14 E20" xr:uid="{00000000-0002-0000-0C00-000000000000}">
      <formula1>0</formula1>
    </dataValidation>
  </dataValidations>
  <hyperlinks>
    <hyperlink ref="H7" location="Results!A1" display="Results Summary" xr:uid="{00000000-0004-0000-0C00-000000000000}"/>
    <hyperlink ref="H6" location="Main!E65" display="Return to Main É" xr:uid="{00000000-0004-0000-0C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7" r:id="rId4" name="Check Box 5">
              <controlPr defaultSize="0" autoFill="0" autoLine="0" autoPict="0" altText="Exclude From Results Summary">
                <anchor moveWithCells="1">
                  <from>
                    <xdr:col>6</xdr:col>
                    <xdr:colOff>0</xdr:colOff>
                    <xdr:row>25</xdr:row>
                    <xdr:rowOff>0</xdr:rowOff>
                  </from>
                  <to>
                    <xdr:col>7</xdr:col>
                    <xdr:colOff>0</xdr:colOff>
                    <xdr:row>26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operator="greaterThanOrEqual" allowBlank="1" showErrorMessage="1" error="Select value from drop-down list" xr:uid="{00000000-0002-0000-0C00-000001000000}">
          <x14:formula1>
            <xm:f>VL_REF!$CE$12:$CE$16</xm:f>
          </x14:formula1>
          <xm:sqref>E12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723B2-9064-442A-B528-DC9A532D5571}">
  <sheetPr codeName="Sheet7">
    <tabColor theme="4"/>
  </sheetPr>
  <dimension ref="A1:L36"/>
  <sheetViews>
    <sheetView showGridLines="0" showRowColHeaders="0" topLeftCell="A3" zoomScaleNormal="100" workbookViewId="0">
      <selection activeCell="E12" sqref="E12"/>
    </sheetView>
  </sheetViews>
  <sheetFormatPr defaultColWidth="0" defaultRowHeight="15" customHeight="1" zeroHeight="1"/>
  <cols>
    <col min="1" max="1" width="4.42578125" style="87" customWidth="1"/>
    <col min="2" max="2" width="8.85546875" style="87" customWidth="1"/>
    <col min="3" max="3" width="20" style="87" customWidth="1"/>
    <col min="4" max="4" width="45.5703125" style="87" customWidth="1"/>
    <col min="5" max="5" width="10.5703125" style="88" customWidth="1"/>
    <col min="6" max="6" width="5.5703125" style="88" customWidth="1"/>
    <col min="7" max="7" width="18.42578125" style="87" customWidth="1"/>
    <col min="8" max="8" width="17.5703125" style="87" customWidth="1"/>
    <col min="9" max="9" width="8.85546875" style="87" customWidth="1"/>
    <col min="10" max="10" width="4.5703125" style="87" customWidth="1"/>
    <col min="11" max="12" width="54.5703125" style="87" hidden="1" customWidth="1"/>
    <col min="13" max="16384" width="8.85546875" style="87" hidden="1"/>
  </cols>
  <sheetData>
    <row r="1" spans="1:11" hidden="1">
      <c r="A1" s="60"/>
      <c r="B1" s="60"/>
      <c r="C1" s="60"/>
      <c r="D1" s="60"/>
      <c r="E1" s="75"/>
      <c r="F1" s="75"/>
      <c r="G1" s="60"/>
      <c r="H1" s="60"/>
      <c r="I1" s="60"/>
      <c r="J1" s="60"/>
    </row>
    <row r="2" spans="1:11" hidden="1">
      <c r="A2" s="60"/>
      <c r="B2" s="60"/>
      <c r="C2" s="60"/>
      <c r="D2" s="60"/>
      <c r="E2" s="75"/>
      <c r="F2" s="75"/>
      <c r="G2" s="60"/>
      <c r="H2" s="60"/>
      <c r="I2" s="60"/>
      <c r="J2" s="60"/>
    </row>
    <row r="3" spans="1:11" ht="22.35" customHeight="1">
      <c r="A3" s="60"/>
      <c r="B3" s="39"/>
      <c r="C3" s="60"/>
      <c r="D3" s="60"/>
      <c r="E3" s="75"/>
      <c r="F3" s="75"/>
      <c r="G3" s="90"/>
      <c r="H3" s="90"/>
      <c r="I3" s="60"/>
      <c r="J3" s="60"/>
    </row>
    <row r="4" spans="1:11" ht="21.6" customHeight="1">
      <c r="A4" s="187" t="s">
        <v>110</v>
      </c>
      <c r="B4" s="649" t="str">
        <f>A4&amp;". "&amp;INDEX(VL_TDM!$E$11:$E$41,MATCH($A$4,VL_TDM!$B$11:$B$41,0),1)</f>
        <v>3A2. Unbundle Parking Costs from Property Cost</v>
      </c>
      <c r="C4" s="600"/>
      <c r="D4" s="600"/>
      <c r="E4" s="600"/>
      <c r="F4" s="600"/>
      <c r="G4" s="600"/>
      <c r="H4" s="600"/>
      <c r="I4" s="601"/>
      <c r="J4" s="60"/>
    </row>
    <row r="5" spans="1:11" ht="15" customHeight="1">
      <c r="A5" s="60"/>
      <c r="B5" s="65"/>
      <c r="C5" s="71"/>
      <c r="D5" s="71"/>
      <c r="E5" s="71"/>
      <c r="F5" s="71"/>
      <c r="G5" s="73"/>
      <c r="H5" s="73"/>
      <c r="I5" s="64"/>
      <c r="J5" s="60"/>
      <c r="K5" s="60"/>
    </row>
    <row r="6" spans="1:11" ht="15" customHeight="1">
      <c r="A6" s="60"/>
      <c r="B6" s="65"/>
      <c r="C6" s="71" t="s">
        <v>723</v>
      </c>
      <c r="D6" s="82" t="str">
        <f>INDEX(VL_TDM!$AC$11:$AC$41,MATCH($A$4,VL_TDM!$B$11:$B$41,0),1)</f>
        <v>Project/Site</v>
      </c>
      <c r="E6" s="73"/>
      <c r="F6" s="73"/>
      <c r="G6" s="73"/>
      <c r="H6" s="500" t="s">
        <v>120</v>
      </c>
      <c r="I6" s="64"/>
      <c r="J6" s="60"/>
    </row>
    <row r="7" spans="1:11" ht="15" customHeight="1">
      <c r="A7" s="60"/>
      <c r="B7" s="65"/>
      <c r="C7" s="81" t="s">
        <v>724</v>
      </c>
      <c r="D7" s="85" t="str">
        <f>INDEX(VL_TDM!$AD$11:$AD$41,MATCH($A$4,VL_TDM!$B$11:$B$41,0),1)</f>
        <v>Project-generated trips</v>
      </c>
      <c r="E7" s="71"/>
      <c r="F7" s="370"/>
      <c r="G7" s="73"/>
      <c r="H7" s="500" t="s">
        <v>153</v>
      </c>
      <c r="I7" s="64"/>
      <c r="J7" s="60"/>
    </row>
    <row r="8" spans="1:11" ht="15" customHeight="1">
      <c r="A8" s="60"/>
      <c r="B8" s="65"/>
      <c r="C8" s="81" t="s">
        <v>725</v>
      </c>
      <c r="D8" s="86">
        <f>INDEX(VL_TDM!$AE$11:$AE$41,MATCH($A$4,VL_TDM!$B$11:$B$41,0),1)</f>
        <v>0.13300000000000001</v>
      </c>
      <c r="E8" s="71"/>
      <c r="F8" s="71"/>
      <c r="G8" s="73"/>
      <c r="H8" s="73"/>
      <c r="I8" s="64"/>
      <c r="J8" s="60"/>
      <c r="K8" s="60"/>
    </row>
    <row r="9" spans="1:11" ht="15" customHeight="1">
      <c r="A9" s="60"/>
      <c r="B9" s="65"/>
      <c r="C9" s="71"/>
      <c r="D9" s="71"/>
      <c r="E9" s="73"/>
      <c r="F9" s="73"/>
      <c r="G9" s="71"/>
      <c r="H9" s="71"/>
      <c r="I9" s="64"/>
      <c r="J9" s="60"/>
    </row>
    <row r="10" spans="1:11" ht="153.75" customHeight="1">
      <c r="A10" s="60"/>
      <c r="B10" s="65"/>
      <c r="C10" s="602" t="str">
        <f>INDEX(VL_TDM!$AF$11:$AF$41,MATCH($A$4,VL_TDM!$B$11:$B$41,0),1)</f>
        <v>This strategy will unbundle, or separate, a residential project’s parking costs from property costs, requiring those who wish to purchase parking spaces to do so at an additional cost from the property cost. On the assumption that parking costs are passed through to the vehicle owners/drivers utilizing the parking spaces, this strategy results in decreased vehicle ownership and, therefore, a reduction in VMT and GHG emissions. Unbundling may not be available to all residential developments, depending on funding sources.
Note: please carefully specify the "Percent of project-generated VMT from residents" input, especially for projects with a high proportion of non-resident trips (e.g. schools, hotels, shopping centers). One way to estimate this value is to look at the trip generation calculations for the project and determine what proportion of the total trips comes from the residential portion of the project.</v>
      </c>
      <c r="D10" s="594"/>
      <c r="E10" s="594"/>
      <c r="F10" s="594"/>
      <c r="G10" s="594"/>
      <c r="H10" s="594"/>
      <c r="I10" s="64"/>
      <c r="J10" s="60"/>
    </row>
    <row r="11" spans="1:11" ht="15" customHeight="1">
      <c r="A11" s="60"/>
      <c r="B11" s="65"/>
      <c r="C11" s="71"/>
      <c r="D11" s="71"/>
      <c r="E11" s="73"/>
      <c r="F11" s="73"/>
      <c r="G11" s="71"/>
      <c r="H11" s="71"/>
      <c r="I11" s="64"/>
      <c r="J11" s="60"/>
    </row>
    <row r="12" spans="1:11" ht="15" customHeight="1">
      <c r="A12" s="60"/>
      <c r="B12" s="65"/>
      <c r="C12" s="77" t="s">
        <v>807</v>
      </c>
      <c r="D12" s="71"/>
      <c r="E12" s="197"/>
      <c r="F12" s="73"/>
      <c r="G12" s="71" t="s">
        <v>17</v>
      </c>
      <c r="H12" s="71"/>
      <c r="I12" s="64"/>
      <c r="J12" s="60"/>
    </row>
    <row r="13" spans="1:11" ht="7.35" customHeight="1">
      <c r="A13" s="60"/>
      <c r="B13" s="65"/>
      <c r="C13" s="77"/>
      <c r="D13" s="71"/>
      <c r="E13" s="210"/>
      <c r="F13" s="73"/>
      <c r="G13" s="71"/>
      <c r="H13" s="71"/>
      <c r="I13" s="64"/>
      <c r="J13" s="60"/>
    </row>
    <row r="14" spans="1:11" ht="15" customHeight="1">
      <c r="A14" s="60"/>
      <c r="B14" s="65"/>
      <c r="C14" s="77" t="s">
        <v>808</v>
      </c>
      <c r="D14" s="71"/>
      <c r="E14" s="423">
        <v>9282</v>
      </c>
      <c r="F14" s="73"/>
      <c r="G14" s="71" t="str">
        <f>"constant, source (1)"&amp;IF(ISBLANK(E16),"",", overridden")</f>
        <v>constant, source (1)</v>
      </c>
      <c r="H14" s="71"/>
      <c r="I14" s="64"/>
      <c r="J14" s="16"/>
    </row>
    <row r="15" spans="1:11" ht="7.35" customHeight="1">
      <c r="A15" s="60"/>
      <c r="B15" s="65"/>
      <c r="C15" s="77"/>
      <c r="D15" s="71"/>
      <c r="E15" s="378" t="str">
        <f>IF(E14=0,0.001,"")</f>
        <v/>
      </c>
      <c r="F15" s="73"/>
      <c r="G15" s="71"/>
      <c r="H15" s="71"/>
      <c r="I15" s="64"/>
      <c r="J15" s="60"/>
    </row>
    <row r="16" spans="1:11" ht="15" customHeight="1">
      <c r="A16" s="60"/>
      <c r="B16" s="65"/>
      <c r="C16" s="77" t="s">
        <v>809</v>
      </c>
      <c r="D16" s="71"/>
      <c r="E16" s="426"/>
      <c r="F16" s="73"/>
      <c r="G16" s="207" t="s">
        <v>20</v>
      </c>
      <c r="H16" s="71"/>
      <c r="I16" s="64"/>
      <c r="J16" s="16"/>
    </row>
    <row r="17" spans="1:10" ht="7.35" customHeight="1">
      <c r="A17" s="60"/>
      <c r="B17" s="65"/>
      <c r="C17" s="77"/>
      <c r="D17" s="71"/>
      <c r="E17" s="378"/>
      <c r="F17" s="73"/>
      <c r="G17" s="71"/>
      <c r="H17" s="71"/>
      <c r="I17" s="64"/>
      <c r="J17" s="60"/>
    </row>
    <row r="18" spans="1:10" ht="15.6" customHeight="1">
      <c r="A18" s="60"/>
      <c r="B18" s="65"/>
      <c r="C18" s="77" t="s">
        <v>810</v>
      </c>
      <c r="D18" s="71"/>
      <c r="E18" s="424">
        <f>IF(ISBLANK(E16),E14,E16)</f>
        <v>9282</v>
      </c>
      <c r="F18" s="73"/>
      <c r="G18" s="81" t="s">
        <v>744</v>
      </c>
      <c r="H18" s="81"/>
      <c r="I18" s="64"/>
      <c r="J18" s="60"/>
    </row>
    <row r="19" spans="1:10" ht="7.35" customHeight="1">
      <c r="A19" s="60"/>
      <c r="B19" s="65"/>
      <c r="C19" s="77"/>
      <c r="D19" s="71"/>
      <c r="E19" s="71"/>
      <c r="F19" s="73"/>
      <c r="G19" s="71"/>
      <c r="H19" s="71"/>
      <c r="I19" s="64"/>
      <c r="J19" s="60"/>
    </row>
    <row r="20" spans="1:10" ht="15" customHeight="1">
      <c r="A20" s="60"/>
      <c r="B20" s="65"/>
      <c r="C20" s="77" t="s">
        <v>811</v>
      </c>
      <c r="D20" s="71"/>
      <c r="E20" s="425">
        <v>-0.4</v>
      </c>
      <c r="F20" s="73"/>
      <c r="G20" s="71" t="s">
        <v>812</v>
      </c>
      <c r="H20" s="71"/>
      <c r="I20" s="64"/>
      <c r="J20" s="16"/>
    </row>
    <row r="21" spans="1:10" ht="7.35" customHeight="1">
      <c r="A21" s="60"/>
      <c r="B21" s="65"/>
      <c r="C21" s="77"/>
      <c r="D21" s="71"/>
      <c r="E21" s="71"/>
      <c r="F21" s="73"/>
      <c r="G21" s="71"/>
      <c r="H21" s="71"/>
      <c r="I21" s="64"/>
      <c r="J21" s="60"/>
    </row>
    <row r="22" spans="1:10" ht="15" customHeight="1">
      <c r="A22" s="60"/>
      <c r="B22" s="65"/>
      <c r="C22" s="77" t="s">
        <v>813</v>
      </c>
      <c r="D22" s="71"/>
      <c r="E22" s="376">
        <v>0.86</v>
      </c>
      <c r="F22" s="73"/>
      <c r="G22" s="421" t="s">
        <v>748</v>
      </c>
      <c r="H22" s="421"/>
      <c r="I22" s="64"/>
      <c r="J22" s="16"/>
    </row>
    <row r="23" spans="1:10" ht="7.35" customHeight="1">
      <c r="A23" s="60"/>
      <c r="B23" s="65"/>
      <c r="C23" s="77"/>
      <c r="D23" s="71"/>
      <c r="E23" s="71"/>
      <c r="F23" s="73"/>
      <c r="G23" s="71"/>
      <c r="H23" s="71"/>
      <c r="I23" s="64"/>
      <c r="J23" s="60"/>
    </row>
    <row r="24" spans="1:10" ht="15" customHeight="1">
      <c r="A24" s="60"/>
      <c r="B24" s="65"/>
      <c r="C24" s="77" t="s">
        <v>814</v>
      </c>
      <c r="D24" s="71"/>
      <c r="E24" s="376">
        <v>1</v>
      </c>
      <c r="F24" s="73"/>
      <c r="G24" s="80" t="s">
        <v>750</v>
      </c>
      <c r="H24" s="71"/>
      <c r="I24" s="64"/>
      <c r="J24" s="16"/>
    </row>
    <row r="25" spans="1:10" ht="7.35" customHeight="1">
      <c r="A25" s="60"/>
      <c r="B25" s="65"/>
      <c r="C25" s="77"/>
      <c r="D25" s="71"/>
      <c r="E25" s="71"/>
      <c r="F25" s="73"/>
      <c r="G25" s="71"/>
      <c r="H25" s="71"/>
      <c r="I25" s="64"/>
      <c r="J25" s="60"/>
    </row>
    <row r="26" spans="1:10" ht="15" customHeight="1">
      <c r="A26" s="60"/>
      <c r="B26" s="65"/>
      <c r="C26" s="76" t="s">
        <v>753</v>
      </c>
      <c r="D26" s="71"/>
      <c r="E26" s="56"/>
      <c r="F26" s="73"/>
      <c r="G26" s="204" t="s">
        <v>17</v>
      </c>
      <c r="H26" s="71"/>
      <c r="I26" s="64"/>
      <c r="J26" s="16"/>
    </row>
    <row r="27" spans="1:10" ht="7.35" customHeight="1">
      <c r="A27" s="60"/>
      <c r="B27" s="65"/>
      <c r="C27" s="77"/>
      <c r="D27" s="71"/>
      <c r="E27" s="71"/>
      <c r="F27" s="73"/>
      <c r="G27" s="71"/>
      <c r="H27" s="71"/>
      <c r="I27" s="64"/>
      <c r="J27" s="60"/>
    </row>
    <row r="28" spans="1:10" ht="15" customHeight="1">
      <c r="A28" s="60"/>
      <c r="B28" s="65"/>
      <c r="C28" s="77" t="s">
        <v>147</v>
      </c>
      <c r="D28" s="71"/>
      <c r="E28" s="98" t="str">
        <f>IF(OR(E12="",E26=""),"",IFERROR(MAX(-D8,(E12/E18)*E20*E22*E24*E26),""))</f>
        <v/>
      </c>
      <c r="F28" s="378"/>
      <c r="G28" s="43" t="b">
        <v>0</v>
      </c>
      <c r="H28" s="170" t="str">
        <f>IF(OR(G28=TRUE,E28=""),"Not Active","Active")</f>
        <v>Not Active</v>
      </c>
      <c r="I28" s="64"/>
      <c r="J28" s="60"/>
    </row>
    <row r="29" spans="1:10" ht="15" customHeight="1">
      <c r="A29" s="60"/>
      <c r="B29" s="65"/>
      <c r="C29" s="71"/>
      <c r="D29" s="71"/>
      <c r="E29" s="73"/>
      <c r="F29" s="73"/>
      <c r="G29" s="71"/>
      <c r="H29" s="71"/>
      <c r="I29" s="64"/>
      <c r="J29" s="60"/>
    </row>
    <row r="30" spans="1:10" ht="51.95" customHeight="1">
      <c r="A30" s="60"/>
      <c r="B30" s="65"/>
      <c r="C30" s="640" t="str">
        <f>"Formula:  % Change in VMT =  " &amp; SUBSTITUTE("( " &amp; C12 &amp; " / " &amp; C18 &amp; " ) * " &amp; C20 &amp; " * " &amp; C22 &amp; " * " &amp; C24 &amp; " * " &amp; C26," used for calculation","")</f>
        <v>Formula:  % Change in VMT =  ( Annual parking cost per space / Average annual vehicle cost ) * Elasticity of vehicle ownership with respect to total vehicle cost * Adjustment factor from vehicle ownership to vehicle trips * Adjustment factor from vehicle trips to VMT * Percent of project-generated VMT from residents</v>
      </c>
      <c r="D30" s="641"/>
      <c r="E30" s="641"/>
      <c r="F30" s="641"/>
      <c r="G30" s="641"/>
      <c r="H30" s="642"/>
      <c r="I30" s="64"/>
      <c r="J30" s="60"/>
    </row>
    <row r="31" spans="1:10" ht="23.25" customHeight="1">
      <c r="A31" s="60"/>
      <c r="B31" s="65"/>
      <c r="C31" s="650" t="s">
        <v>815</v>
      </c>
      <c r="D31" s="651"/>
      <c r="E31" s="651"/>
      <c r="F31" s="651"/>
      <c r="G31" s="651"/>
      <c r="H31" s="652"/>
      <c r="I31" s="64"/>
      <c r="J31" s="60"/>
    </row>
    <row r="32" spans="1:10" ht="15" customHeight="1">
      <c r="A32" s="60"/>
      <c r="B32" s="65"/>
      <c r="C32" s="71"/>
      <c r="D32" s="71"/>
      <c r="E32" s="73"/>
      <c r="F32" s="73"/>
      <c r="G32" s="71"/>
      <c r="H32" s="71"/>
      <c r="I32" s="64"/>
      <c r="J32" s="60"/>
    </row>
    <row r="33" spans="1:10" ht="15" customHeight="1">
      <c r="A33" s="60"/>
      <c r="B33" s="65"/>
      <c r="C33" s="71" t="s">
        <v>732</v>
      </c>
      <c r="D33" s="71"/>
      <c r="E33" s="73"/>
      <c r="F33" s="73"/>
      <c r="G33" s="71"/>
      <c r="H33" s="71"/>
      <c r="I33" s="64"/>
      <c r="J33" s="60"/>
    </row>
    <row r="34" spans="1:10" ht="123.75" customHeight="1">
      <c r="A34" s="60"/>
      <c r="B34" s="65"/>
      <c r="C34" s="616" t="str">
        <f>INDEX(VL_TDM!$AG$11:$AG$41,MATCH($A$4,VL_TDM!$B$11:$B$41,0),1)</f>
        <v>(1) AAA. 2019. Your Driving Costs. September. Available: https://exchange.aaa.com/wpcontent/uploads/2019/09/AAA-Your-Driving-Costs-2019.pdf. Accessed: January 2021.
(2) California Department of Transportation (Caltrans). 2002. 2000–2001 California Statewide Household Travel Survey Final Report. Available: https://trid.trb.org/view.aspx?id=681358. Accessed: January 2021.
(3) Litman, T. 2020. Parking Requirement Impacts on Housing Affordability. June. Available: https://www.vtpi.org/park-hou.pdf. Accessed: January 2021.</v>
      </c>
      <c r="D34" s="594"/>
      <c r="E34" s="594"/>
      <c r="F34" s="594"/>
      <c r="G34" s="594"/>
      <c r="H34" s="594"/>
      <c r="I34" s="64"/>
      <c r="J34" s="60"/>
    </row>
    <row r="35" spans="1:10" ht="15" customHeight="1">
      <c r="A35" s="60"/>
      <c r="B35" s="74"/>
      <c r="C35" s="177"/>
      <c r="D35" s="177"/>
      <c r="E35" s="379"/>
      <c r="F35" s="379"/>
      <c r="G35" s="177"/>
      <c r="H35" s="177"/>
      <c r="I35" s="380"/>
      <c r="J35" s="60"/>
    </row>
    <row r="36" spans="1:10" ht="22.35" customHeight="1">
      <c r="A36" s="60"/>
      <c r="B36" s="60"/>
      <c r="C36" s="60"/>
      <c r="D36" s="60"/>
      <c r="E36" s="75"/>
      <c r="F36" s="75"/>
      <c r="G36" s="60"/>
      <c r="H36" s="60"/>
      <c r="I36" s="60"/>
      <c r="J36" s="60"/>
    </row>
  </sheetData>
  <sheetProtection algorithmName="SHA-512" hashValue="bM1Bp/vo0fk7xaangL5XAwvFwdrFNrzc8dopgBf1ZfBapJTTelA7brhDd8i77IoUDejz+cap1tNapuKvtSLubQ==" saltValue="/hV2SWGaurquiA75kZYfuQ==" spinCount="100000" sheet="1" objects="1" scenarios="1" selectLockedCells="1"/>
  <mergeCells count="5">
    <mergeCell ref="B4:I4"/>
    <mergeCell ref="C10:H10"/>
    <mergeCell ref="C30:H30"/>
    <mergeCell ref="C31:H31"/>
    <mergeCell ref="C34:H34"/>
  </mergeCells>
  <conditionalFormatting sqref="E28">
    <cfRule type="expression" dxfId="33" priority="1">
      <formula>-ROUND($D$8,3)=ROUND($E$28,3)</formula>
    </cfRule>
    <cfRule type="expression" dxfId="32" priority="2">
      <formula>AND(E28&lt;&gt;"",E28&gt;0)</formula>
    </cfRule>
  </conditionalFormatting>
  <dataValidations count="3">
    <dataValidation type="decimal" allowBlank="1" showErrorMessage="1" error="Please enter a numeric value between $0 and $3,600." sqref="E12" xr:uid="{4433A66A-BC31-45B5-877D-1EAB5B9814B1}">
      <formula1>0</formula1>
      <formula2>3600</formula2>
    </dataValidation>
    <dataValidation type="decimal" operator="greaterThanOrEqual" allowBlank="1" showInputMessage="1" showErrorMessage="1" error="Value must not be negative" sqref="E16" xr:uid="{C9859D53-E561-49C8-999D-52B2B0C72617}">
      <formula1>0</formula1>
    </dataValidation>
    <dataValidation type="decimal" allowBlank="1" showErrorMessage="1" error="Please enter a value between 0% and 100%." sqref="E26" xr:uid="{5316C5EE-45B1-41FC-9460-72BF36B0058F}">
      <formula1>0</formula1>
      <formula2>1</formula2>
    </dataValidation>
  </dataValidations>
  <hyperlinks>
    <hyperlink ref="H7" location="Results!A1" display="Results Summary" xr:uid="{9F8C7565-53D3-4DB2-B7CC-9BCF07F55E0E}"/>
    <hyperlink ref="H6" location="Main!E65" display="Return to Main É" xr:uid="{286AB19A-22A4-4002-8349-098D31C23248}"/>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3825" r:id="rId4" name="Check Box 1">
              <controlPr defaultSize="0" autoFill="0" autoLine="0" autoPict="0" altText="Exclude From Results Summary">
                <anchor moveWithCells="1">
                  <from>
                    <xdr:col>6</xdr:col>
                    <xdr:colOff>0</xdr:colOff>
                    <xdr:row>27</xdr:row>
                    <xdr:rowOff>0</xdr:rowOff>
                  </from>
                  <to>
                    <xdr:col>7</xdr:col>
                    <xdr:colOff>0</xdr:colOff>
                    <xdr:row>28</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4"/>
  </sheetPr>
  <dimension ref="A1:K26"/>
  <sheetViews>
    <sheetView showGridLines="0" showRowColHeaders="0" zoomScaleNormal="100" workbookViewId="0">
      <selection activeCell="E10" sqref="E10"/>
    </sheetView>
  </sheetViews>
  <sheetFormatPr defaultColWidth="0" defaultRowHeight="15" zeroHeight="1"/>
  <cols>
    <col min="1" max="1" width="4.42578125" style="87" customWidth="1"/>
    <col min="2" max="2" width="8.85546875" style="87" customWidth="1"/>
    <col min="3" max="3" width="20" style="87" customWidth="1"/>
    <col min="4" max="4" width="47.5703125" style="87" customWidth="1"/>
    <col min="5" max="5" width="10.5703125" style="88" customWidth="1"/>
    <col min="6" max="6" width="5.5703125" style="87" customWidth="1"/>
    <col min="7" max="7" width="18.42578125" style="87" customWidth="1"/>
    <col min="8" max="8" width="17.5703125" style="87" customWidth="1"/>
    <col min="9" max="9" width="8.85546875" style="87" customWidth="1"/>
    <col min="10" max="10" width="4.42578125" style="87" customWidth="1"/>
    <col min="11" max="12" width="8.85546875" hidden="1" customWidth="1"/>
    <col min="13" max="16384" width="8.85546875" hidden="1"/>
  </cols>
  <sheetData>
    <row r="1" spans="1:11" ht="22.35" customHeight="1">
      <c r="A1" s="60"/>
      <c r="B1" s="39"/>
      <c r="C1" s="60"/>
      <c r="D1" s="60"/>
      <c r="E1" s="75"/>
      <c r="F1" s="60"/>
      <c r="G1" s="60"/>
      <c r="H1" s="60"/>
      <c r="I1" s="60"/>
      <c r="J1" s="60"/>
    </row>
    <row r="2" spans="1:11" ht="21.6" customHeight="1">
      <c r="A2" s="187" t="s">
        <v>113</v>
      </c>
      <c r="B2" s="649" t="s">
        <v>816</v>
      </c>
      <c r="C2" s="653"/>
      <c r="D2" s="653"/>
      <c r="E2" s="653"/>
      <c r="F2" s="653"/>
      <c r="G2" s="653"/>
      <c r="H2" s="653"/>
      <c r="I2" s="654"/>
      <c r="J2" s="60"/>
    </row>
    <row r="3" spans="1:11" ht="15" customHeight="1">
      <c r="A3" s="60"/>
      <c r="B3" s="65"/>
      <c r="C3" s="71"/>
      <c r="D3" s="71"/>
      <c r="E3" s="71"/>
      <c r="F3" s="71"/>
      <c r="G3" s="73"/>
      <c r="H3" s="73"/>
      <c r="I3" s="64"/>
      <c r="J3" s="60"/>
      <c r="K3" s="16"/>
    </row>
    <row r="4" spans="1:11" ht="15" customHeight="1">
      <c r="A4" s="60"/>
      <c r="B4" s="65"/>
      <c r="C4" s="71" t="s">
        <v>723</v>
      </c>
      <c r="D4" s="82" t="s">
        <v>226</v>
      </c>
      <c r="E4" s="73"/>
      <c r="F4" s="73"/>
      <c r="G4" s="84"/>
      <c r="H4" s="500" t="s">
        <v>120</v>
      </c>
      <c r="I4" s="64"/>
      <c r="J4" s="60"/>
    </row>
    <row r="5" spans="1:11" ht="15" customHeight="1">
      <c r="A5" s="60"/>
      <c r="B5" s="65"/>
      <c r="C5" s="81" t="s">
        <v>724</v>
      </c>
      <c r="D5" s="85" t="s">
        <v>227</v>
      </c>
      <c r="E5" s="71"/>
      <c r="F5" s="370"/>
      <c r="G5" s="84"/>
      <c r="H5" s="500" t="s">
        <v>153</v>
      </c>
      <c r="I5" s="64"/>
      <c r="J5" s="60"/>
    </row>
    <row r="6" spans="1:11" ht="15" customHeight="1">
      <c r="A6" s="60"/>
      <c r="B6" s="65"/>
      <c r="C6" s="81" t="s">
        <v>725</v>
      </c>
      <c r="D6" s="86">
        <v>0.12</v>
      </c>
      <c r="E6" s="71"/>
      <c r="F6" s="71"/>
      <c r="G6" s="73"/>
      <c r="H6" s="73"/>
      <c r="I6" s="64"/>
      <c r="J6" s="60"/>
      <c r="K6" s="16"/>
    </row>
    <row r="7" spans="1:11" ht="15" customHeight="1">
      <c r="A7" s="60"/>
      <c r="B7" s="65"/>
      <c r="C7" s="83"/>
      <c r="D7" s="370"/>
      <c r="E7" s="73"/>
      <c r="F7" s="73"/>
      <c r="G7" s="71"/>
      <c r="H7" s="71"/>
      <c r="I7" s="64"/>
      <c r="J7" s="60"/>
    </row>
    <row r="8" spans="1:11" ht="61.5" customHeight="1">
      <c r="A8" s="60"/>
      <c r="B8" s="65"/>
      <c r="C8" s="602" t="str">
        <f>INDEX(VL_TDM!$AF$11:$AF$41,MATCH($A$2,VL_TDM!$B$11:$B$41,0),1)</f>
        <v>This strategy will require project employers to offer employee parking cash-out. Cash-out is when employers provide employees with a choice of forgoing their current subsidized/free parking for a cash payment equivalent that is equal to or greater than the cost of the parking space. This encourages employees to use other modes of travel instead of single occupancy vehicles. This mode shift results in people driving less and thereby reduces VMT and GHG emissions.</v>
      </c>
      <c r="D8" s="602"/>
      <c r="E8" s="602"/>
      <c r="F8" s="602"/>
      <c r="G8" s="602"/>
      <c r="H8" s="602"/>
      <c r="I8" s="64"/>
      <c r="J8" s="60"/>
    </row>
    <row r="9" spans="1:11" ht="15" customHeight="1">
      <c r="A9" s="60"/>
      <c r="B9" s="65"/>
      <c r="C9" s="71"/>
      <c r="D9" s="71"/>
      <c r="E9" s="73"/>
      <c r="F9" s="71"/>
      <c r="G9" s="71"/>
      <c r="H9" s="71"/>
      <c r="I9" s="64"/>
      <c r="J9" s="60"/>
    </row>
    <row r="10" spans="1:11" ht="15" customHeight="1">
      <c r="A10" s="60"/>
      <c r="B10" s="65"/>
      <c r="C10" s="76" t="s">
        <v>247</v>
      </c>
      <c r="D10" s="77"/>
      <c r="E10" s="53"/>
      <c r="F10" s="71"/>
      <c r="G10" s="207" t="s">
        <v>17</v>
      </c>
      <c r="H10" s="204"/>
      <c r="I10" s="64"/>
      <c r="J10" s="60"/>
    </row>
    <row r="11" spans="1:11" ht="7.35" customHeight="1">
      <c r="A11" s="60"/>
      <c r="B11" s="65"/>
      <c r="C11" s="77"/>
      <c r="D11" s="77"/>
      <c r="E11" s="71"/>
      <c r="F11" s="71"/>
      <c r="G11" s="205"/>
      <c r="H11" s="205"/>
      <c r="I11" s="64"/>
      <c r="J11" s="60"/>
    </row>
    <row r="12" spans="1:11" ht="15" customHeight="1">
      <c r="A12" s="60"/>
      <c r="B12" s="65"/>
      <c r="C12" s="76" t="s">
        <v>817</v>
      </c>
      <c r="D12" s="427"/>
      <c r="E12" s="377">
        <v>-0.12</v>
      </c>
      <c r="F12" s="71"/>
      <c r="G12" s="204" t="s">
        <v>804</v>
      </c>
      <c r="H12" s="204"/>
      <c r="I12" s="64"/>
      <c r="J12" s="60"/>
    </row>
    <row r="13" spans="1:11" ht="7.35" customHeight="1">
      <c r="A13" s="60"/>
      <c r="B13" s="65"/>
      <c r="C13" s="77"/>
      <c r="D13" s="77"/>
      <c r="E13" s="71"/>
      <c r="F13" s="205"/>
      <c r="G13" s="71"/>
      <c r="H13" s="71"/>
      <c r="I13" s="64"/>
      <c r="J13" s="60"/>
    </row>
    <row r="14" spans="1:11" ht="15" customHeight="1">
      <c r="A14" s="60"/>
      <c r="B14" s="65"/>
      <c r="C14" s="76" t="s">
        <v>147</v>
      </c>
      <c r="D14" s="77"/>
      <c r="E14" s="98" t="str">
        <f>IFERROR(IF(E10&lt;&gt;"",MAX(-D6,E12*E10),""),"")</f>
        <v/>
      </c>
      <c r="F14" s="378"/>
      <c r="G14" s="45" t="b">
        <v>0</v>
      </c>
      <c r="H14" s="170" t="str">
        <f>IF(OR(G14=TRUE,E14=""),"Not Active","Active")</f>
        <v>Not Active</v>
      </c>
      <c r="I14" s="64"/>
      <c r="J14" s="60"/>
    </row>
    <row r="15" spans="1:11" ht="15" customHeight="1">
      <c r="A15" s="60"/>
      <c r="B15" s="65"/>
      <c r="C15" s="71"/>
      <c r="D15" s="71"/>
      <c r="E15" s="73"/>
      <c r="F15" s="71"/>
      <c r="G15" s="71"/>
      <c r="H15" s="71"/>
      <c r="I15" s="64"/>
      <c r="J15" s="60"/>
    </row>
    <row r="16" spans="1:11" ht="17.850000000000001" customHeight="1">
      <c r="A16" s="60"/>
      <c r="B16" s="65"/>
      <c r="C16" s="633" t="str">
        <f>CONCATENATE("Formula:  % Change in VMT = ",C10," * ",C12)</f>
        <v>Formula:  % Change in VMT = % of employees eligible * % reduction in commute VMT from implementation of strategy</v>
      </c>
      <c r="D16" s="634"/>
      <c r="E16" s="634"/>
      <c r="F16" s="634"/>
      <c r="G16" s="634"/>
      <c r="H16" s="635"/>
      <c r="I16" s="64"/>
      <c r="J16" s="60"/>
    </row>
    <row r="17" spans="1:10" ht="15" customHeight="1">
      <c r="A17" s="60"/>
      <c r="B17" s="65"/>
      <c r="C17" s="71"/>
      <c r="D17" s="71"/>
      <c r="E17" s="73"/>
      <c r="F17" s="71"/>
      <c r="G17" s="71"/>
      <c r="H17" s="71"/>
      <c r="I17" s="64"/>
      <c r="J17" s="60"/>
    </row>
    <row r="18" spans="1:10" ht="15" customHeight="1">
      <c r="A18" s="60"/>
      <c r="B18" s="65"/>
      <c r="C18" s="71" t="s">
        <v>818</v>
      </c>
      <c r="D18" s="71"/>
      <c r="E18" s="73"/>
      <c r="F18" s="71"/>
      <c r="G18" s="71"/>
      <c r="H18" s="71"/>
      <c r="I18" s="64"/>
      <c r="J18" s="60"/>
    </row>
    <row r="19" spans="1:10" ht="31.5" customHeight="1">
      <c r="A19" s="60"/>
      <c r="B19" s="65"/>
      <c r="C19" s="616" t="str">
        <f>INDEX(VL_TDM!$AG$11:$AG$41,MATCH($A$2,VL_TDM!$B$11:$B$41,0),1)</f>
        <v>(1) Shoup, D. 2005. Parking Cash Out. Planners Advisory Service, American Planning Association. Available: http://shoup.bol.ucla.edu/ParkingCashOut.pdf. Accessed: January 2021.</v>
      </c>
      <c r="D19" s="616"/>
      <c r="E19" s="616"/>
      <c r="F19" s="616"/>
      <c r="G19" s="616"/>
      <c r="H19" s="616"/>
      <c r="I19" s="64"/>
      <c r="J19" s="60"/>
    </row>
    <row r="20" spans="1:10" ht="15" customHeight="1">
      <c r="A20" s="60"/>
      <c r="B20" s="74"/>
      <c r="C20" s="177"/>
      <c r="D20" s="177"/>
      <c r="E20" s="379"/>
      <c r="F20" s="177"/>
      <c r="G20" s="177"/>
      <c r="H20" s="177"/>
      <c r="I20" s="380"/>
      <c r="J20" s="60"/>
    </row>
    <row r="21" spans="1:10" ht="22.35" customHeight="1">
      <c r="A21" s="60"/>
      <c r="B21" s="16"/>
      <c r="C21" s="16"/>
      <c r="D21" s="16"/>
      <c r="E21" s="75"/>
      <c r="F21" s="60"/>
      <c r="G21" s="60"/>
      <c r="H21" s="60"/>
      <c r="I21" s="60"/>
      <c r="J21" s="60"/>
    </row>
    <row r="26" spans="1:10" hidden="1">
      <c r="G26" s="87" t="b">
        <v>1</v>
      </c>
    </row>
  </sheetData>
  <sheetProtection algorithmName="SHA-512" hashValue="G9QM1N0abnAuvJrCyaJRIZ3pKUQ7nRKF5MYIY2liH1vuw6A8vG8iXyEdcTCmkA935p32iuJGuno1riA6Qfh1Bg==" saltValue="0RNQRLOC8Fgj5hgkQwqalQ==" spinCount="100000" sheet="1" objects="1" scenarios="1" selectLockedCells="1"/>
  <mergeCells count="4">
    <mergeCell ref="B2:I2"/>
    <mergeCell ref="C16:H16"/>
    <mergeCell ref="C8:H8"/>
    <mergeCell ref="C19:H19"/>
  </mergeCells>
  <conditionalFormatting sqref="E14">
    <cfRule type="expression" dxfId="31" priority="12">
      <formula>-ROUND($D$6,3)=ROUND($E$14,3)</formula>
    </cfRule>
    <cfRule type="expression" dxfId="30" priority="13">
      <formula>AND(E14&lt;&gt;"",E14&gt;0)</formula>
    </cfRule>
  </conditionalFormatting>
  <dataValidations count="2">
    <dataValidation type="decimal" allowBlank="1" showErrorMessage="1" errorTitle="Restriction" error="Value must be between 0% and 100%_x000a_" promptTitle="Restriction" prompt="Value must be between 0% and 100%_x000a_" sqref="E10" xr:uid="{00000000-0002-0000-0D00-000000000000}">
      <formula1>0</formula1>
      <formula2>1</formula2>
    </dataValidation>
    <dataValidation allowBlank="1" showErrorMessage="1" errorTitle="Restriction" error="Value must be between 0% and 100%_x000a_" promptTitle="Restriction" prompt="Value must be between 0% and 100%_x000a_" sqref="E12" xr:uid="{00000000-0002-0000-0D00-000001000000}"/>
  </dataValidations>
  <hyperlinks>
    <hyperlink ref="H5" location="Results!A1" display="Results Summary" xr:uid="{00000000-0004-0000-0D00-000000000000}"/>
    <hyperlink ref="H4" location="Main!E65" display="Return to Main É" xr:uid="{00000000-0004-0000-0D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6259" r:id="rId4" name="Check Box 3">
              <controlPr defaultSize="0" autoFill="0" autoLine="0" autoPict="0" altText="Exclude From Results Summary">
                <anchor moveWithCells="1">
                  <from>
                    <xdr:col>6</xdr:col>
                    <xdr:colOff>28575</xdr:colOff>
                    <xdr:row>12</xdr:row>
                    <xdr:rowOff>76200</xdr:rowOff>
                  </from>
                  <to>
                    <xdr:col>7</xdr:col>
                    <xdr:colOff>0</xdr:colOff>
                    <xdr:row>14</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A4152-A021-482C-BF2C-B332CFFC9B10}">
  <sheetPr codeName="Sheet35">
    <tabColor theme="4"/>
  </sheetPr>
  <dimension ref="A1:L30"/>
  <sheetViews>
    <sheetView showGridLines="0" showRowColHeaders="0" topLeftCell="A3" zoomScaleNormal="100" workbookViewId="0">
      <selection activeCell="E12" sqref="E12"/>
    </sheetView>
  </sheetViews>
  <sheetFormatPr defaultColWidth="0" defaultRowHeight="15" customHeight="1" zeroHeight="1"/>
  <cols>
    <col min="1" max="1" width="4.42578125" style="87" customWidth="1"/>
    <col min="2" max="2" width="8.85546875" style="87" customWidth="1"/>
    <col min="3" max="3" width="20" style="87" customWidth="1"/>
    <col min="4" max="4" width="50.42578125" style="87" customWidth="1"/>
    <col min="5" max="5" width="10.5703125" style="88" customWidth="1"/>
    <col min="6" max="6" width="5.5703125" style="88" customWidth="1"/>
    <col min="7" max="7" width="18.42578125" style="87" customWidth="1"/>
    <col min="8" max="8" width="17.5703125" style="87" customWidth="1"/>
    <col min="9" max="9" width="8.85546875" style="87" customWidth="1"/>
    <col min="10" max="10" width="4.5703125" style="87" customWidth="1"/>
    <col min="11" max="12" width="54.5703125" style="87" hidden="1" customWidth="1"/>
    <col min="13" max="16384" width="8.85546875" style="87" hidden="1"/>
  </cols>
  <sheetData>
    <row r="1" spans="1:11" hidden="1">
      <c r="A1" s="60"/>
      <c r="B1" s="60"/>
      <c r="C1" s="60"/>
      <c r="D1" s="60"/>
      <c r="E1" s="75"/>
      <c r="F1" s="75"/>
      <c r="G1" s="60"/>
      <c r="H1" s="60"/>
      <c r="I1" s="60"/>
      <c r="J1" s="60"/>
    </row>
    <row r="2" spans="1:11" hidden="1">
      <c r="A2" s="60"/>
      <c r="B2" s="60"/>
      <c r="C2" s="60"/>
      <c r="D2" s="60"/>
      <c r="E2" s="75"/>
      <c r="F2" s="75"/>
      <c r="G2" s="60"/>
      <c r="H2" s="60"/>
      <c r="I2" s="60"/>
      <c r="J2" s="60"/>
    </row>
    <row r="3" spans="1:11" ht="22.35" customHeight="1">
      <c r="A3" s="60"/>
      <c r="B3" s="39"/>
      <c r="C3" s="60"/>
      <c r="D3" s="60"/>
      <c r="E3" s="75"/>
      <c r="F3" s="75"/>
      <c r="G3" s="90"/>
      <c r="H3" s="90"/>
      <c r="I3" s="60"/>
      <c r="J3" s="60"/>
    </row>
    <row r="4" spans="1:11" ht="21.6" customHeight="1">
      <c r="A4" s="187" t="s">
        <v>115</v>
      </c>
      <c r="B4" s="649" t="str">
        <f>A4&amp;". "&amp;INDEX(VL_TDM!$E$11:$E$41,MATCH($A$4,VL_TDM!$B$11:$B$41,0),1)</f>
        <v>3C. Limit Parking Supply</v>
      </c>
      <c r="C4" s="600"/>
      <c r="D4" s="600"/>
      <c r="E4" s="600"/>
      <c r="F4" s="600"/>
      <c r="G4" s="600"/>
      <c r="H4" s="600"/>
      <c r="I4" s="601"/>
      <c r="J4" s="60"/>
    </row>
    <row r="5" spans="1:11" ht="15" customHeight="1">
      <c r="A5" s="60"/>
      <c r="B5" s="65"/>
      <c r="C5" s="71"/>
      <c r="D5" s="71"/>
      <c r="E5" s="71"/>
      <c r="F5" s="71"/>
      <c r="G5" s="73"/>
      <c r="H5" s="73"/>
      <c r="I5" s="64"/>
      <c r="J5" s="60"/>
      <c r="K5" s="60"/>
    </row>
    <row r="6" spans="1:11" ht="15" customHeight="1">
      <c r="A6" s="60"/>
      <c r="B6" s="65"/>
      <c r="C6" s="71" t="s">
        <v>723</v>
      </c>
      <c r="D6" s="82" t="str">
        <f>INDEX(VL_TDM!$AC$11:$AC$41,MATCH($A$4,VL_TDM!$B$11:$B$41,0),1)</f>
        <v>Project/Site</v>
      </c>
      <c r="E6" s="73"/>
      <c r="F6" s="73"/>
      <c r="G6" s="73"/>
      <c r="H6" s="500" t="s">
        <v>120</v>
      </c>
      <c r="I6" s="64"/>
      <c r="J6" s="60"/>
    </row>
    <row r="7" spans="1:11" ht="15" customHeight="1">
      <c r="A7" s="60"/>
      <c r="B7" s="65"/>
      <c r="C7" s="81" t="s">
        <v>724</v>
      </c>
      <c r="D7" s="85" t="str">
        <f>INDEX(VL_TDM!$AD$11:$AD$41,MATCH($A$4,VL_TDM!$B$11:$B$41,0),1)</f>
        <v>Project-generated trips</v>
      </c>
      <c r="E7" s="71"/>
      <c r="F7" s="370"/>
      <c r="G7" s="73"/>
      <c r="H7" s="500" t="s">
        <v>153</v>
      </c>
      <c r="I7" s="64"/>
      <c r="J7" s="60"/>
    </row>
    <row r="8" spans="1:11" ht="15" customHeight="1">
      <c r="A8" s="60"/>
      <c r="B8" s="65"/>
      <c r="C8" s="81" t="s">
        <v>725</v>
      </c>
      <c r="D8" s="86">
        <f>INDEX(VL_TDM!$AE$11:$AE$41,MATCH($A$4,VL_TDM!$B$11:$B$41,0),1)</f>
        <v>0.13700000000000001</v>
      </c>
      <c r="E8" s="71"/>
      <c r="F8" s="71"/>
      <c r="G8" s="73"/>
      <c r="H8" s="73"/>
      <c r="I8" s="64"/>
      <c r="J8" s="60"/>
      <c r="K8" s="60"/>
    </row>
    <row r="9" spans="1:11" ht="15" customHeight="1">
      <c r="A9" s="60"/>
      <c r="B9" s="65"/>
      <c r="C9" s="71"/>
      <c r="D9" s="71"/>
      <c r="E9" s="73"/>
      <c r="F9" s="73"/>
      <c r="G9" s="71"/>
      <c r="H9" s="71"/>
      <c r="I9" s="64"/>
      <c r="J9" s="60"/>
    </row>
    <row r="10" spans="1:11" ht="159.94999999999999" customHeight="1">
      <c r="A10" s="60"/>
      <c r="B10" s="65"/>
      <c r="C10" s="602" t="str">
        <f>INDEX(VL_TDM!$AF$11:$AF$41,MATCH($A$4,VL_TDM!$B$11:$B$41,0),1)</f>
        <v>This strategy will reduce the total parking supply available at a residential project or site. Limiting the amount of parking available creates scarcity and adds additional time and inconvenience to trips made by private auto, thus disincentivizing driving as a mode of travel. Reducing the convenience of driving results in a shift to other modes and decreased VMT and thus a reduction in GHG emissions. When limiting parking supply, a best practice is to do so at sites that are located near high-quality alternative modes of travel (such as a rail station, frequent bus line, or in a higher density area with multiple walkable locations nearby). Limiting parking supply may also allow for more active uses on any given lot, which may support Strategies 2B1 and 2B2 by allowing for higher density construction. 
This strategy is ineffective in locations where unrestricted street parking or other off-site parking is available nearby and has adequate capacity to accommodate project-related vehicle parking demand. Evidence of the effects of reduced parking supply is strongest for residential developments.</v>
      </c>
      <c r="D10" s="594"/>
      <c r="E10" s="594"/>
      <c r="F10" s="594"/>
      <c r="G10" s="594"/>
      <c r="H10" s="594"/>
      <c r="I10" s="64"/>
      <c r="J10" s="60"/>
    </row>
    <row r="11" spans="1:11" ht="15" customHeight="1">
      <c r="A11" s="60"/>
      <c r="B11" s="65"/>
      <c r="C11" s="71"/>
      <c r="D11" s="71"/>
      <c r="E11" s="73"/>
      <c r="F11" s="73"/>
      <c r="G11" s="71"/>
      <c r="H11" s="71"/>
      <c r="I11" s="64"/>
      <c r="J11" s="60"/>
    </row>
    <row r="12" spans="1:11" ht="15" customHeight="1">
      <c r="A12" s="60"/>
      <c r="B12" s="65"/>
      <c r="C12" s="77" t="s">
        <v>819</v>
      </c>
      <c r="D12" s="71"/>
      <c r="E12" s="47"/>
      <c r="F12" s="73"/>
      <c r="G12" s="71" t="s">
        <v>17</v>
      </c>
      <c r="H12" s="71"/>
      <c r="I12" s="64"/>
      <c r="J12" s="16"/>
    </row>
    <row r="13" spans="1:11" ht="7.35" customHeight="1">
      <c r="A13" s="60"/>
      <c r="B13" s="65"/>
      <c r="C13" s="77"/>
      <c r="D13" s="71"/>
      <c r="E13" s="210"/>
      <c r="F13" s="73"/>
      <c r="G13" s="71"/>
      <c r="H13" s="71"/>
      <c r="I13" s="64"/>
      <c r="J13" s="60"/>
    </row>
    <row r="14" spans="1:11" ht="15" customHeight="1">
      <c r="A14" s="60"/>
      <c r="B14" s="65"/>
      <c r="C14" s="77" t="s">
        <v>820</v>
      </c>
      <c r="D14" s="71"/>
      <c r="E14" s="47"/>
      <c r="F14" s="73"/>
      <c r="G14" s="71" t="s">
        <v>17</v>
      </c>
      <c r="H14" s="71"/>
      <c r="I14" s="64"/>
      <c r="J14" s="16"/>
    </row>
    <row r="15" spans="1:11" ht="7.35" customHeight="1">
      <c r="A15" s="60"/>
      <c r="B15" s="65"/>
      <c r="C15" s="77"/>
      <c r="D15" s="71"/>
      <c r="E15" s="378">
        <f>IF(E14=0,0.001,"")</f>
        <v>1E-3</v>
      </c>
      <c r="F15" s="73"/>
      <c r="G15" s="71"/>
      <c r="H15" s="71"/>
      <c r="I15" s="64"/>
      <c r="J15" s="60"/>
    </row>
    <row r="16" spans="1:11" ht="15" customHeight="1">
      <c r="A16" s="60"/>
      <c r="B16" s="65"/>
      <c r="C16" s="77" t="s">
        <v>821</v>
      </c>
      <c r="D16" s="71"/>
      <c r="E16" s="56"/>
      <c r="F16" s="73"/>
      <c r="G16" s="71" t="s">
        <v>17</v>
      </c>
      <c r="H16" s="71"/>
      <c r="I16" s="64"/>
      <c r="J16" s="16"/>
    </row>
    <row r="17" spans="1:10" ht="7.35" customHeight="1">
      <c r="A17" s="60"/>
      <c r="B17" s="65"/>
      <c r="C17" s="77"/>
      <c r="D17" s="71"/>
      <c r="E17" s="378"/>
      <c r="F17" s="73"/>
      <c r="G17" s="71"/>
      <c r="H17" s="71"/>
      <c r="I17" s="64"/>
      <c r="J17" s="60"/>
    </row>
    <row r="18" spans="1:10" ht="15.6" customHeight="1">
      <c r="A18" s="60"/>
      <c r="B18" s="65"/>
      <c r="C18" s="77" t="s">
        <v>822</v>
      </c>
      <c r="D18" s="71"/>
      <c r="E18" s="377">
        <v>0.37</v>
      </c>
      <c r="F18" s="73"/>
      <c r="G18" s="421" t="s">
        <v>804</v>
      </c>
      <c r="H18" s="81"/>
      <c r="I18" s="64"/>
      <c r="J18" s="16"/>
    </row>
    <row r="19" spans="1:10" ht="7.35" customHeight="1">
      <c r="A19" s="60"/>
      <c r="B19" s="65"/>
      <c r="C19" s="77"/>
      <c r="D19" s="71"/>
      <c r="E19" s="71"/>
      <c r="F19" s="73"/>
      <c r="G19" s="71"/>
      <c r="H19" s="71"/>
      <c r="I19" s="64"/>
      <c r="J19" s="60"/>
    </row>
    <row r="20" spans="1:10" ht="15" customHeight="1">
      <c r="A20" s="60"/>
      <c r="B20" s="65"/>
      <c r="C20" s="77" t="s">
        <v>823</v>
      </c>
      <c r="D20" s="71"/>
      <c r="E20" s="377">
        <v>0.37</v>
      </c>
      <c r="F20" s="73"/>
      <c r="G20" s="421" t="s">
        <v>748</v>
      </c>
      <c r="H20" s="71"/>
      <c r="I20" s="64"/>
      <c r="J20" s="16"/>
    </row>
    <row r="21" spans="1:10" ht="15" customHeight="1">
      <c r="A21" s="60"/>
      <c r="B21" s="65"/>
      <c r="C21" s="77" t="s">
        <v>824</v>
      </c>
      <c r="D21" s="71"/>
      <c r="E21" s="71"/>
      <c r="F21" s="73"/>
      <c r="G21" s="71"/>
      <c r="H21" s="71"/>
      <c r="I21" s="64"/>
      <c r="J21" s="60"/>
    </row>
    <row r="22" spans="1:10" ht="7.35" customHeight="1">
      <c r="A22" s="60"/>
      <c r="B22" s="65"/>
      <c r="C22" s="77"/>
      <c r="D22" s="71"/>
      <c r="E22" s="71"/>
      <c r="F22" s="73"/>
      <c r="G22" s="71"/>
      <c r="H22" s="71"/>
      <c r="I22" s="64"/>
      <c r="J22" s="60"/>
    </row>
    <row r="23" spans="1:10" ht="15" customHeight="1">
      <c r="A23" s="60"/>
      <c r="B23" s="65"/>
      <c r="C23" s="77" t="s">
        <v>147</v>
      </c>
      <c r="D23" s="71"/>
      <c r="E23" s="98" t="str">
        <f>IF(AND(E12="",E14=""),"",IFERROR(MAX(-D8,-((E12-E14)/E12)*E16*E18*E20),""))</f>
        <v/>
      </c>
      <c r="F23" s="378"/>
      <c r="G23" s="43" t="b">
        <v>0</v>
      </c>
      <c r="H23" s="170" t="str">
        <f>IF(OR(G23=TRUE,E23=""),"Not Active","Active")</f>
        <v>Not Active</v>
      </c>
      <c r="I23" s="64"/>
      <c r="J23" s="60"/>
    </row>
    <row r="24" spans="1:10" ht="15" customHeight="1">
      <c r="A24" s="60"/>
      <c r="B24" s="65"/>
      <c r="C24" s="71"/>
      <c r="D24" s="71"/>
      <c r="E24" s="73"/>
      <c r="F24" s="73"/>
      <c r="G24" s="71"/>
      <c r="H24" s="71"/>
      <c r="I24" s="64"/>
      <c r="J24" s="60"/>
    </row>
    <row r="25" spans="1:10" ht="51.95" customHeight="1">
      <c r="A25" s="60"/>
      <c r="B25" s="65"/>
      <c r="C25" s="603" t="str">
        <f>"Formula:  % Change in VMT =  " &amp; SUBSTITUTE("-(( " &amp; C12 &amp; " - " &amp; C14 &amp; " )/ " &amp; C12 &amp; " )* " &amp; C16 &amp; " * " &amp; C18 &amp; " * " &amp; C20 &amp;"  " &amp;C21&amp; " )"," used for calculation","")</f>
        <v>Formula:  % Change in VMT =  -(( Residential parking demand (# of spaces) - Project residential parking supply )/ Residential parking demand (# of spaces) )* % of project VMT generated by residents * % of household VMT that is commute based * % reduction in commute mode share by driving among   households in areas with scarce parking )</v>
      </c>
      <c r="D25" s="604"/>
      <c r="E25" s="604"/>
      <c r="F25" s="604"/>
      <c r="G25" s="604"/>
      <c r="H25" s="645"/>
      <c r="I25" s="64"/>
      <c r="J25" s="60"/>
    </row>
    <row r="26" spans="1:10" ht="15" customHeight="1">
      <c r="A26" s="60"/>
      <c r="B26" s="65"/>
      <c r="C26" s="71"/>
      <c r="D26" s="71"/>
      <c r="E26" s="73"/>
      <c r="F26" s="73"/>
      <c r="G26" s="71"/>
      <c r="H26" s="71"/>
      <c r="I26" s="64"/>
      <c r="J26" s="60"/>
    </row>
    <row r="27" spans="1:10" ht="15" customHeight="1">
      <c r="A27" s="60"/>
      <c r="B27" s="65"/>
      <c r="C27" s="71" t="s">
        <v>732</v>
      </c>
      <c r="D27" s="71"/>
      <c r="E27" s="73"/>
      <c r="F27" s="73"/>
      <c r="G27" s="71"/>
      <c r="H27" s="71"/>
      <c r="I27" s="64"/>
      <c r="J27" s="60"/>
    </row>
    <row r="28" spans="1:10" ht="80.099999999999994" customHeight="1">
      <c r="A28" s="60"/>
      <c r="B28" s="65"/>
      <c r="C28" s="616" t="str">
        <f>INDEX(VL_TDM!$AG$11:$AG$41,MATCH($A$4,VL_TDM!$B$11:$B$41,0),1)</f>
        <v>(1) California Department of Transportation (Caltrans). 2012. California Household Travel Survey (CHTS). Available: https://www.nrel.gov/transportation/secure-transportation-data/tsdccalifornia- travel-survey.html. Accessed: January 2021. 
(2) Chatman, D. 2013. "Does TOD need the T? On the importance of factors other than rail access." Journal of the American Planning Association 79, no. 1. Available: https://trid.trb.org/view/1243004 . Accessed: January 2021.</v>
      </c>
      <c r="D28" s="594"/>
      <c r="E28" s="594"/>
      <c r="F28" s="594"/>
      <c r="G28" s="594"/>
      <c r="H28" s="594"/>
      <c r="I28" s="64"/>
      <c r="J28" s="60"/>
    </row>
    <row r="29" spans="1:10" ht="15" customHeight="1">
      <c r="A29" s="60"/>
      <c r="B29" s="74"/>
      <c r="C29" s="177"/>
      <c r="D29" s="177"/>
      <c r="E29" s="379"/>
      <c r="F29" s="379"/>
      <c r="G29" s="177"/>
      <c r="H29" s="177"/>
      <c r="I29" s="380"/>
      <c r="J29" s="60"/>
    </row>
    <row r="30" spans="1:10" ht="22.35" customHeight="1">
      <c r="A30" s="60"/>
      <c r="B30" s="16"/>
      <c r="C30" s="16"/>
      <c r="D30" s="60"/>
      <c r="E30" s="75"/>
      <c r="F30" s="75"/>
      <c r="G30" s="60"/>
      <c r="H30" s="60"/>
      <c r="I30" s="60"/>
      <c r="J30" s="60"/>
    </row>
  </sheetData>
  <sheetProtection algorithmName="SHA-512" hashValue="7VHARMEgqx41KwjuOnraKXdSxQgO+DtUTNnVEfcCWJS+00W8EVxbyN1fuuXoExNG3X1t1fBt1USypadbUjZ+BA==" saltValue="BJpr64QuVW7zlFa9pCkryw==" spinCount="100000" sheet="1" objects="1" scenarios="1" selectLockedCells="1"/>
  <mergeCells count="4">
    <mergeCell ref="B4:I4"/>
    <mergeCell ref="C10:H10"/>
    <mergeCell ref="C25:H25"/>
    <mergeCell ref="C28:H28"/>
  </mergeCells>
  <conditionalFormatting sqref="E23">
    <cfRule type="expression" dxfId="29" priority="5">
      <formula>-ROUND($D$8,3)=ROUND($E$23,3)</formula>
    </cfRule>
    <cfRule type="expression" dxfId="28" priority="6">
      <formula>AND(E23&lt;&gt;"",E23&gt;0)</formula>
    </cfRule>
  </conditionalFormatting>
  <dataValidations count="1">
    <dataValidation type="decimal" operator="greaterThanOrEqual" allowBlank="1" showInputMessage="1" showErrorMessage="1" error="Value must not be negative" sqref="E16 E14 E12" xr:uid="{12804A0C-61EF-44B2-B05A-ECDCB7AD560D}">
      <formula1>0</formula1>
    </dataValidation>
  </dataValidations>
  <hyperlinks>
    <hyperlink ref="H7" location="Results!A1" display="Results Summary" xr:uid="{9380AA42-854A-4481-BEA7-71109BB18456}"/>
    <hyperlink ref="H6" location="Main!E65" display="Return to Main É" xr:uid="{96384D8D-E475-4453-9D0C-2EC68507B0CB}"/>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ltText="Exclude From Results Summary">
                <anchor moveWithCells="1">
                  <from>
                    <xdr:col>6</xdr:col>
                    <xdr:colOff>0</xdr:colOff>
                    <xdr:row>22</xdr:row>
                    <xdr:rowOff>0</xdr:rowOff>
                  </from>
                  <to>
                    <xdr:col>7</xdr:col>
                    <xdr:colOff>0</xdr:colOff>
                    <xdr:row>23</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45F77-9BA4-4C48-A997-006C4AF85260}">
  <sheetPr codeName="Sheet36">
    <tabColor theme="4"/>
  </sheetPr>
  <dimension ref="A1:M90"/>
  <sheetViews>
    <sheetView showGridLines="0" showRowColHeaders="0" topLeftCell="A3" zoomScaleNormal="100" workbookViewId="0">
      <selection activeCell="F11" sqref="F11"/>
    </sheetView>
  </sheetViews>
  <sheetFormatPr defaultColWidth="0" defaultRowHeight="15" customHeight="1" zeroHeight="1"/>
  <cols>
    <col min="1" max="1" width="4.42578125" style="87" customWidth="1"/>
    <col min="2" max="2" width="8.85546875" style="87" customWidth="1"/>
    <col min="3" max="3" width="20" style="87" customWidth="1"/>
    <col min="4" max="4" width="25" style="87" customWidth="1"/>
    <col min="5" max="5" width="39.140625" style="87" customWidth="1"/>
    <col min="6" max="6" width="11.5703125" style="87" customWidth="1"/>
    <col min="7" max="7" width="5.5703125" style="87" customWidth="1"/>
    <col min="8" max="8" width="19.140625" style="88" customWidth="1"/>
    <col min="9" max="9" width="17.5703125" style="87" customWidth="1"/>
    <col min="10" max="10" width="8.85546875" style="87" customWidth="1"/>
    <col min="11" max="11" width="4.5703125" style="87" customWidth="1"/>
    <col min="12" max="13" width="19.85546875" hidden="1" customWidth="1"/>
    <col min="14" max="16384" width="8.85546875" hidden="1"/>
  </cols>
  <sheetData>
    <row r="1" spans="1:11" hidden="1">
      <c r="A1" s="60"/>
      <c r="B1" s="60"/>
      <c r="C1" s="60"/>
      <c r="D1" s="60"/>
      <c r="E1" s="60"/>
      <c r="F1" s="60"/>
      <c r="G1" s="60"/>
      <c r="H1" s="75"/>
      <c r="I1" s="60"/>
      <c r="J1" s="60"/>
      <c r="K1" s="60"/>
    </row>
    <row r="2" spans="1:11" ht="22.35" hidden="1" customHeight="1">
      <c r="A2" s="60"/>
      <c r="B2" s="91"/>
      <c r="C2" s="60"/>
      <c r="D2" s="60"/>
      <c r="E2" s="60"/>
      <c r="F2" s="60"/>
      <c r="G2" s="60"/>
      <c r="H2" s="75"/>
      <c r="I2" s="60"/>
      <c r="J2" s="60"/>
      <c r="K2" s="60"/>
    </row>
    <row r="3" spans="1:11" ht="22.35" customHeight="1">
      <c r="A3" s="60"/>
      <c r="B3" s="39"/>
      <c r="C3" s="60"/>
      <c r="D3" s="60"/>
      <c r="E3" s="60"/>
      <c r="F3" s="60"/>
      <c r="G3" s="60"/>
      <c r="H3" s="75"/>
      <c r="I3" s="60"/>
      <c r="J3" s="60"/>
      <c r="K3" s="60"/>
    </row>
    <row r="4" spans="1:11" ht="18.75">
      <c r="A4" s="187" t="s">
        <v>117</v>
      </c>
      <c r="B4" s="655" t="str">
        <f>A4&amp;". "&amp;INDEX(VL_TDM!$E$11:$E$41,MATCH($A$4,VL_TDM!$B$11:$B$41,0),1)</f>
        <v>3D. Provide Bike Parking</v>
      </c>
      <c r="C4" s="600"/>
      <c r="D4" s="600"/>
      <c r="E4" s="600"/>
      <c r="F4" s="600"/>
      <c r="G4" s="600"/>
      <c r="H4" s="600"/>
      <c r="I4" s="600"/>
      <c r="J4" s="601"/>
      <c r="K4" s="60"/>
    </row>
    <row r="5" spans="1:11" ht="15" customHeight="1">
      <c r="A5" s="60"/>
      <c r="B5" s="65"/>
      <c r="C5" s="82"/>
      <c r="D5" s="82"/>
      <c r="E5" s="82"/>
      <c r="F5" s="82"/>
      <c r="G5" s="71"/>
      <c r="H5" s="73"/>
      <c r="I5" s="71"/>
      <c r="J5" s="64"/>
      <c r="K5" s="60"/>
    </row>
    <row r="6" spans="1:11" ht="15" customHeight="1">
      <c r="A6" s="60"/>
      <c r="B6" s="65"/>
      <c r="C6" s="71" t="s">
        <v>723</v>
      </c>
      <c r="D6" s="370" t="str">
        <f>INDEX(VL_TDM!$AC$11:$AC$41,MATCH($A$4,VL_TDM!$B$11:$B$41,0),1)</f>
        <v>Project/Site</v>
      </c>
      <c r="E6" s="370"/>
      <c r="F6" s="73"/>
      <c r="G6" s="73"/>
      <c r="H6" s="73"/>
      <c r="I6" s="500" t="s">
        <v>120</v>
      </c>
      <c r="J6" s="64"/>
      <c r="K6" s="60"/>
    </row>
    <row r="7" spans="1:11" ht="15" customHeight="1">
      <c r="A7" s="60"/>
      <c r="B7" s="65"/>
      <c r="C7" s="81" t="s">
        <v>724</v>
      </c>
      <c r="D7" s="85" t="str">
        <f>INDEX(VL_TDM!$AD$11:$AD$41,MATCH($A$4,VL_TDM!$B$11:$B$41,0),1)</f>
        <v>Project-generated trips</v>
      </c>
      <c r="E7" s="85"/>
      <c r="F7" s="73"/>
      <c r="G7" s="73"/>
      <c r="H7" s="71"/>
      <c r="I7" s="500" t="s">
        <v>153</v>
      </c>
      <c r="J7" s="64"/>
      <c r="K7" s="60"/>
    </row>
    <row r="8" spans="1:11" ht="15" customHeight="1">
      <c r="A8" s="60"/>
      <c r="B8" s="65"/>
      <c r="C8" s="81" t="s">
        <v>725</v>
      </c>
      <c r="D8" s="86">
        <f>INDEX(VL_TDM!$AE$11:$AE$41,MATCH($A$4,VL_TDM!$B$11:$B$41,0),1)</f>
        <v>4.3999999999999997E-2</v>
      </c>
      <c r="E8" s="82"/>
      <c r="F8" s="82"/>
      <c r="G8" s="71"/>
      <c r="H8" s="73"/>
      <c r="I8" s="71"/>
      <c r="J8" s="64"/>
      <c r="K8" s="60"/>
    </row>
    <row r="9" spans="1:11" ht="15" customHeight="1">
      <c r="A9" s="60"/>
      <c r="B9" s="65"/>
      <c r="C9" s="71"/>
      <c r="D9" s="71"/>
      <c r="E9" s="71"/>
      <c r="F9" s="71"/>
      <c r="G9" s="71"/>
      <c r="H9" s="73"/>
      <c r="I9" s="71"/>
      <c r="J9" s="64"/>
      <c r="K9" s="60"/>
    </row>
    <row r="10" spans="1:11" ht="60" customHeight="1">
      <c r="A10" s="60"/>
      <c r="B10" s="65"/>
      <c r="C10" s="602" t="str">
        <f>INDEX(VL_TDM!$AF$11:$AF$41,MATCH($A$4,VL_TDM!$B$11:$B$41,0),1)</f>
        <v>This strategy will install and maintain end-of-trip facilities for employee use. End-of-trip facilities include bike parking, bike lockers, showers, and personal lockers. The provision of secure bike parking and related facilities encourages commuting by bicycle, thereby reducing VMT and GHG emissions.</v>
      </c>
      <c r="D10" s="594"/>
      <c r="E10" s="594"/>
      <c r="F10" s="594"/>
      <c r="G10" s="594"/>
      <c r="H10" s="594"/>
      <c r="I10" s="594"/>
      <c r="J10" s="64"/>
      <c r="K10" s="60"/>
    </row>
    <row r="11" spans="1:11" ht="15" customHeight="1">
      <c r="A11" s="60"/>
      <c r="B11" s="65"/>
      <c r="C11" s="76" t="s">
        <v>825</v>
      </c>
      <c r="D11" s="77"/>
      <c r="E11" s="71"/>
      <c r="F11" s="433"/>
      <c r="G11" s="71"/>
      <c r="H11" s="81" t="s">
        <v>17</v>
      </c>
      <c r="I11" s="71"/>
      <c r="J11" s="64"/>
      <c r="K11" s="60"/>
    </row>
    <row r="12" spans="1:11" ht="15" customHeight="1">
      <c r="A12" s="60"/>
      <c r="B12" s="65"/>
      <c r="C12" s="76"/>
      <c r="D12" s="77"/>
      <c r="E12" s="71"/>
      <c r="F12" s="71"/>
      <c r="G12" s="73"/>
      <c r="H12" s="381"/>
      <c r="I12" s="71"/>
      <c r="J12" s="64"/>
      <c r="K12" s="60"/>
    </row>
    <row r="13" spans="1:11" ht="15" customHeight="1">
      <c r="A13" s="60"/>
      <c r="B13" s="65"/>
      <c r="C13" s="76" t="s">
        <v>675</v>
      </c>
      <c r="D13" s="76"/>
      <c r="E13" s="204"/>
      <c r="F13" s="407" t="e">
        <f>IF(K13="Use Capcoa 2021",VL_REF!$T$3,INDEX(VL_TAZ!$O$9:$AD$9,1,MATCH($C13,VL_TAZ!$O$10:$AD$10,0)))</f>
        <v>#N/A</v>
      </c>
      <c r="G13" s="73"/>
      <c r="H13" s="71" t="str">
        <f>CONCATENATE("Alameda CTC model",IF(NOT(ISBLANK(F15)),", overridden",""))</f>
        <v>Alameda CTC model</v>
      </c>
      <c r="I13" s="71"/>
      <c r="J13" s="64"/>
      <c r="K13" s="187" t="s">
        <v>760</v>
      </c>
    </row>
    <row r="14" spans="1:11" ht="7.35" customHeight="1">
      <c r="A14" s="60"/>
      <c r="B14" s="65"/>
      <c r="C14" s="76"/>
      <c r="D14" s="77"/>
      <c r="E14" s="71"/>
      <c r="F14" s="71"/>
      <c r="G14" s="73"/>
      <c r="H14" s="205"/>
      <c r="I14" s="71"/>
      <c r="J14" s="64"/>
      <c r="K14" s="187"/>
    </row>
    <row r="15" spans="1:11" ht="15" customHeight="1">
      <c r="A15" s="60"/>
      <c r="B15" s="65"/>
      <c r="C15" s="76" t="s">
        <v>826</v>
      </c>
      <c r="D15" s="77"/>
      <c r="E15" s="428"/>
      <c r="F15" s="51"/>
      <c r="G15" s="73"/>
      <c r="H15" s="207" t="s">
        <v>20</v>
      </c>
      <c r="I15" s="71"/>
      <c r="J15" s="64"/>
      <c r="K15" s="187"/>
    </row>
    <row r="16" spans="1:11" ht="7.35" customHeight="1">
      <c r="A16" s="60"/>
      <c r="B16" s="65"/>
      <c r="C16" s="76"/>
      <c r="D16" s="77"/>
      <c r="E16" s="71"/>
      <c r="F16" s="71"/>
      <c r="G16" s="73"/>
      <c r="H16" s="71"/>
      <c r="I16" s="71"/>
      <c r="J16" s="64"/>
      <c r="K16" s="187"/>
    </row>
    <row r="17" spans="1:11">
      <c r="A17" s="60"/>
      <c r="B17" s="65"/>
      <c r="C17" s="76" t="s">
        <v>827</v>
      </c>
      <c r="D17" s="77"/>
      <c r="E17" s="71"/>
      <c r="F17" s="429" t="e">
        <f>IF(ISBLANK(F15),F13,F15)</f>
        <v>#N/A</v>
      </c>
      <c r="G17" s="71"/>
      <c r="H17" s="81" t="s">
        <v>744</v>
      </c>
      <c r="I17" s="71"/>
      <c r="J17" s="64"/>
      <c r="K17" s="22"/>
    </row>
    <row r="18" spans="1:11" ht="7.35" customHeight="1">
      <c r="A18" s="60"/>
      <c r="B18" s="65"/>
      <c r="C18" s="76"/>
      <c r="D18" s="77"/>
      <c r="E18" s="71"/>
      <c r="F18" s="71"/>
      <c r="G18" s="73"/>
      <c r="H18" s="81"/>
      <c r="I18" s="71"/>
      <c r="J18" s="64"/>
      <c r="K18" s="187"/>
    </row>
    <row r="19" spans="1:11" ht="15" customHeight="1">
      <c r="A19" s="60"/>
      <c r="B19" s="65"/>
      <c r="C19" s="76" t="s">
        <v>676</v>
      </c>
      <c r="D19" s="77"/>
      <c r="E19" s="71"/>
      <c r="F19" s="407" t="e">
        <f>IF(K19="Use Capcoa 2021",VL_REF!$U$3,INDEX(VL_TAZ!$O$9:$AD$9,1,MATCH($C19,VL_TAZ!$O$10:$AD$10,0)))</f>
        <v>#N/A</v>
      </c>
      <c r="G19" s="73"/>
      <c r="H19" s="71" t="str">
        <f>CONCATENATE("Alameda CTC model",IF(NOT(ISBLANK(F21)),", overridden",""))</f>
        <v>Alameda CTC model</v>
      </c>
      <c r="I19" s="71"/>
      <c r="J19" s="64"/>
      <c r="K19" s="187" t="s">
        <v>760</v>
      </c>
    </row>
    <row r="20" spans="1:11" ht="7.35" customHeight="1">
      <c r="A20" s="60"/>
      <c r="B20" s="65"/>
      <c r="C20" s="76"/>
      <c r="D20" s="77"/>
      <c r="E20" s="71"/>
      <c r="F20" s="71"/>
      <c r="G20" s="73"/>
      <c r="H20" s="205"/>
      <c r="I20" s="71"/>
      <c r="J20" s="64"/>
      <c r="K20" s="187"/>
    </row>
    <row r="21" spans="1:11" ht="15" customHeight="1">
      <c r="A21" s="60"/>
      <c r="B21" s="65"/>
      <c r="C21" s="76" t="s">
        <v>828</v>
      </c>
      <c r="D21" s="77"/>
      <c r="E21" s="428"/>
      <c r="F21" s="51"/>
      <c r="G21" s="73"/>
      <c r="H21" s="207" t="s">
        <v>20</v>
      </c>
      <c r="I21" s="71"/>
      <c r="J21" s="64"/>
      <c r="K21" s="187"/>
    </row>
    <row r="22" spans="1:11" ht="7.35" customHeight="1">
      <c r="A22" s="60"/>
      <c r="B22" s="65"/>
      <c r="C22" s="76"/>
      <c r="D22" s="77"/>
      <c r="E22" s="71"/>
      <c r="F22" s="71"/>
      <c r="G22" s="73"/>
      <c r="H22" s="71"/>
      <c r="I22" s="71"/>
      <c r="J22" s="64"/>
      <c r="K22" s="187"/>
    </row>
    <row r="23" spans="1:11">
      <c r="A23" s="60"/>
      <c r="B23" s="65"/>
      <c r="C23" s="76" t="s">
        <v>829</v>
      </c>
      <c r="D23" s="77"/>
      <c r="E23" s="373"/>
      <c r="F23" s="429" t="e">
        <f>IF(ISBLANK(F21),F19,F21)</f>
        <v>#N/A</v>
      </c>
      <c r="G23" s="71"/>
      <c r="H23" s="81" t="s">
        <v>744</v>
      </c>
      <c r="I23" s="71"/>
      <c r="J23" s="64"/>
      <c r="K23" s="22"/>
    </row>
    <row r="24" spans="1:11" ht="7.35" customHeight="1">
      <c r="A24" s="60"/>
      <c r="B24" s="65"/>
      <c r="C24" s="76"/>
      <c r="D24" s="77"/>
      <c r="E24" s="373"/>
      <c r="F24" s="71"/>
      <c r="G24" s="73"/>
      <c r="H24" s="81"/>
      <c r="I24" s="71"/>
      <c r="J24" s="64"/>
      <c r="K24" s="187"/>
    </row>
    <row r="25" spans="1:11" ht="15" customHeight="1">
      <c r="A25" s="60"/>
      <c r="B25" s="65"/>
      <c r="C25" s="76" t="s">
        <v>677</v>
      </c>
      <c r="D25" s="76"/>
      <c r="E25" s="204"/>
      <c r="F25" s="430" t="e">
        <f>IF(K25="Use Capcoa 2021",VL_REF!$BQ$3,INDEX(VL_TAZ!$O$9:$AD$9,1,MATCH($C25,VL_TAZ!$O$10:$AD$10,0)))</f>
        <v>#N/A</v>
      </c>
      <c r="G25" s="73"/>
      <c r="H25" s="71" t="str">
        <f>CONCATENATE("Alameda CTC model",IF(NOT(ISBLANK(F27)),", overridden",""))</f>
        <v>Alameda CTC model</v>
      </c>
      <c r="I25" s="81"/>
      <c r="J25" s="64"/>
      <c r="K25" s="187" t="s">
        <v>760</v>
      </c>
    </row>
    <row r="26" spans="1:11" ht="7.35" customHeight="1">
      <c r="A26" s="60"/>
      <c r="B26" s="65"/>
      <c r="C26" s="76"/>
      <c r="D26" s="77"/>
      <c r="E26" s="71"/>
      <c r="F26" s="71"/>
      <c r="G26" s="73"/>
      <c r="H26" s="205"/>
      <c r="I26" s="81"/>
      <c r="J26" s="64"/>
      <c r="K26" s="187"/>
    </row>
    <row r="27" spans="1:11" ht="15" customHeight="1">
      <c r="A27" s="60"/>
      <c r="B27" s="65"/>
      <c r="C27" s="76" t="s">
        <v>830</v>
      </c>
      <c r="D27" s="77"/>
      <c r="E27" s="428"/>
      <c r="F27" s="135"/>
      <c r="G27" s="73"/>
      <c r="H27" s="207" t="s">
        <v>20</v>
      </c>
      <c r="I27" s="81"/>
      <c r="J27" s="64"/>
      <c r="K27" s="187"/>
    </row>
    <row r="28" spans="1:11" ht="7.35" customHeight="1">
      <c r="A28" s="60"/>
      <c r="B28" s="65"/>
      <c r="C28" s="76"/>
      <c r="D28" s="77"/>
      <c r="E28" s="71"/>
      <c r="F28" s="71"/>
      <c r="G28" s="73"/>
      <c r="H28" s="71"/>
      <c r="I28" s="81"/>
      <c r="J28" s="64"/>
      <c r="K28" s="187"/>
    </row>
    <row r="29" spans="1:11" ht="15" customHeight="1">
      <c r="A29" s="60"/>
      <c r="B29" s="65"/>
      <c r="C29" s="76" t="s">
        <v>831</v>
      </c>
      <c r="D29" s="77"/>
      <c r="E29" s="71"/>
      <c r="F29" s="431" t="e">
        <f>IF(ISBLANK(F27),F25,F27)</f>
        <v>#N/A</v>
      </c>
      <c r="G29" s="71"/>
      <c r="H29" s="81" t="s">
        <v>744</v>
      </c>
      <c r="I29" s="81"/>
      <c r="J29" s="64"/>
      <c r="K29" s="22"/>
    </row>
    <row r="30" spans="1:11" ht="7.35" customHeight="1">
      <c r="A30" s="60"/>
      <c r="B30" s="65"/>
      <c r="C30" s="76"/>
      <c r="D30" s="77"/>
      <c r="E30" s="71"/>
      <c r="F30" s="71"/>
      <c r="G30" s="73"/>
      <c r="H30" s="81"/>
      <c r="I30" s="81"/>
      <c r="J30" s="64"/>
      <c r="K30" s="187"/>
    </row>
    <row r="31" spans="1:11" ht="15" customHeight="1">
      <c r="A31" s="60"/>
      <c r="B31" s="65"/>
      <c r="C31" s="76" t="s">
        <v>678</v>
      </c>
      <c r="D31" s="77"/>
      <c r="E31" s="71"/>
      <c r="F31" s="430" t="e">
        <f>IF(K31="Use Capcoa 2021",VL_REF!$BR$3,INDEX(VL_TAZ!$O$9:$AD$9,1,MATCH($C31,VL_TAZ!$O$10:$AD$10,0)))</f>
        <v>#N/A</v>
      </c>
      <c r="G31" s="73"/>
      <c r="H31" s="71" t="str">
        <f>CONCATENATE("Alameda CTC model",IF(NOT(ISBLANK(F33)),", overridden",""))</f>
        <v>Alameda CTC model</v>
      </c>
      <c r="I31" s="81"/>
      <c r="J31" s="64"/>
      <c r="K31" s="187" t="s">
        <v>760</v>
      </c>
    </row>
    <row r="32" spans="1:11" ht="7.35" customHeight="1">
      <c r="A32" s="60"/>
      <c r="B32" s="65"/>
      <c r="C32" s="76"/>
      <c r="D32" s="77"/>
      <c r="E32" s="71"/>
      <c r="F32" s="71"/>
      <c r="G32" s="73"/>
      <c r="H32" s="205"/>
      <c r="I32" s="81"/>
      <c r="J32" s="64"/>
      <c r="K32" s="60"/>
    </row>
    <row r="33" spans="1:11" ht="15" customHeight="1">
      <c r="A33" s="60"/>
      <c r="B33" s="65"/>
      <c r="C33" s="76" t="s">
        <v>832</v>
      </c>
      <c r="D33" s="77"/>
      <c r="E33" s="428"/>
      <c r="F33" s="135"/>
      <c r="G33" s="73"/>
      <c r="H33" s="207" t="s">
        <v>20</v>
      </c>
      <c r="I33" s="81"/>
      <c r="J33" s="64"/>
      <c r="K33" s="60"/>
    </row>
    <row r="34" spans="1:11" ht="7.35" customHeight="1">
      <c r="A34" s="60"/>
      <c r="B34" s="65"/>
      <c r="C34" s="76"/>
      <c r="D34" s="77"/>
      <c r="E34" s="71"/>
      <c r="F34" s="71"/>
      <c r="G34" s="73"/>
      <c r="H34" s="71"/>
      <c r="I34" s="81"/>
      <c r="J34" s="64"/>
      <c r="K34" s="60"/>
    </row>
    <row r="35" spans="1:11" ht="15" customHeight="1">
      <c r="A35" s="60"/>
      <c r="B35" s="65"/>
      <c r="C35" s="76" t="s">
        <v>833</v>
      </c>
      <c r="D35" s="77"/>
      <c r="E35" s="373"/>
      <c r="F35" s="431" t="e">
        <f>IF(ISBLANK(F33),F31,F33)</f>
        <v>#N/A</v>
      </c>
      <c r="G35" s="71"/>
      <c r="H35" s="81" t="s">
        <v>744</v>
      </c>
      <c r="I35" s="81"/>
      <c r="J35" s="64"/>
      <c r="K35" s="16"/>
    </row>
    <row r="36" spans="1:11" ht="7.35" customHeight="1">
      <c r="A36" s="60"/>
      <c r="B36" s="65"/>
      <c r="C36" s="76"/>
      <c r="D36" s="77"/>
      <c r="E36" s="373"/>
      <c r="F36" s="71"/>
      <c r="G36" s="73"/>
      <c r="H36" s="205"/>
      <c r="I36" s="71"/>
      <c r="J36" s="64"/>
      <c r="K36" s="60"/>
    </row>
    <row r="37" spans="1:11" ht="15" customHeight="1">
      <c r="A37" s="60"/>
      <c r="B37" s="65"/>
      <c r="C37" s="76" t="s">
        <v>834</v>
      </c>
      <c r="D37" s="77"/>
      <c r="E37" s="661"/>
      <c r="F37" s="662"/>
      <c r="G37" s="73"/>
      <c r="H37" s="205"/>
      <c r="I37" s="71"/>
      <c r="J37" s="64"/>
      <c r="K37" s="60"/>
    </row>
    <row r="38" spans="1:11" ht="7.35" customHeight="1">
      <c r="A38" s="60"/>
      <c r="B38" s="65"/>
      <c r="C38" s="76"/>
      <c r="D38" s="77"/>
      <c r="E38" s="373"/>
      <c r="F38" s="71"/>
      <c r="G38" s="73"/>
      <c r="H38" s="205"/>
      <c r="I38" s="71"/>
      <c r="J38" s="64"/>
      <c r="K38" s="60"/>
    </row>
    <row r="39" spans="1:11" ht="15" customHeight="1">
      <c r="A39" s="60"/>
      <c r="B39" s="65"/>
      <c r="C39" s="657" t="s">
        <v>835</v>
      </c>
      <c r="D39" s="658"/>
      <c r="E39" s="373"/>
      <c r="F39" s="376" t="e">
        <f>VL_REF!$BM$3</f>
        <v>#N/A</v>
      </c>
      <c r="G39" s="73"/>
      <c r="H39" s="81" t="s">
        <v>731</v>
      </c>
      <c r="I39" s="71"/>
      <c r="J39" s="64"/>
      <c r="K39" s="16"/>
    </row>
    <row r="40" spans="1:11" ht="7.35" customHeight="1">
      <c r="A40" s="60"/>
      <c r="B40" s="65"/>
      <c r="C40" s="76"/>
      <c r="D40" s="77"/>
      <c r="E40" s="71"/>
      <c r="F40" s="71"/>
      <c r="G40" s="73"/>
      <c r="H40" s="71"/>
      <c r="I40" s="71"/>
      <c r="J40" s="64"/>
      <c r="K40" s="60"/>
    </row>
    <row r="41" spans="1:11" ht="15" customHeight="1">
      <c r="A41" s="60"/>
      <c r="B41" s="65"/>
      <c r="C41" s="76" t="s">
        <v>147</v>
      </c>
      <c r="D41" s="76"/>
      <c r="E41" s="204"/>
      <c r="F41" s="98" t="str">
        <f>IF(OR(F11="",F11="no"),"",IFERROR(MAX(-D8,(F17*(F29-(F39*F29)))/(F23*F35)),""))</f>
        <v/>
      </c>
      <c r="G41" s="378"/>
      <c r="H41" s="41" t="b">
        <v>0</v>
      </c>
      <c r="I41" s="170" t="str">
        <f>IF(OR(H41=TRUE,F41=""),"Not Active","Active")</f>
        <v>Not Active</v>
      </c>
      <c r="J41" s="64"/>
      <c r="K41" s="93"/>
    </row>
    <row r="42" spans="1:11" ht="15" customHeight="1">
      <c r="A42" s="60"/>
      <c r="B42" s="65"/>
      <c r="C42" s="71"/>
      <c r="D42" s="71"/>
      <c r="E42" s="71"/>
      <c r="F42" s="71"/>
      <c r="G42" s="71"/>
      <c r="H42" s="73"/>
      <c r="I42" s="71"/>
      <c r="J42" s="64"/>
      <c r="K42" s="94"/>
    </row>
    <row r="43" spans="1:11" ht="51.95" customHeight="1">
      <c r="A43" s="60"/>
      <c r="B43" s="65"/>
      <c r="C43" s="633" t="str">
        <f>"Formula:  % Change in VMT =  " &amp; SUBSTITUTE("( " &amp; C17 &amp; " *( " &amp; C29 &amp; " -( " &amp; C39 &amp; " * " &amp; C29 &amp; " )))/( " &amp; C23 &amp; " * " &amp; C35 &amp; " )"," used for calculation","")</f>
        <v>Formula:  % Change in VMT =  ( One-way bicycle trip length (miles) *( Bicycle mode share for work trips -( Bike mode adjustment factor * Bicycle mode share for work trips )))/( One-way vehicle trip length in neighborhood/city (miles) * Vehicle mode share for work trips )</v>
      </c>
      <c r="D43" s="659"/>
      <c r="E43" s="659"/>
      <c r="F43" s="659"/>
      <c r="G43" s="659"/>
      <c r="H43" s="659"/>
      <c r="I43" s="660"/>
      <c r="J43" s="64"/>
      <c r="K43" s="94"/>
    </row>
    <row r="44" spans="1:11" ht="15" customHeight="1">
      <c r="A44" s="60"/>
      <c r="B44" s="65"/>
      <c r="C44" s="432"/>
      <c r="D44" s="199"/>
      <c r="E44" s="199"/>
      <c r="F44" s="199"/>
      <c r="G44" s="199"/>
      <c r="H44" s="199"/>
      <c r="I44" s="199"/>
      <c r="J44" s="64"/>
      <c r="K44" s="94"/>
    </row>
    <row r="45" spans="1:11" ht="15" customHeight="1">
      <c r="A45" s="60"/>
      <c r="B45" s="65"/>
      <c r="C45" s="71" t="s">
        <v>732</v>
      </c>
      <c r="D45" s="71"/>
      <c r="E45" s="71"/>
      <c r="F45" s="71"/>
      <c r="G45" s="71"/>
      <c r="H45" s="73"/>
      <c r="I45" s="71"/>
      <c r="J45" s="64"/>
      <c r="K45" s="60"/>
    </row>
    <row r="46" spans="1:11" ht="150" customHeight="1">
      <c r="A46" s="60"/>
      <c r="B46" s="65"/>
      <c r="C46" s="596" t="str">
        <f>INDEX(VL_TDM!$AG$11:$AG$41,MATCH($A$4,VL_TDM!$B$11:$B$41,0),1)</f>
        <v>(1) Buehler, R. 2012. Determinants of bicycle commuting in the Washington, DC region: The role bicycle parking, cyclist showers, and free car parking at work. Transportation Research Part D, 17, 525– 531. Available: http://www.pedbikeinfo.org/cms/downloads/DeterminantsofBicycleCommuting.pdf. Accessed: January 2021. 
(2) Federal Highway Administration (FHWA). 2017a. National Household Travel Survey – 2017 Table Designer. Travel Day PT by TRPTRANS by HH_CBSA. Available: https://nhts.ornl.gov/. Accessed: January 2021. 
(3) Federal Highway Administration (FHWA). 2017b. National Household Travel Survey – 2017 Table Designer. Workers by WRKTRANS by HH_CBSA. Available: https://nhts.ornl.gov/. Accessed: January 2021.</v>
      </c>
      <c r="D46" s="656"/>
      <c r="E46" s="656"/>
      <c r="F46" s="656"/>
      <c r="G46" s="656"/>
      <c r="H46" s="656"/>
      <c r="I46" s="656"/>
      <c r="J46" s="64"/>
      <c r="K46" s="60"/>
    </row>
    <row r="47" spans="1:11" ht="15" customHeight="1">
      <c r="A47" s="60"/>
      <c r="B47" s="74"/>
      <c r="C47" s="177"/>
      <c r="D47" s="177"/>
      <c r="E47" s="177"/>
      <c r="F47" s="177"/>
      <c r="G47" s="177"/>
      <c r="H47" s="379"/>
      <c r="I47" s="177"/>
      <c r="J47" s="380"/>
      <c r="K47" s="60"/>
    </row>
    <row r="48" spans="1:11" ht="22.35" customHeight="1">
      <c r="A48" s="60"/>
      <c r="B48" s="16"/>
      <c r="C48" s="16"/>
      <c r="D48" s="60"/>
      <c r="E48" s="60"/>
      <c r="F48" s="16"/>
      <c r="G48" s="16"/>
      <c r="H48" s="16"/>
      <c r="I48" s="16"/>
      <c r="J48" s="60"/>
      <c r="K48" s="60"/>
    </row>
    <row r="54" spans="8:13" s="87" customFormat="1" hidden="1">
      <c r="H54" s="88"/>
      <c r="L54"/>
      <c r="M54"/>
    </row>
    <row r="55" spans="8:13" s="87" customFormat="1" hidden="1">
      <c r="H55" s="88"/>
      <c r="L55"/>
      <c r="M55"/>
    </row>
    <row r="56" spans="8:13" s="87" customFormat="1" hidden="1">
      <c r="H56" s="88"/>
      <c r="L56"/>
      <c r="M56"/>
    </row>
    <row r="57" spans="8:13" s="87" customFormat="1" hidden="1">
      <c r="H57" s="88"/>
      <c r="L57"/>
      <c r="M57"/>
    </row>
    <row r="58" spans="8:13" s="87" customFormat="1" hidden="1">
      <c r="H58" s="88"/>
      <c r="L58"/>
      <c r="M58"/>
    </row>
    <row r="59" spans="8:13" s="87" customFormat="1" hidden="1">
      <c r="H59" s="88"/>
      <c r="L59"/>
      <c r="M59"/>
    </row>
    <row r="60" spans="8:13" s="87" customFormat="1" hidden="1">
      <c r="H60" s="88"/>
      <c r="L60"/>
      <c r="M60"/>
    </row>
    <row r="61" spans="8:13" s="87" customFormat="1" hidden="1">
      <c r="H61" s="88"/>
      <c r="L61"/>
      <c r="M61"/>
    </row>
    <row r="62" spans="8:13" s="87" customFormat="1" hidden="1">
      <c r="H62" s="88"/>
      <c r="L62"/>
      <c r="M62"/>
    </row>
    <row r="63" spans="8:13" s="87" customFormat="1" hidden="1">
      <c r="H63" s="88"/>
      <c r="L63"/>
      <c r="M63"/>
    </row>
    <row r="64" spans="8:13" s="87" customFormat="1" hidden="1">
      <c r="H64" s="88"/>
      <c r="L64"/>
      <c r="M64"/>
    </row>
    <row r="65" spans="8:13" s="87" customFormat="1" hidden="1">
      <c r="H65" s="88"/>
      <c r="L65"/>
      <c r="M65"/>
    </row>
    <row r="66" spans="8:13" s="87" customFormat="1" hidden="1">
      <c r="H66" s="88"/>
      <c r="L66"/>
      <c r="M66"/>
    </row>
    <row r="67" spans="8:13" s="87" customFormat="1" hidden="1">
      <c r="H67" s="88"/>
      <c r="L67"/>
      <c r="M67"/>
    </row>
    <row r="68" spans="8:13" s="87" customFormat="1" hidden="1">
      <c r="H68" s="88"/>
      <c r="L68"/>
      <c r="M68"/>
    </row>
    <row r="69" spans="8:13" s="87" customFormat="1" hidden="1">
      <c r="H69" s="88"/>
      <c r="L69"/>
      <c r="M69"/>
    </row>
    <row r="70" spans="8:13" s="87" customFormat="1" hidden="1">
      <c r="H70" s="88"/>
      <c r="L70"/>
      <c r="M70"/>
    </row>
    <row r="71" spans="8:13" s="87" customFormat="1" hidden="1">
      <c r="H71" s="88"/>
      <c r="L71"/>
      <c r="M71"/>
    </row>
    <row r="72" spans="8:13" s="87" customFormat="1" hidden="1">
      <c r="H72" s="88"/>
      <c r="L72"/>
      <c r="M72"/>
    </row>
    <row r="73" spans="8:13" s="87" customFormat="1" hidden="1">
      <c r="H73" s="88"/>
      <c r="L73"/>
      <c r="M73"/>
    </row>
    <row r="74" spans="8:13" s="87" customFormat="1" hidden="1">
      <c r="H74" s="88"/>
      <c r="L74"/>
      <c r="M74"/>
    </row>
    <row r="75" spans="8:13" s="87" customFormat="1" hidden="1">
      <c r="H75" s="88"/>
      <c r="L75"/>
      <c r="M75"/>
    </row>
    <row r="76" spans="8:13" s="87" customFormat="1" hidden="1">
      <c r="H76" s="88"/>
      <c r="L76"/>
      <c r="M76"/>
    </row>
    <row r="77" spans="8:13" s="87" customFormat="1" hidden="1">
      <c r="H77" s="88"/>
      <c r="L77"/>
      <c r="M77"/>
    </row>
    <row r="78" spans="8:13" s="87" customFormat="1" hidden="1">
      <c r="H78" s="88"/>
      <c r="L78"/>
      <c r="M78"/>
    </row>
    <row r="79" spans="8:13" s="87" customFormat="1" hidden="1">
      <c r="H79" s="88"/>
      <c r="L79"/>
      <c r="M79"/>
    </row>
    <row r="80" spans="8:13" s="87" customFormat="1" hidden="1">
      <c r="H80" s="88"/>
      <c r="L80"/>
      <c r="M80"/>
    </row>
    <row r="81" spans="8:13" s="87" customFormat="1" hidden="1">
      <c r="H81" s="88"/>
      <c r="L81"/>
      <c r="M81"/>
    </row>
    <row r="82" spans="8:13" s="87" customFormat="1" hidden="1">
      <c r="H82" s="88"/>
      <c r="L82"/>
      <c r="M82"/>
    </row>
    <row r="83" spans="8:13" s="87" customFormat="1" hidden="1">
      <c r="H83" s="88"/>
      <c r="L83"/>
      <c r="M83"/>
    </row>
    <row r="84" spans="8:13" s="87" customFormat="1" hidden="1">
      <c r="H84" s="88"/>
      <c r="L84"/>
      <c r="M84"/>
    </row>
    <row r="85" spans="8:13" s="87" customFormat="1" hidden="1">
      <c r="H85" s="88"/>
      <c r="L85"/>
      <c r="M85"/>
    </row>
    <row r="86" spans="8:13" s="87" customFormat="1" hidden="1">
      <c r="H86" s="88"/>
      <c r="L86"/>
      <c r="M86"/>
    </row>
    <row r="87" spans="8:13" s="87" customFormat="1" hidden="1">
      <c r="H87" s="88"/>
      <c r="L87"/>
      <c r="M87"/>
    </row>
    <row r="88" spans="8:13" s="87" customFormat="1" hidden="1">
      <c r="H88" s="88"/>
      <c r="L88"/>
      <c r="M88"/>
    </row>
    <row r="89" spans="8:13" s="87" customFormat="1" hidden="1">
      <c r="H89" s="88"/>
      <c r="L89"/>
      <c r="M89"/>
    </row>
    <row r="90" spans="8:13" s="87" customFormat="1" hidden="1">
      <c r="H90" s="88"/>
      <c r="L90"/>
      <c r="M90"/>
    </row>
  </sheetData>
  <sheetProtection algorithmName="SHA-512" hashValue="uChz8+kLk4IoD3M7iwMj2Xy7tIUoXPZC9yvg/tIl518+IKKArrHIuWQf9JhZ3fVnqEp4SDiNuhKvdCBy1AA8YQ==" saltValue="UVuIdO1683iNqsW3nxCmOQ==" spinCount="100000" sheet="1" objects="1" scenarios="1" selectLockedCells="1"/>
  <mergeCells count="6">
    <mergeCell ref="B4:J4"/>
    <mergeCell ref="C10:I10"/>
    <mergeCell ref="C46:I46"/>
    <mergeCell ref="C39:D39"/>
    <mergeCell ref="C43:I43"/>
    <mergeCell ref="E37:F37"/>
  </mergeCells>
  <conditionalFormatting sqref="F41">
    <cfRule type="expression" dxfId="27" priority="14">
      <formula>-ROUND($D$8,3)=ROUND($F$41,3)</formula>
    </cfRule>
    <cfRule type="expression" dxfId="26" priority="15">
      <formula>AND(F41&lt;&gt;"",F41&gt;0)</formula>
    </cfRule>
  </conditionalFormatting>
  <dataValidations count="1">
    <dataValidation type="decimal" operator="greaterThanOrEqual" allowBlank="1" showErrorMessage="1" errorTitle="Restriction" error="Value must not be negative_x000a_" promptTitle="Option" prompt="The user may override the above default community SOV mode share in this cell. Leave blank otherwise." sqref="F21 F15 F33 F27" xr:uid="{E35D4612-C409-43A3-9D31-662D26E5ACE7}">
      <formula1>0</formula1>
    </dataValidation>
  </dataValidations>
  <hyperlinks>
    <hyperlink ref="I7" location="Results!A1" display="Results Summary" xr:uid="{A0BA9F39-80B8-4F6C-95CD-B008EA30A72B}"/>
    <hyperlink ref="I6" location="Main!L65" display="Return to Main É" xr:uid="{F0E6D6AB-B60C-4513-B7D1-62E05AE9B259}"/>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1665" r:id="rId4" name="Check Box 1">
              <controlPr defaultSize="0" autoFill="0" autoLine="0" autoPict="0" altText="Exclude From Results Summary">
                <anchor moveWithCells="1">
                  <from>
                    <xdr:col>7</xdr:col>
                    <xdr:colOff>0</xdr:colOff>
                    <xdr:row>40</xdr:row>
                    <xdr:rowOff>0</xdr:rowOff>
                  </from>
                  <to>
                    <xdr:col>8</xdr:col>
                    <xdr:colOff>9525</xdr:colOff>
                    <xdr:row>41</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ErrorMessage="1" error="Select value from drop-down list" xr:uid="{FDDABA6A-3161-4DCE-8B54-991D74A90BE7}">
          <x14:formula1>
            <xm:f>VL_REF!$CB$11:$CB$13</xm:f>
          </x14:formula1>
          <xm:sqref>F11</xm:sqref>
        </x14:dataValidation>
        <x14:dataValidation type="list" allowBlank="1" showInputMessage="1" showErrorMessage="1" xr:uid="{EA3CB4C4-C8F7-4744-963A-BF62D52EDBC9}">
          <x14:formula1>
            <xm:f>VL_REF!$BN$11:$BN$12</xm:f>
          </x14:formula1>
          <xm:sqref>E37:F37</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0099"/>
  </sheetPr>
  <dimension ref="A1:L29"/>
  <sheetViews>
    <sheetView showGridLines="0" showRowColHeaders="0" topLeftCell="A3" zoomScaleNormal="100" workbookViewId="0">
      <selection activeCell="H6" sqref="H6"/>
    </sheetView>
  </sheetViews>
  <sheetFormatPr defaultColWidth="0" defaultRowHeight="15" zeroHeight="1"/>
  <cols>
    <col min="1" max="1" width="4.42578125" style="87" customWidth="1"/>
    <col min="2" max="2" width="8.85546875" style="87" customWidth="1"/>
    <col min="3" max="3" width="22" style="87" customWidth="1"/>
    <col min="4" max="4" width="55" style="87" customWidth="1"/>
    <col min="5" max="5" width="10.5703125" style="87" customWidth="1"/>
    <col min="6" max="6" width="5" style="87" customWidth="1"/>
    <col min="7" max="7" width="33.5703125" style="88" customWidth="1"/>
    <col min="8" max="8" width="17.5703125" style="87" customWidth="1"/>
    <col min="9" max="9" width="8.85546875" style="87" customWidth="1"/>
    <col min="10" max="10" width="4.5703125" style="87" customWidth="1"/>
    <col min="11" max="12" width="32.85546875" hidden="1" customWidth="1"/>
    <col min="13" max="16384" width="8.85546875" hidden="1"/>
  </cols>
  <sheetData>
    <row r="1" spans="1:10" hidden="1">
      <c r="A1" s="60"/>
      <c r="B1" s="60"/>
      <c r="C1" s="60"/>
      <c r="D1" s="60"/>
      <c r="E1" s="60"/>
      <c r="F1" s="60"/>
      <c r="G1" s="75"/>
      <c r="H1" s="60"/>
      <c r="I1" s="60"/>
      <c r="J1" s="60"/>
    </row>
    <row r="2" spans="1:10" hidden="1">
      <c r="A2" s="60"/>
      <c r="B2" s="60"/>
      <c r="C2" s="60"/>
      <c r="D2" s="60"/>
      <c r="E2" s="60"/>
      <c r="F2" s="60"/>
      <c r="G2" s="75"/>
      <c r="H2" s="60"/>
      <c r="I2" s="60"/>
      <c r="J2" s="60"/>
    </row>
    <row r="3" spans="1:10" ht="22.35" customHeight="1">
      <c r="A3" s="60"/>
      <c r="B3" s="39"/>
      <c r="C3" s="60"/>
      <c r="D3" s="60"/>
      <c r="E3" s="60"/>
      <c r="F3" s="60"/>
      <c r="G3" s="75"/>
      <c r="H3" s="60"/>
      <c r="I3" s="60"/>
      <c r="J3" s="60"/>
    </row>
    <row r="4" spans="1:10" ht="18.75">
      <c r="A4" s="187" t="s">
        <v>56</v>
      </c>
      <c r="B4" s="655" t="str">
        <f>A4&amp;". "&amp;INDEX(VL_TDM!$E$11:$E$41,MATCH($A$4,VL_TDM!$B$11:$B$41,0),1)</f>
        <v>4A. Street Connectivity Improvement</v>
      </c>
      <c r="C4" s="600"/>
      <c r="D4" s="600"/>
      <c r="E4" s="600"/>
      <c r="F4" s="600"/>
      <c r="G4" s="600"/>
      <c r="H4" s="600"/>
      <c r="I4" s="601"/>
      <c r="J4" s="60"/>
    </row>
    <row r="5" spans="1:10" ht="15" customHeight="1">
      <c r="A5" s="60"/>
      <c r="B5" s="65"/>
      <c r="C5" s="71"/>
      <c r="D5" s="71"/>
      <c r="E5" s="71"/>
      <c r="F5" s="71"/>
      <c r="G5" s="73"/>
      <c r="H5" s="71"/>
      <c r="I5" s="64"/>
      <c r="J5" s="60"/>
    </row>
    <row r="6" spans="1:10" ht="15" customHeight="1">
      <c r="A6" s="60"/>
      <c r="B6" s="65"/>
      <c r="C6" s="71" t="s">
        <v>723</v>
      </c>
      <c r="D6" s="370" t="str">
        <f>INDEX(VL_TDM!$AC$11:$AC$41,MATCH($A$4,VL_TDM!$B$11:$B$41,0),1)</f>
        <v>Neighborhood/City</v>
      </c>
      <c r="E6" s="73"/>
      <c r="F6" s="73"/>
      <c r="G6" s="73"/>
      <c r="H6" s="500" t="s">
        <v>120</v>
      </c>
      <c r="I6" s="64"/>
      <c r="J6" s="60"/>
    </row>
    <row r="7" spans="1:10" ht="15" customHeight="1">
      <c r="A7" s="60"/>
      <c r="B7" s="65"/>
      <c r="C7" s="81" t="s">
        <v>724</v>
      </c>
      <c r="D7" s="85" t="str">
        <f>INDEX(VL_TDM!$AD$11:$AD$41,MATCH($A$4,VL_TDM!$B$11:$B$41,0),1)</f>
        <v>All neighborhood/city trips</v>
      </c>
      <c r="E7" s="73"/>
      <c r="F7" s="73"/>
      <c r="G7" s="71"/>
      <c r="H7" s="500" t="s">
        <v>153</v>
      </c>
      <c r="I7" s="64"/>
      <c r="J7" s="60"/>
    </row>
    <row r="8" spans="1:10" ht="15" customHeight="1">
      <c r="A8" s="60"/>
      <c r="B8" s="65"/>
      <c r="C8" s="81" t="s">
        <v>725</v>
      </c>
      <c r="D8" s="86">
        <f>INDEX(VL_TDM!$AE$11:$AE$41,MATCH($A$4,VL_TDM!$B$11:$B$41,0),1)</f>
        <v>0.3</v>
      </c>
      <c r="E8" s="71"/>
      <c r="F8" s="71"/>
      <c r="G8" s="73"/>
      <c r="H8" s="71"/>
      <c r="I8" s="64"/>
      <c r="J8" s="60"/>
    </row>
    <row r="9" spans="1:10" ht="15" customHeight="1">
      <c r="A9" s="60"/>
      <c r="B9" s="65"/>
      <c r="C9" s="71"/>
      <c r="D9" s="71"/>
      <c r="E9" s="71"/>
      <c r="F9" s="71"/>
      <c r="G9" s="73"/>
      <c r="H9" s="71"/>
      <c r="I9" s="64"/>
      <c r="J9" s="60"/>
    </row>
    <row r="10" spans="1:10" ht="69.95" customHeight="1">
      <c r="A10" s="60"/>
      <c r="B10" s="65"/>
      <c r="C10" s="602" t="str">
        <f>INDEX(VL_TDM!$AF$11:$AF$41,MATCH($A$4,VL_TDM!$B$11:$B$41,0),1)</f>
        <v>This strategy accounts for the VMT reduction achieved by a project that is designed with a higher density of intersections compared to the average intersection density in the United States. Increased intersection density is a proxy for street connectivity improvements, which help to facilitate a greater number of shorter trips and thus a reduction in GHG emissions. Example projects that increase intersection density would be building a new street network in a subdivision or retrofitting an existing street network to improve connectivity (e.g., converting cul-de-sacs to grid streets).</v>
      </c>
      <c r="D10" s="594"/>
      <c r="E10" s="594"/>
      <c r="F10" s="594"/>
      <c r="G10" s="594"/>
      <c r="H10" s="594"/>
      <c r="I10" s="64"/>
      <c r="J10" s="60"/>
    </row>
    <row r="11" spans="1:10" ht="15" customHeight="1">
      <c r="A11" s="60"/>
      <c r="B11" s="65"/>
      <c r="C11" s="71"/>
      <c r="D11" s="71"/>
      <c r="E11" s="71"/>
      <c r="F11" s="71"/>
      <c r="G11" s="73"/>
      <c r="H11" s="71"/>
      <c r="I11" s="64"/>
      <c r="J11" s="60"/>
    </row>
    <row r="12" spans="1:10" ht="15" customHeight="1">
      <c r="A12" s="60"/>
      <c r="B12" s="65"/>
      <c r="C12" s="76" t="s">
        <v>679</v>
      </c>
      <c r="D12" s="71"/>
      <c r="E12" s="434" t="e">
        <f>INDEX(VL_TAZ!$O$9:$AD$9,1,MATCH($C12,VL_TAZ!$O$10:$AD$10,0))</f>
        <v>#N/A</v>
      </c>
      <c r="F12" s="73"/>
      <c r="G12" s="421" t="str">
        <f>"local data, source (3)"&amp;IF(ISBLANK(E14),"",", overridden")</f>
        <v>local data, source (3)</v>
      </c>
      <c r="H12" s="71"/>
      <c r="I12" s="64"/>
      <c r="J12" s="60"/>
    </row>
    <row r="13" spans="1:10" ht="7.35" customHeight="1">
      <c r="A13" s="60"/>
      <c r="B13" s="65"/>
      <c r="C13" s="76"/>
      <c r="D13" s="71"/>
      <c r="E13" s="71"/>
      <c r="F13" s="73"/>
      <c r="G13" s="71"/>
      <c r="H13" s="71"/>
      <c r="I13" s="64"/>
      <c r="J13" s="60"/>
    </row>
    <row r="14" spans="1:10" ht="15" customHeight="1">
      <c r="A14" s="60"/>
      <c r="B14" s="65"/>
      <c r="C14" s="76" t="s">
        <v>836</v>
      </c>
      <c r="D14" s="435"/>
      <c r="E14" s="46"/>
      <c r="F14" s="73"/>
      <c r="G14" s="207" t="s">
        <v>20</v>
      </c>
      <c r="H14" s="79"/>
      <c r="I14" s="64"/>
      <c r="J14" s="60"/>
    </row>
    <row r="15" spans="1:10" ht="7.35" customHeight="1">
      <c r="A15" s="60"/>
      <c r="B15" s="65"/>
      <c r="C15" s="76"/>
      <c r="D15" s="71"/>
      <c r="E15" s="71"/>
      <c r="F15" s="73"/>
      <c r="G15" s="71"/>
      <c r="H15" s="71"/>
      <c r="I15" s="64"/>
      <c r="J15" s="60"/>
    </row>
    <row r="16" spans="1:10">
      <c r="A16" s="60"/>
      <c r="B16" s="65"/>
      <c r="C16" s="76" t="s">
        <v>837</v>
      </c>
      <c r="D16" s="71"/>
      <c r="E16" s="436" t="e">
        <f>IF(ISBLANK(E14),E12,E14)</f>
        <v>#N/A</v>
      </c>
      <c r="F16" s="71"/>
      <c r="G16" s="81" t="s">
        <v>744</v>
      </c>
      <c r="H16" s="71"/>
      <c r="I16" s="64"/>
      <c r="J16" s="16"/>
    </row>
    <row r="17" spans="1:10" ht="7.35" customHeight="1">
      <c r="A17" s="60"/>
      <c r="B17" s="65"/>
      <c r="C17" s="76"/>
      <c r="D17" s="71"/>
      <c r="E17" s="71"/>
      <c r="F17" s="73"/>
      <c r="G17" s="71"/>
      <c r="H17" s="71"/>
      <c r="I17" s="64"/>
      <c r="J17" s="60"/>
    </row>
    <row r="18" spans="1:10" ht="15" customHeight="1">
      <c r="A18" s="60"/>
      <c r="B18" s="65"/>
      <c r="C18" s="76" t="s">
        <v>838</v>
      </c>
      <c r="D18" s="71"/>
      <c r="E18" s="47"/>
      <c r="F18" s="73"/>
      <c r="G18" s="71" t="s">
        <v>17</v>
      </c>
      <c r="H18" s="71"/>
      <c r="I18" s="64"/>
      <c r="J18" s="16"/>
    </row>
    <row r="19" spans="1:10" ht="7.35" customHeight="1">
      <c r="A19" s="60"/>
      <c r="B19" s="65"/>
      <c r="C19" s="76"/>
      <c r="D19" s="71"/>
      <c r="E19" s="71"/>
      <c r="F19" s="73"/>
      <c r="G19" s="71"/>
      <c r="H19" s="71"/>
      <c r="I19" s="64"/>
      <c r="J19" s="60"/>
    </row>
    <row r="20" spans="1:10" ht="15" customHeight="1">
      <c r="A20" s="60"/>
      <c r="B20" s="65"/>
      <c r="C20" s="76" t="s">
        <v>839</v>
      </c>
      <c r="D20" s="71"/>
      <c r="E20" s="376">
        <v>-0.14000000000000001</v>
      </c>
      <c r="F20" s="73"/>
      <c r="G20" s="421" t="s">
        <v>748</v>
      </c>
      <c r="H20" s="71"/>
      <c r="I20" s="64"/>
      <c r="J20" s="16"/>
    </row>
    <row r="21" spans="1:10" ht="7.35" customHeight="1">
      <c r="A21" s="60"/>
      <c r="B21" s="65"/>
      <c r="C21" s="76"/>
      <c r="D21" s="71"/>
      <c r="E21" s="71"/>
      <c r="F21" s="73"/>
      <c r="G21" s="71"/>
      <c r="H21" s="71"/>
      <c r="I21" s="64"/>
      <c r="J21" s="60"/>
    </row>
    <row r="22" spans="1:10" ht="15" customHeight="1">
      <c r="A22" s="60"/>
      <c r="B22" s="65"/>
      <c r="C22" s="76" t="s">
        <v>147</v>
      </c>
      <c r="D22" s="71"/>
      <c r="E22" s="98" t="str">
        <f>IF(ISBLANK(E18),"",IFERROR(MAX(-D8,((E18-E16)/E16)*E20), ""))</f>
        <v/>
      </c>
      <c r="F22" s="378"/>
      <c r="G22" s="41" t="b">
        <v>0</v>
      </c>
      <c r="H22" s="170" t="str">
        <f>IF(OR(G22=TRUE,E22=""),"Not Active","Active")</f>
        <v>Not Active</v>
      </c>
      <c r="I22" s="64"/>
      <c r="J22" s="60"/>
    </row>
    <row r="23" spans="1:10" ht="15" customHeight="1">
      <c r="A23" s="60"/>
      <c r="B23" s="65"/>
      <c r="C23" s="71"/>
      <c r="D23" s="71"/>
      <c r="E23" s="71"/>
      <c r="F23" s="71"/>
      <c r="G23" s="73"/>
      <c r="H23" s="71"/>
      <c r="I23" s="64"/>
      <c r="J23" s="60"/>
    </row>
    <row r="24" spans="1:10" ht="35.1" customHeight="1">
      <c r="A24" s="60"/>
      <c r="B24" s="65"/>
      <c r="C24" s="633" t="str">
        <f>"Formula:  % Change in VMT =  " &amp; SUBSTITUTE("(( " &amp; C18 &amp; " - " &amp; C16 &amp; " )/ " &amp; C16 &amp; " )* " &amp; C20 &amp; " "," used for calculation","")</f>
        <v xml:space="preserve">Formula:  % Change in VMT =  (( Intersection density in project site with strategy (int/sq mi) - Intersection density (int/sq mi) )/ Intersection density (int/sq mi) )* Elasticity of VMT with respect to intersection density </v>
      </c>
      <c r="D24" s="634"/>
      <c r="E24" s="634"/>
      <c r="F24" s="634"/>
      <c r="G24" s="634"/>
      <c r="H24" s="635"/>
      <c r="I24" s="64"/>
      <c r="J24" s="60"/>
    </row>
    <row r="25" spans="1:10" ht="15" customHeight="1">
      <c r="A25" s="60"/>
      <c r="B25" s="65"/>
      <c r="C25" s="199"/>
      <c r="D25" s="199"/>
      <c r="E25" s="199"/>
      <c r="F25" s="199"/>
      <c r="G25" s="199"/>
      <c r="H25" s="199"/>
      <c r="I25" s="64"/>
      <c r="J25" s="60"/>
    </row>
    <row r="26" spans="1:10" ht="15" customHeight="1">
      <c r="A26" s="60"/>
      <c r="B26" s="65"/>
      <c r="C26" s="71" t="s">
        <v>732</v>
      </c>
      <c r="D26" s="71"/>
      <c r="E26" s="71"/>
      <c r="F26" s="71"/>
      <c r="G26" s="73"/>
      <c r="H26" s="71"/>
      <c r="I26" s="64"/>
      <c r="J26" s="60"/>
    </row>
    <row r="27" spans="1:10" ht="123.75" customHeight="1">
      <c r="A27" s="60"/>
      <c r="B27" s="65"/>
      <c r="C27" s="616" t="str">
        <f>INDEX(VL_TDM!$AG$11:$AG$41,MATCH($A$4,VL_TDM!$B$11:$B$41,0),1)</f>
        <v>(1) Fehr &amp; Peers. 2009. Proposed Trip Generation, Distribution, and Transit Mode Split Forecasts for the Bayview Waterfront Project Transportation Study.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
(3) U.S. Environmental Protection Agency, 2021. EnviroAtlas: Estimated Intersection Density of Walkable Roads. Available: https://enviroatlas.epa.gov/enviroatlas/DataFactSheets/pdf/Supplemental/Estimatedintersectiondensityofwalkableroads.pdf. Accessed: April 2021.</v>
      </c>
      <c r="D27" s="594"/>
      <c r="E27" s="594"/>
      <c r="F27" s="594"/>
      <c r="G27" s="594"/>
      <c r="H27" s="594"/>
      <c r="I27" s="64"/>
      <c r="J27" s="60"/>
    </row>
    <row r="28" spans="1:10">
      <c r="A28" s="60"/>
      <c r="B28" s="74"/>
      <c r="C28" s="177"/>
      <c r="D28" s="177"/>
      <c r="E28" s="177"/>
      <c r="F28" s="177"/>
      <c r="G28" s="379"/>
      <c r="H28" s="177"/>
      <c r="I28" s="380"/>
      <c r="J28" s="60"/>
    </row>
    <row r="29" spans="1:10" ht="22.35" customHeight="1">
      <c r="A29" s="60"/>
      <c r="B29" s="60"/>
      <c r="C29" s="60"/>
      <c r="D29" s="60"/>
      <c r="E29" s="60"/>
      <c r="F29" s="60"/>
      <c r="G29" s="75"/>
      <c r="H29" s="60"/>
      <c r="I29" s="60"/>
      <c r="J29" s="60"/>
    </row>
  </sheetData>
  <sheetProtection algorithmName="SHA-512" hashValue="nF5OdO2vVmr4sVHWZcrhU8GbcieBZnMZJG1+OflcyhttFGLVYF/aSLJXRoY+BuTuDvJotmm69k4xd9xS0kppCg==" saltValue="QV5+K7oDstQF8JqR7O/GTg==" spinCount="100000" sheet="1" objects="1" scenarios="1" selectLockedCells="1"/>
  <mergeCells count="4">
    <mergeCell ref="B4:I4"/>
    <mergeCell ref="C24:H24"/>
    <mergeCell ref="C10:H10"/>
    <mergeCell ref="C27:H27"/>
  </mergeCells>
  <conditionalFormatting sqref="E22">
    <cfRule type="expression" dxfId="25" priority="11">
      <formula>-ROUND($D$8,3)=ROUND($E$22,3)</formula>
    </cfRule>
    <cfRule type="expression" dxfId="24" priority="12">
      <formula>AND(E22&lt;&gt;"",E22&gt;0)</formula>
    </cfRule>
  </conditionalFormatting>
  <dataValidations count="2">
    <dataValidation type="decimal" operator="greaterThanOrEqual" allowBlank="1" showInputMessage="1" showErrorMessage="1" errorTitle="Restriction" error="Value must not be negative" sqref="E14" xr:uid="{00000000-0002-0000-0E00-000000000000}">
      <formula1>0</formula1>
    </dataValidation>
    <dataValidation type="decimal" operator="greaterThanOrEqual" allowBlank="1" showInputMessage="1" showErrorMessage="1" error="Value must not be negative" sqref="E18" xr:uid="{00000000-0002-0000-0E00-000001000000}">
      <formula1>0</formula1>
    </dataValidation>
  </dataValidations>
  <hyperlinks>
    <hyperlink ref="H7" location="Results!A1" display="Results Summary" xr:uid="{00000000-0004-0000-0E00-000000000000}"/>
    <hyperlink ref="H6" location="Main!L65" display="Return to Main É" xr:uid="{00000000-0004-0000-0E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altText="Exclude From Results Summary">
                <anchor moveWithCells="1">
                  <from>
                    <xdr:col>6</xdr:col>
                    <xdr:colOff>28575</xdr:colOff>
                    <xdr:row>20</xdr:row>
                    <xdr:rowOff>47625</xdr:rowOff>
                  </from>
                  <to>
                    <xdr:col>7</xdr:col>
                    <xdr:colOff>0</xdr:colOff>
                    <xdr:row>22</xdr:row>
                    <xdr:rowOff>28575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0099"/>
  </sheetPr>
  <dimension ref="A1:M33"/>
  <sheetViews>
    <sheetView showGridLines="0" showRowColHeaders="0" topLeftCell="A3" zoomScaleNormal="100" workbookViewId="0">
      <selection activeCell="E12" sqref="E12"/>
    </sheetView>
  </sheetViews>
  <sheetFormatPr defaultColWidth="0" defaultRowHeight="15" zeroHeight="1"/>
  <cols>
    <col min="1" max="1" width="4.42578125" customWidth="1"/>
    <col min="2" max="2" width="8.85546875" customWidth="1"/>
    <col min="3" max="3" width="20" customWidth="1"/>
    <col min="4" max="4" width="53.42578125" customWidth="1"/>
    <col min="5" max="5" width="10.5703125" customWidth="1"/>
    <col min="6" max="6" width="5.5703125" customWidth="1"/>
    <col min="7" max="7" width="19.42578125" style="1" customWidth="1"/>
    <col min="8" max="8" width="16.5703125" customWidth="1"/>
    <col min="9" max="9" width="8.85546875" customWidth="1"/>
    <col min="10" max="10" width="4.5703125" customWidth="1"/>
    <col min="11" max="12" width="29.5703125" hidden="1" customWidth="1"/>
    <col min="13" max="13" width="8.5703125" hidden="1" customWidth="1"/>
    <col min="14" max="16384" width="8.85546875" hidden="1"/>
  </cols>
  <sheetData>
    <row r="1" spans="1:10" hidden="1">
      <c r="A1" s="16"/>
      <c r="B1" s="16"/>
      <c r="C1" s="16"/>
      <c r="D1" s="16"/>
      <c r="E1" s="16"/>
      <c r="F1" s="16"/>
      <c r="G1" s="17"/>
      <c r="H1" s="16"/>
      <c r="I1" s="16"/>
      <c r="J1" s="16"/>
    </row>
    <row r="2" spans="1:10" hidden="1">
      <c r="A2" s="16"/>
      <c r="B2" s="16"/>
      <c r="C2" s="16"/>
      <c r="D2" s="16"/>
      <c r="E2" s="16"/>
      <c r="F2" s="16"/>
      <c r="G2" s="17"/>
      <c r="H2" s="16"/>
      <c r="I2" s="16"/>
      <c r="J2" s="16"/>
    </row>
    <row r="3" spans="1:10" ht="22.35" customHeight="1">
      <c r="A3" s="16"/>
      <c r="B3" s="29"/>
      <c r="C3" s="32"/>
      <c r="D3" s="16"/>
      <c r="E3" s="16"/>
      <c r="F3" s="16"/>
      <c r="G3" s="17"/>
      <c r="H3" s="16"/>
      <c r="I3" s="16"/>
      <c r="J3" s="16"/>
    </row>
    <row r="4" spans="1:10" ht="18.75">
      <c r="A4" s="22" t="s">
        <v>60</v>
      </c>
      <c r="B4" s="655" t="str">
        <f>A4&amp;". "&amp;INDEX(VL_TDM!$E$11:$E$41,MATCH($A$4,VL_TDM!$B$11:$B$41,0),1)</f>
        <v>4B. Pedestrian Facility Improvement</v>
      </c>
      <c r="C4" s="600"/>
      <c r="D4" s="600"/>
      <c r="E4" s="600"/>
      <c r="F4" s="600"/>
      <c r="G4" s="600"/>
      <c r="H4" s="600"/>
      <c r="I4" s="601"/>
      <c r="J4" s="16"/>
    </row>
    <row r="5" spans="1:10" ht="15" customHeight="1">
      <c r="A5" s="16"/>
      <c r="B5" s="11"/>
      <c r="C5" s="10"/>
      <c r="D5" s="10"/>
      <c r="E5" s="10"/>
      <c r="F5" s="3"/>
      <c r="G5" s="4"/>
      <c r="H5" s="3"/>
      <c r="I5" s="5"/>
      <c r="J5" s="16"/>
    </row>
    <row r="6" spans="1:10" ht="15" customHeight="1">
      <c r="A6" s="16"/>
      <c r="B6" s="11"/>
      <c r="C6" s="3" t="s">
        <v>723</v>
      </c>
      <c r="D6" s="19" t="str">
        <f>INDEX(VL_TDM!$AC$11:$AC$41,MATCH($A$4,VL_TDM!$B$11:$B$41,0),1)</f>
        <v>Neighborhood/City</v>
      </c>
      <c r="E6" s="4"/>
      <c r="F6" s="4"/>
      <c r="G6" s="4"/>
      <c r="H6" s="497" t="s">
        <v>120</v>
      </c>
      <c r="I6" s="5"/>
      <c r="J6" s="16"/>
    </row>
    <row r="7" spans="1:10" ht="15" customHeight="1">
      <c r="A7" s="16"/>
      <c r="B7" s="11"/>
      <c r="C7" s="8" t="s">
        <v>724</v>
      </c>
      <c r="D7" s="362" t="str">
        <f>INDEX(VL_TDM!$AD$11:$AD$41,MATCH($A$4,VL_TDM!$B$11:$B$41,0),1)</f>
        <v>All neighborhood/city trips</v>
      </c>
      <c r="E7" s="4"/>
      <c r="F7" s="4"/>
      <c r="G7" s="3"/>
      <c r="H7" s="497" t="s">
        <v>153</v>
      </c>
      <c r="I7" s="5"/>
      <c r="J7" s="16"/>
    </row>
    <row r="8" spans="1:10" ht="15" customHeight="1">
      <c r="A8" s="16"/>
      <c r="B8" s="11"/>
      <c r="C8" s="8" t="s">
        <v>725</v>
      </c>
      <c r="D8" s="37">
        <f>INDEX(VL_TDM!$AE$11:$AE$41,MATCH($A$4,VL_TDM!$B$11:$B$41,0),1)</f>
        <v>3.4000000000000002E-2</v>
      </c>
      <c r="E8" s="10"/>
      <c r="F8" s="3"/>
      <c r="G8" s="4"/>
      <c r="H8" s="3"/>
      <c r="I8" s="5"/>
      <c r="J8" s="16"/>
    </row>
    <row r="9" spans="1:10" ht="15" customHeight="1">
      <c r="A9" s="16"/>
      <c r="B9" s="11"/>
      <c r="C9" s="3"/>
      <c r="D9" s="3"/>
      <c r="E9" s="3"/>
      <c r="F9" s="3"/>
      <c r="G9" s="4"/>
      <c r="H9" s="3"/>
      <c r="I9" s="5"/>
      <c r="J9" s="16"/>
    </row>
    <row r="10" spans="1:10" ht="78" customHeight="1">
      <c r="A10" s="16"/>
      <c r="B10" s="11"/>
      <c r="C10" s="602" t="str">
        <f>INDEX(VL_TDM!$AF$11:$AF$41,MATCH($A$4,VL_TDM!$B$11:$B$41,0),1)</f>
        <v>This strategy will increase the sidewalk coverage to improve pedestrian access. Providing sidewalks and an enhanced pedestrian network encourages people to walk instead of drive. This mode shift results in a reduction in VMT and GHG emissions. When improving sidewalks, a best practice is to ensure they are contiguous and link externally with existing and planned pedestrian facilities. Barriers to pedestrian access and interconnectivity, such as walls, landscaping buffers, and slopes, should be minimized. The strategy is based on the share of vehicle trips which could easily shift to walking - on average, approximately 21.4 percent of vehicle trips are 1 mile or less (3).</v>
      </c>
      <c r="D10" s="594"/>
      <c r="E10" s="594"/>
      <c r="F10" s="594"/>
      <c r="G10" s="594"/>
      <c r="H10" s="594"/>
      <c r="I10" s="5"/>
      <c r="J10" s="16"/>
    </row>
    <row r="11" spans="1:10" ht="15" customHeight="1">
      <c r="A11" s="16"/>
      <c r="B11" s="11"/>
      <c r="C11" s="3"/>
      <c r="D11" s="3"/>
      <c r="E11" s="3"/>
      <c r="F11" s="3"/>
      <c r="G11" s="4"/>
      <c r="H11" s="3"/>
      <c r="I11" s="5"/>
      <c r="J11" s="16"/>
    </row>
    <row r="12" spans="1:10" ht="15" customHeight="1">
      <c r="A12" s="16"/>
      <c r="B12" s="11"/>
      <c r="C12" s="6" t="s">
        <v>840</v>
      </c>
      <c r="D12" s="437"/>
      <c r="E12" s="59"/>
      <c r="F12" s="4"/>
      <c r="G12" s="28" t="s">
        <v>17</v>
      </c>
      <c r="H12" s="3"/>
      <c r="I12" s="5"/>
      <c r="J12" s="16"/>
    </row>
    <row r="13" spans="1:10" ht="7.35" customHeight="1">
      <c r="A13" s="16"/>
      <c r="B13" s="11"/>
      <c r="C13" s="6"/>
      <c r="D13" s="3"/>
      <c r="E13" s="438">
        <f>IF(E12=0, 0.01, "")</f>
        <v>0.01</v>
      </c>
      <c r="F13" s="4"/>
      <c r="G13" s="439"/>
      <c r="H13" s="3"/>
      <c r="I13" s="5"/>
      <c r="J13" s="16"/>
    </row>
    <row r="14" spans="1:10" ht="15" customHeight="1">
      <c r="A14" s="16"/>
      <c r="B14" s="11"/>
      <c r="C14" s="6" t="s">
        <v>841</v>
      </c>
      <c r="D14" s="437"/>
      <c r="E14" s="59"/>
      <c r="F14" s="4"/>
      <c r="G14" s="440" t="s">
        <v>17</v>
      </c>
      <c r="H14" s="3"/>
      <c r="I14" s="5"/>
      <c r="J14" s="16"/>
    </row>
    <row r="15" spans="1:10" ht="7.35" customHeight="1">
      <c r="A15" s="16"/>
      <c r="B15" s="11"/>
      <c r="C15" s="6"/>
      <c r="D15" s="3"/>
      <c r="E15" s="441">
        <f>IF(E14=0, 0.01, "")</f>
        <v>0.01</v>
      </c>
      <c r="F15" s="4"/>
      <c r="G15" s="9"/>
      <c r="H15" s="3"/>
      <c r="I15" s="5"/>
      <c r="J15" s="16"/>
    </row>
    <row r="16" spans="1:10" ht="15" customHeight="1">
      <c r="A16" s="16"/>
      <c r="B16" s="11"/>
      <c r="C16" s="6" t="s">
        <v>842</v>
      </c>
      <c r="D16" s="363"/>
      <c r="E16" s="442" t="str">
        <f>IF(OR(ISBLANK(E12),ISBLANK(E14)),"",IFERROR(IF(E13="",E12,E13)/IF(E15="",E14,E15), ""))</f>
        <v/>
      </c>
      <c r="F16" s="4"/>
      <c r="G16" s="443" t="s">
        <v>744</v>
      </c>
      <c r="H16" s="3"/>
      <c r="I16" s="5"/>
      <c r="J16" s="16"/>
    </row>
    <row r="17" spans="1:10" ht="7.35" customHeight="1">
      <c r="A17" s="16"/>
      <c r="B17" s="11"/>
      <c r="C17" s="6"/>
      <c r="D17" s="3"/>
      <c r="E17" s="444"/>
      <c r="F17" s="4"/>
      <c r="G17" s="9"/>
      <c r="H17" s="3"/>
      <c r="I17" s="5"/>
      <c r="J17" s="16"/>
    </row>
    <row r="18" spans="1:10" ht="15" customHeight="1">
      <c r="A18" s="16"/>
      <c r="B18" s="11"/>
      <c r="C18" s="6" t="s">
        <v>843</v>
      </c>
      <c r="D18" s="437"/>
      <c r="E18" s="59"/>
      <c r="F18" s="4"/>
      <c r="G18" s="440" t="s">
        <v>17</v>
      </c>
      <c r="H18" s="3"/>
      <c r="I18" s="5"/>
      <c r="J18" s="16"/>
    </row>
    <row r="19" spans="1:10" ht="7.35" customHeight="1">
      <c r="A19" s="16"/>
      <c r="B19" s="11"/>
      <c r="C19" s="6"/>
      <c r="D19" s="3"/>
      <c r="E19" s="441"/>
      <c r="F19" s="4"/>
      <c r="G19" s="439"/>
      <c r="H19" s="3"/>
      <c r="I19" s="5"/>
      <c r="J19" s="16"/>
    </row>
    <row r="20" spans="1:10" ht="15" customHeight="1">
      <c r="A20" s="16"/>
      <c r="B20" s="11"/>
      <c r="C20" s="6" t="s">
        <v>844</v>
      </c>
      <c r="D20" s="363"/>
      <c r="E20" s="445" t="str">
        <f>IF(OR(ISBLANK(E18),ISBLANK(E14)),"",IFERROR(E18/IF(E15="",E14,E15), ""))</f>
        <v/>
      </c>
      <c r="F20" s="4"/>
      <c r="G20" s="443" t="s">
        <v>744</v>
      </c>
      <c r="H20" s="3"/>
      <c r="I20" s="5"/>
      <c r="J20" s="16"/>
    </row>
    <row r="21" spans="1:10" ht="7.35" customHeight="1">
      <c r="A21" s="16"/>
      <c r="B21" s="11"/>
      <c r="C21" s="6"/>
      <c r="D21" s="3"/>
      <c r="E21" s="3"/>
      <c r="F21" s="4"/>
      <c r="G21" s="9"/>
      <c r="H21" s="3"/>
      <c r="I21" s="5"/>
      <c r="J21" s="16"/>
    </row>
    <row r="22" spans="1:10" ht="15" customHeight="1">
      <c r="A22" s="16"/>
      <c r="B22" s="11"/>
      <c r="C22" s="6" t="s">
        <v>845</v>
      </c>
      <c r="D22" s="363"/>
      <c r="E22" s="446" t="str">
        <f>IFERROR((E20-E16)/E16, "")</f>
        <v/>
      </c>
      <c r="F22" s="4"/>
      <c r="G22" s="443" t="s">
        <v>744</v>
      </c>
      <c r="H22" s="3"/>
      <c r="I22" s="5"/>
      <c r="J22" s="16"/>
    </row>
    <row r="23" spans="1:10" ht="7.35" customHeight="1">
      <c r="A23" s="16"/>
      <c r="B23" s="11"/>
      <c r="C23" s="6"/>
      <c r="D23" s="3"/>
      <c r="E23" s="3"/>
      <c r="F23" s="4"/>
      <c r="G23" s="9"/>
      <c r="H23" s="3"/>
      <c r="I23" s="5"/>
      <c r="J23" s="16"/>
    </row>
    <row r="24" spans="1:10" ht="15" customHeight="1">
      <c r="A24" s="16"/>
      <c r="B24" s="11"/>
      <c r="C24" s="6" t="s">
        <v>846</v>
      </c>
      <c r="D24" s="363"/>
      <c r="E24" s="447">
        <v>-0.05</v>
      </c>
      <c r="F24" s="4"/>
      <c r="G24" s="27" t="s">
        <v>847</v>
      </c>
      <c r="H24" s="3"/>
      <c r="I24" s="5"/>
      <c r="J24" s="16"/>
    </row>
    <row r="25" spans="1:10" ht="7.35" customHeight="1">
      <c r="A25" s="16"/>
      <c r="B25" s="11"/>
      <c r="C25" s="6"/>
      <c r="D25" s="3"/>
      <c r="E25" s="3"/>
      <c r="F25" s="4"/>
      <c r="G25" s="3"/>
      <c r="H25" s="3"/>
      <c r="I25" s="5"/>
      <c r="J25" s="16"/>
    </row>
    <row r="26" spans="1:10" ht="15" customHeight="1">
      <c r="A26" s="16"/>
      <c r="B26" s="11"/>
      <c r="C26" s="6" t="s">
        <v>147</v>
      </c>
      <c r="D26" s="363"/>
      <c r="E26" s="35" t="str">
        <f>IF(OR(ISBLANK(E12),ISBLANK(E14),ISBLANK(E18)),"",IFERROR(MAX(-D8,(((E18/E14)-(E12/E14))/(E12/E14))*E24),""))</f>
        <v/>
      </c>
      <c r="F26" s="20"/>
      <c r="G26" s="14" t="b">
        <v>0</v>
      </c>
      <c r="H26" s="170" t="str">
        <f>IF(OR(G26=TRUE,E26=""),"Not Active","Active")</f>
        <v>Not Active</v>
      </c>
      <c r="I26" s="5"/>
      <c r="J26" s="16"/>
    </row>
    <row r="27" spans="1:10" ht="15" customHeight="1">
      <c r="A27" s="16"/>
      <c r="B27" s="11"/>
      <c r="C27" s="3"/>
      <c r="D27" s="3"/>
      <c r="E27" s="3"/>
      <c r="F27" s="3"/>
      <c r="G27" s="4"/>
      <c r="H27" s="3"/>
      <c r="I27" s="5"/>
      <c r="J27" s="16"/>
    </row>
    <row r="28" spans="1:10" ht="51.95" customHeight="1">
      <c r="A28" s="16"/>
      <c r="B28" s="11"/>
      <c r="C28" s="633" t="str">
        <f>"Formula:  % Change in VMT =  " &amp; SUBSTITUTE("((( " &amp; C18 &amp; " / " &amp; C14 &amp; " )-( " &amp; C12 &amp; " / " &amp; C14 &amp; " ))/( " &amp; C12 &amp; " / " &amp; C14 &amp; " ))* " &amp; C24 &amp; " "," used for calculation","")</f>
        <v xml:space="preserve">Formula:  % Change in VMT =  ((( Sidewalk length in study area with strategy (miles) / Existing street length in study area (miles) )-( Existing sidewalk length in study area (miles) / Existing street length in study area (miles) ))/( Existing sidewalk length in study area (miles) / Existing street length in study area (miles) ))* Elasticity of VMT with respect to the ratio of sidewalks-to-streets </v>
      </c>
      <c r="D28" s="634"/>
      <c r="E28" s="634"/>
      <c r="F28" s="634"/>
      <c r="G28" s="634"/>
      <c r="H28" s="635"/>
      <c r="I28" s="5"/>
      <c r="J28" s="16"/>
    </row>
    <row r="29" spans="1:10" ht="15" customHeight="1">
      <c r="A29" s="16"/>
      <c r="B29" s="11"/>
      <c r="C29" s="411"/>
      <c r="D29" s="70"/>
      <c r="E29" s="70"/>
      <c r="F29" s="70"/>
      <c r="G29" s="70"/>
      <c r="H29" s="70"/>
      <c r="I29" s="5"/>
      <c r="J29" s="16"/>
    </row>
    <row r="30" spans="1:10" ht="15" customHeight="1">
      <c r="A30" s="16"/>
      <c r="B30" s="11"/>
      <c r="C30" s="3" t="s">
        <v>732</v>
      </c>
      <c r="D30" s="3"/>
      <c r="E30" s="3"/>
      <c r="F30" s="3"/>
      <c r="G30" s="4"/>
      <c r="H30" s="3"/>
      <c r="I30" s="5"/>
      <c r="J30" s="16"/>
    </row>
    <row r="31" spans="1:10" ht="170.1" customHeight="1">
      <c r="A31" s="16"/>
      <c r="B31" s="11"/>
      <c r="C31" s="616" t="str">
        <f>INDEX(VL_TDM!$AG$11:$AG$41,MATCH($A$4,VL_TDM!$B$11:$B$41,0),1)</f>
        <v>(1) Frank, L., Greenwald, M., Kavage, S. and Devlin, A. 2011. An Assessment of Urban Form and Pedestrian and Transit Improvements as an Integrated GHG Reduction Strategy. WSDOT Research Report WA-RD 765.1, Washington State Department of Transportation. April. Available: www.wsdot.wa.gov/research/reports/fullreports/765.1.pdf. Accessed: January 2021. 
(2) Handy, Susan, Glan-Claudia, Sciara, and Boarnet, Marlon. 2014. Impacts of Pedestrian Strategies on Passenger Vehicle Use and Greenhouse Gas Emissions: Policy Brief. September. Available: https://ww2.arb.ca.gov/sites/default/files/2020- 06/Impacts_of_Pedestrian_Strategies_on_Passenger_Vehicle_Use_and_Greenhouse_Gas_Emission s_Policy_Brief.pdf. Accessed: January 2021. 
(3) Federal Highway Administration (FHWA). 2019. 2017 National Household Travel Survey Popular Vehicle Trip Statistics. Available: https://nhts.ornl.gov/vehicle-trips. Accessed: January 2021.</v>
      </c>
      <c r="D31" s="594"/>
      <c r="E31" s="594"/>
      <c r="F31" s="594"/>
      <c r="G31" s="594"/>
      <c r="H31" s="594"/>
      <c r="I31" s="5"/>
      <c r="J31" s="16"/>
    </row>
    <row r="32" spans="1:10" ht="15" customHeight="1">
      <c r="A32" s="16"/>
      <c r="B32" s="15"/>
      <c r="C32" s="12"/>
      <c r="D32" s="12"/>
      <c r="E32" s="12"/>
      <c r="F32" s="12"/>
      <c r="G32" s="367"/>
      <c r="H32" s="12"/>
      <c r="I32" s="13"/>
      <c r="J32" s="16"/>
    </row>
    <row r="33" spans="1:10" ht="22.35" customHeight="1">
      <c r="A33" s="16"/>
      <c r="B33" s="16"/>
      <c r="C33" s="16"/>
      <c r="D33" s="16"/>
      <c r="E33" s="16"/>
      <c r="F33" s="16"/>
      <c r="G33" s="17"/>
      <c r="H33" s="16"/>
      <c r="I33" s="16"/>
      <c r="J33" s="16"/>
    </row>
  </sheetData>
  <sheetProtection algorithmName="SHA-512" hashValue="XdLb5p2IDRWmSRFR/dAUXJ+ulPvX8uQfREV4MV694x3cqtTDHVmmfG1LQFPD+PZySeD0WdBVFUk7YwszECI5CA==" saltValue="2M3zfm037aN5IG9bomV8nA==" spinCount="100000" sheet="1" objects="1" scenarios="1" selectLockedCells="1"/>
  <mergeCells count="4">
    <mergeCell ref="B4:I4"/>
    <mergeCell ref="C31:H31"/>
    <mergeCell ref="C10:H10"/>
    <mergeCell ref="C28:H28"/>
  </mergeCells>
  <conditionalFormatting sqref="E26">
    <cfRule type="expression" dxfId="23" priority="14">
      <formula>-ROUND($D$8,3)=ROUND($E$26,3)</formula>
    </cfRule>
    <cfRule type="expression" dxfId="22" priority="16">
      <formula>AND(E26&lt;&gt;"",E26&gt;0)</formula>
    </cfRule>
  </conditionalFormatting>
  <dataValidations count="2">
    <dataValidation type="decimal" operator="greaterThanOrEqual" allowBlank="1" showErrorMessage="1" errorTitle="Restriction" error="Value must not be negative" promptTitle="Detail" prompt="Measure the sidewalk on both sides of the street. For example, if one 0.5-mile long street has full sidewalk coverage, the sidewalk length would be 1.0 mile. If there is only sidewalk on one side of the street, the sidewalk length would be 0.5 mile." sqref="E12" xr:uid="{00000000-0002-0000-0F00-000000000000}">
      <formula1>0</formula1>
    </dataValidation>
    <dataValidation type="decimal" operator="greaterThanOrEqual" allowBlank="1" showInputMessage="1" showErrorMessage="1" error="Value must not be negative" sqref="E18 E14" xr:uid="{00000000-0002-0000-0F00-000001000000}">
      <formula1>0</formula1>
    </dataValidation>
  </dataValidations>
  <hyperlinks>
    <hyperlink ref="H7" location="Results!A1" display="Results Summary" xr:uid="{00000000-0004-0000-0F00-000000000000}"/>
    <hyperlink ref="H6" location="Main!L65" display="Return to Main É" xr:uid="{00000000-0004-0000-0F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ltText="Exclude From Results Summary">
                <anchor moveWithCells="1">
                  <from>
                    <xdr:col>5</xdr:col>
                    <xdr:colOff>371475</xdr:colOff>
                    <xdr:row>24</xdr:row>
                    <xdr:rowOff>66675</xdr:rowOff>
                  </from>
                  <to>
                    <xdr:col>6</xdr:col>
                    <xdr:colOff>1266825</xdr:colOff>
                    <xdr:row>26</xdr:row>
                    <xdr:rowOff>28575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0099"/>
  </sheetPr>
  <dimension ref="A1:K63"/>
  <sheetViews>
    <sheetView showGridLines="0" showRowColHeaders="0" topLeftCell="A3" zoomScaleNormal="100" workbookViewId="0">
      <selection activeCell="E12" sqref="E12:F12"/>
    </sheetView>
  </sheetViews>
  <sheetFormatPr defaultColWidth="0" defaultRowHeight="15" zeroHeight="1"/>
  <cols>
    <col min="1" max="1" width="4.42578125" customWidth="1"/>
    <col min="2" max="2" width="8.85546875" customWidth="1"/>
    <col min="3" max="3" width="20" customWidth="1"/>
    <col min="4" max="4" width="65.5703125" customWidth="1"/>
    <col min="5" max="5" width="10.42578125" customWidth="1"/>
    <col min="6" max="6" width="9.5703125" customWidth="1"/>
    <col min="7" max="7" width="5.5703125" customWidth="1"/>
    <col min="8" max="8" width="23.85546875" customWidth="1"/>
    <col min="9" max="9" width="17.5703125" customWidth="1"/>
    <col min="10" max="10" width="8.85546875" customWidth="1"/>
    <col min="11" max="11" width="4.5703125" customWidth="1"/>
    <col min="12" max="13" width="8.85546875" hidden="1" customWidth="1"/>
    <col min="14" max="16384" width="8.85546875" hidden="1"/>
  </cols>
  <sheetData>
    <row r="1" spans="1:11" hidden="1">
      <c r="A1" s="16"/>
      <c r="B1" s="16"/>
      <c r="C1" s="16"/>
      <c r="D1" s="16"/>
      <c r="E1" s="16"/>
      <c r="F1" s="16"/>
      <c r="G1" s="16"/>
      <c r="H1" s="16"/>
      <c r="I1" s="16"/>
      <c r="J1" s="16"/>
      <c r="K1" s="16"/>
    </row>
    <row r="2" spans="1:11" ht="22.35" hidden="1" customHeight="1">
      <c r="A2" s="60"/>
      <c r="B2" s="91"/>
      <c r="C2" s="60"/>
      <c r="D2" s="60"/>
      <c r="E2" s="60"/>
      <c r="F2" s="60"/>
      <c r="G2" s="60"/>
      <c r="H2" s="75"/>
      <c r="I2" s="60"/>
      <c r="J2" s="60"/>
      <c r="K2" s="60"/>
    </row>
    <row r="3" spans="1:11" ht="22.35" customHeight="1">
      <c r="A3" s="60"/>
      <c r="B3" s="91"/>
      <c r="C3" s="60"/>
      <c r="D3" s="60"/>
      <c r="E3" s="60"/>
      <c r="F3" s="60"/>
      <c r="G3" s="60"/>
      <c r="H3" s="75"/>
      <c r="I3" s="60"/>
      <c r="J3" s="60"/>
      <c r="K3" s="60"/>
    </row>
    <row r="4" spans="1:11" ht="18.75">
      <c r="A4" s="187" t="s">
        <v>64</v>
      </c>
      <c r="B4" s="655" t="str">
        <f>A4&amp;". "&amp;INDEX(VL_TDM!$E$11:$E$41,MATCH($A$4,VL_TDM!$B$11:$B$41,0),1)</f>
        <v>4C. Bikeway Network Expansion</v>
      </c>
      <c r="C4" s="600"/>
      <c r="D4" s="600"/>
      <c r="E4" s="600"/>
      <c r="F4" s="600"/>
      <c r="G4" s="600"/>
      <c r="H4" s="600"/>
      <c r="I4" s="600"/>
      <c r="J4" s="601"/>
      <c r="K4" s="60"/>
    </row>
    <row r="5" spans="1:11">
      <c r="A5" s="60"/>
      <c r="B5" s="65"/>
      <c r="C5" s="82"/>
      <c r="D5" s="82"/>
      <c r="E5" s="82"/>
      <c r="F5" s="82"/>
      <c r="G5" s="71"/>
      <c r="H5" s="73"/>
      <c r="I5" s="71"/>
      <c r="J5" s="64"/>
      <c r="K5" s="60"/>
    </row>
    <row r="6" spans="1:11">
      <c r="A6" s="60"/>
      <c r="B6" s="65"/>
      <c r="C6" s="71" t="s">
        <v>723</v>
      </c>
      <c r="D6" s="370" t="str">
        <f>INDEX(VL_TDM!$AC$11:$AC$41,MATCH($A$4,VL_TDM!$B$11:$B$41,0),1)</f>
        <v>Neighborhood/City</v>
      </c>
      <c r="E6" s="370"/>
      <c r="F6" s="73"/>
      <c r="G6" s="73"/>
      <c r="H6" s="73"/>
      <c r="I6" s="500" t="s">
        <v>120</v>
      </c>
      <c r="J6" s="64"/>
      <c r="K6" s="60"/>
    </row>
    <row r="7" spans="1:11">
      <c r="A7" s="60"/>
      <c r="B7" s="65"/>
      <c r="C7" s="81" t="s">
        <v>724</v>
      </c>
      <c r="D7" s="85" t="str">
        <f>INDEX(VL_TDM!$AD$11:$AD$41,MATCH($A$4,VL_TDM!$B$11:$B$41,0),1)</f>
        <v>All neighborhood/city trips</v>
      </c>
      <c r="E7" s="85"/>
      <c r="F7" s="73"/>
      <c r="G7" s="73"/>
      <c r="H7" s="71"/>
      <c r="I7" s="500" t="s">
        <v>153</v>
      </c>
      <c r="J7" s="64"/>
      <c r="K7" s="60"/>
    </row>
    <row r="8" spans="1:11">
      <c r="A8" s="60"/>
      <c r="B8" s="65"/>
      <c r="C8" s="81" t="s">
        <v>725</v>
      </c>
      <c r="D8" s="86">
        <f>INDEX(VL_TDM!$AE$11:$AE$41,MATCH($A$4,VL_TDM!$B$11:$B$41,0),1)</f>
        <v>5.0000000000000001E-3</v>
      </c>
      <c r="E8" s="82"/>
      <c r="F8" s="82"/>
      <c r="G8" s="71"/>
      <c r="H8" s="73"/>
      <c r="I8" s="71"/>
      <c r="J8" s="64"/>
      <c r="K8" s="60"/>
    </row>
    <row r="9" spans="1:11">
      <c r="A9" s="60"/>
      <c r="B9" s="65"/>
      <c r="C9" s="71"/>
      <c r="D9" s="71"/>
      <c r="E9" s="71"/>
      <c r="F9" s="71"/>
      <c r="G9" s="71"/>
      <c r="H9" s="73"/>
      <c r="I9" s="71"/>
      <c r="J9" s="64"/>
      <c r="K9" s="60"/>
    </row>
    <row r="10" spans="1:11" ht="80.099999999999994" customHeight="1">
      <c r="A10" s="60"/>
      <c r="B10" s="65"/>
      <c r="C10" s="602" t="str">
        <f>INDEX(VL_TDM!$AF$11:$AF$41,MATCH($A$4,VL_TDM!$B$11:$B$41,0),1)</f>
        <v>This strategy will increase the length of a city or neighborhood bikeway network. A bicycle network is an interconnected system of bike lanes, bike paths, and cycle tracks. Providing bicycle infrastructure with markings and signage helps to improve biking conditions (e.g., safety and convenience). In addition, expanded bikeway networks can increase access to and from transit hubs, thereby expanding the “catchment area” of the transit stop or station and increasing ridership. This encourages a mode shift from vehicles to bicycles, displacing VMT and thus reducing GHG emissions. When expanding a bicycle network, a best practice is to consider local or state bike lane width standards.</v>
      </c>
      <c r="D10" s="594"/>
      <c r="E10" s="594"/>
      <c r="F10" s="594"/>
      <c r="G10" s="594"/>
      <c r="H10" s="594"/>
      <c r="I10" s="594"/>
      <c r="J10" s="64"/>
      <c r="K10" s="60"/>
    </row>
    <row r="11" spans="1:11">
      <c r="A11" s="60"/>
      <c r="B11" s="65"/>
      <c r="C11" s="71"/>
      <c r="D11" s="71"/>
      <c r="E11" s="71"/>
      <c r="F11" s="71"/>
      <c r="G11" s="71"/>
      <c r="H11" s="73"/>
      <c r="I11" s="71"/>
      <c r="J11" s="64"/>
      <c r="K11" s="60"/>
    </row>
    <row r="12" spans="1:11">
      <c r="A12" s="60"/>
      <c r="B12" s="65"/>
      <c r="C12" s="76" t="s">
        <v>848</v>
      </c>
      <c r="D12" s="77"/>
      <c r="E12" s="665"/>
      <c r="F12" s="665"/>
      <c r="G12" s="71"/>
      <c r="H12" s="81" t="s">
        <v>17</v>
      </c>
      <c r="I12" s="71"/>
      <c r="J12" s="64"/>
      <c r="K12" s="60"/>
    </row>
    <row r="13" spans="1:11">
      <c r="A13" s="92"/>
      <c r="B13" s="65"/>
      <c r="C13" s="76" t="s">
        <v>849</v>
      </c>
      <c r="D13" s="76"/>
      <c r="E13" s="203"/>
      <c r="F13" s="203"/>
      <c r="G13" s="203"/>
      <c r="H13" s="595" t="str">
        <f>IF(AND(NOT(ISBLANK(E12)),E12=VL_REF!BY12),"Use Strategy 4D, Bike Lane Addition.","")</f>
        <v/>
      </c>
      <c r="I13" s="595"/>
      <c r="J13" s="64"/>
      <c r="K13" s="60"/>
    </row>
    <row r="14" spans="1:11">
      <c r="A14" s="60"/>
      <c r="B14" s="65"/>
      <c r="C14" s="76"/>
      <c r="D14" s="76"/>
      <c r="E14" s="203"/>
      <c r="F14" s="203"/>
      <c r="G14" s="203"/>
      <c r="H14" s="595" t="str">
        <f>IF(AND(E12&lt;&gt;"",'4D bike project'!E12&lt;&gt;"",E12&lt;&gt;'4D bike project'!E12),"User input mismatches input for same question on strategy 4D page. Reconcile.","")</f>
        <v/>
      </c>
      <c r="I14" s="595"/>
      <c r="J14" s="64"/>
      <c r="K14" s="60"/>
    </row>
    <row r="15" spans="1:11">
      <c r="A15" s="60"/>
      <c r="B15" s="65"/>
      <c r="C15" s="76"/>
      <c r="D15" s="76"/>
      <c r="E15" s="203"/>
      <c r="F15" s="203"/>
      <c r="G15" s="203"/>
      <c r="H15" s="595"/>
      <c r="I15" s="595"/>
      <c r="J15" s="64"/>
      <c r="K15" s="60"/>
    </row>
    <row r="16" spans="1:11" ht="7.35" customHeight="1">
      <c r="A16" s="60"/>
      <c r="B16" s="65"/>
      <c r="C16" s="76"/>
      <c r="D16" s="77"/>
      <c r="E16" s="71"/>
      <c r="F16" s="71"/>
      <c r="G16" s="73"/>
      <c r="H16" s="381"/>
      <c r="I16" s="71"/>
      <c r="J16" s="64"/>
      <c r="K16" s="60"/>
    </row>
    <row r="17" spans="1:11">
      <c r="A17" s="60"/>
      <c r="B17" s="65"/>
      <c r="C17" s="76" t="s">
        <v>673</v>
      </c>
      <c r="D17" s="77"/>
      <c r="E17" s="71"/>
      <c r="F17" s="208" t="e">
        <f>IF(K17="Use Capcoa 2021",VL_REF!$Y$3,INDEX(VL_TAZ!$O$9:$AD$9,1,MATCH($C17,VL_TAZ!$O$10:$AD$10,0)))</f>
        <v>#N/A</v>
      </c>
      <c r="G17" s="73"/>
      <c r="H17" s="71" t="str">
        <f>CONCATENATE("Alameda CTC model",IF(NOT(ISBLANK(F19)),", overridden",""))</f>
        <v>Alameda CTC model</v>
      </c>
      <c r="I17" s="71"/>
      <c r="J17" s="64"/>
      <c r="K17" s="187" t="s">
        <v>760</v>
      </c>
    </row>
    <row r="18" spans="1:11" ht="7.35" customHeight="1">
      <c r="A18" s="60"/>
      <c r="B18" s="65"/>
      <c r="C18" s="76"/>
      <c r="D18" s="77"/>
      <c r="E18" s="71"/>
      <c r="F18" s="71"/>
      <c r="G18" s="73"/>
      <c r="H18" s="71"/>
      <c r="I18" s="71"/>
      <c r="J18" s="64"/>
      <c r="K18" s="187"/>
    </row>
    <row r="19" spans="1:11">
      <c r="A19" s="60"/>
      <c r="B19" s="65"/>
      <c r="C19" s="76" t="s">
        <v>850</v>
      </c>
      <c r="D19" s="77"/>
      <c r="E19" s="71"/>
      <c r="F19" s="58"/>
      <c r="G19" s="73"/>
      <c r="H19" s="448" t="s">
        <v>20</v>
      </c>
      <c r="I19" s="71"/>
      <c r="J19" s="64"/>
      <c r="K19" s="187"/>
    </row>
    <row r="20" spans="1:11" ht="7.35" customHeight="1">
      <c r="A20" s="60"/>
      <c r="B20" s="65"/>
      <c r="C20" s="76"/>
      <c r="D20" s="77"/>
      <c r="E20" s="71"/>
      <c r="F20" s="449"/>
      <c r="G20" s="73"/>
      <c r="H20" s="71"/>
      <c r="I20" s="71"/>
      <c r="J20" s="64"/>
      <c r="K20" s="187"/>
    </row>
    <row r="21" spans="1:11">
      <c r="A21" s="60"/>
      <c r="B21" s="65"/>
      <c r="C21" s="76" t="s">
        <v>851</v>
      </c>
      <c r="D21" s="77"/>
      <c r="E21" s="71"/>
      <c r="F21" s="48" t="str">
        <f>IFERROR(IF(ISBLANK(F19),F17,F19),"")</f>
        <v/>
      </c>
      <c r="G21" s="71"/>
      <c r="H21" s="81" t="s">
        <v>744</v>
      </c>
      <c r="I21" s="71"/>
      <c r="J21" s="64"/>
      <c r="K21" s="22"/>
    </row>
    <row r="22" spans="1:11" ht="7.35" customHeight="1">
      <c r="A22" s="60"/>
      <c r="B22" s="65"/>
      <c r="C22" s="76"/>
      <c r="D22" s="77"/>
      <c r="E22" s="71"/>
      <c r="F22" s="71"/>
      <c r="G22" s="73"/>
      <c r="H22" s="71"/>
      <c r="I22" s="71"/>
      <c r="J22" s="64"/>
      <c r="K22" s="187"/>
    </row>
    <row r="23" spans="1:11">
      <c r="A23" s="60"/>
      <c r="B23" s="65"/>
      <c r="C23" s="76" t="s">
        <v>674</v>
      </c>
      <c r="D23" s="77"/>
      <c r="E23" s="71"/>
      <c r="F23" s="208" t="e">
        <f>IF(K23="Use Capcoa 2021",VL_REF!$H$3,INDEX(VL_TAZ!$O$9:$AD$9,1,MATCH($C23,VL_TAZ!$O$10:$AD$10,0)))</f>
        <v>#N/A</v>
      </c>
      <c r="G23" s="73"/>
      <c r="H23" s="71" t="str">
        <f>CONCATENATE("Alameda CTC model",IF(NOT(ISBLANK(F25)),", overridden",""))</f>
        <v>Alameda CTC model</v>
      </c>
      <c r="I23" s="71"/>
      <c r="J23" s="64"/>
      <c r="K23" s="187" t="s">
        <v>760</v>
      </c>
    </row>
    <row r="24" spans="1:11" ht="7.35" customHeight="1">
      <c r="A24" s="60"/>
      <c r="B24" s="65"/>
      <c r="C24" s="76"/>
      <c r="D24" s="77"/>
      <c r="E24" s="71"/>
      <c r="F24" s="71"/>
      <c r="G24" s="73"/>
      <c r="H24" s="71"/>
      <c r="I24" s="71"/>
      <c r="J24" s="64"/>
      <c r="K24" s="187"/>
    </row>
    <row r="25" spans="1:11">
      <c r="A25" s="60"/>
      <c r="B25" s="65"/>
      <c r="C25" s="76" t="s">
        <v>852</v>
      </c>
      <c r="D25" s="77"/>
      <c r="E25" s="71"/>
      <c r="F25" s="58"/>
      <c r="G25" s="73"/>
      <c r="H25" s="207" t="s">
        <v>20</v>
      </c>
      <c r="I25" s="71"/>
      <c r="J25" s="64"/>
      <c r="K25" s="187"/>
    </row>
    <row r="26" spans="1:11" ht="7.35" customHeight="1">
      <c r="A26" s="60"/>
      <c r="B26" s="65"/>
      <c r="C26" s="76"/>
      <c r="D26" s="77"/>
      <c r="E26" s="71"/>
      <c r="F26" s="71"/>
      <c r="G26" s="73"/>
      <c r="H26" s="71"/>
      <c r="I26" s="71"/>
      <c r="J26" s="64"/>
      <c r="K26" s="187"/>
    </row>
    <row r="27" spans="1:11">
      <c r="A27" s="60"/>
      <c r="B27" s="65"/>
      <c r="C27" s="76" t="s">
        <v>853</v>
      </c>
      <c r="D27" s="77"/>
      <c r="E27" s="71"/>
      <c r="F27" s="48" t="str">
        <f>IFERROR(IF(ISBLANK(F25),F23,F25),"")</f>
        <v/>
      </c>
      <c r="G27" s="71"/>
      <c r="H27" s="81" t="s">
        <v>744</v>
      </c>
      <c r="I27" s="71"/>
      <c r="J27" s="64"/>
      <c r="K27" s="22"/>
    </row>
    <row r="28" spans="1:11" ht="7.35" customHeight="1">
      <c r="A28" s="60"/>
      <c r="B28" s="65"/>
      <c r="C28" s="76"/>
      <c r="D28" s="77"/>
      <c r="E28" s="71"/>
      <c r="F28" s="71"/>
      <c r="G28" s="73"/>
      <c r="H28" s="71"/>
      <c r="I28" s="71"/>
      <c r="J28" s="64"/>
      <c r="K28" s="187"/>
    </row>
    <row r="29" spans="1:11" ht="15" customHeight="1">
      <c r="A29" s="60"/>
      <c r="B29" s="65"/>
      <c r="C29" s="76" t="s">
        <v>854</v>
      </c>
      <c r="D29" s="373"/>
      <c r="E29" s="203"/>
      <c r="F29" s="38"/>
      <c r="G29" s="203"/>
      <c r="H29" s="207" t="s">
        <v>17</v>
      </c>
      <c r="I29" s="513" t="s">
        <v>855</v>
      </c>
      <c r="J29" s="64"/>
      <c r="K29" s="187"/>
    </row>
    <row r="30" spans="1:11" ht="23.1" customHeight="1">
      <c r="A30" s="60"/>
      <c r="B30" s="65"/>
      <c r="C30" s="76"/>
      <c r="D30" s="373"/>
      <c r="E30" s="203"/>
      <c r="F30" s="203"/>
      <c r="G30" s="203"/>
      <c r="H30" s="595" t="str">
        <f>IF(F29=VL_REF!CB11,"Warning: VMT reduction can only be calculated for Class I, II, and IV bikeway. Class III bike lane miles should be left out of the below user inputs.","")</f>
        <v/>
      </c>
      <c r="I30" s="595"/>
      <c r="J30" s="64"/>
      <c r="K30" s="187"/>
    </row>
    <row r="31" spans="1:11" ht="23.1" customHeight="1">
      <c r="A31" s="60"/>
      <c r="B31" s="65"/>
      <c r="C31" s="666"/>
      <c r="D31" s="666"/>
      <c r="E31" s="203"/>
      <c r="F31" s="203"/>
      <c r="G31" s="203"/>
      <c r="H31" s="595"/>
      <c r="I31" s="595"/>
      <c r="J31" s="64"/>
      <c r="K31" s="187"/>
    </row>
    <row r="32" spans="1:11" ht="23.1" customHeight="1">
      <c r="A32" s="60"/>
      <c r="B32" s="65"/>
      <c r="C32" s="450"/>
      <c r="D32" s="450"/>
      <c r="E32" s="203"/>
      <c r="F32" s="203"/>
      <c r="G32" s="203"/>
      <c r="H32" s="595"/>
      <c r="I32" s="595"/>
      <c r="J32" s="64"/>
      <c r="K32" s="187"/>
    </row>
    <row r="33" spans="1:11" ht="7.35" customHeight="1">
      <c r="A33" s="60"/>
      <c r="B33" s="65"/>
      <c r="C33" s="76"/>
      <c r="D33" s="77"/>
      <c r="E33" s="71"/>
      <c r="F33" s="71"/>
      <c r="G33" s="73"/>
      <c r="H33" s="451"/>
      <c r="I33" s="71"/>
      <c r="J33" s="64"/>
      <c r="K33" s="187"/>
    </row>
    <row r="34" spans="1:11">
      <c r="A34" s="60"/>
      <c r="B34" s="65"/>
      <c r="C34" s="76" t="s">
        <v>856</v>
      </c>
      <c r="D34" s="77"/>
      <c r="E34" s="71"/>
      <c r="F34" s="49"/>
      <c r="G34" s="73"/>
      <c r="H34" s="207" t="s">
        <v>17</v>
      </c>
      <c r="I34" s="71"/>
      <c r="J34" s="64"/>
      <c r="K34" s="22"/>
    </row>
    <row r="35" spans="1:11" ht="7.35" customHeight="1">
      <c r="A35" s="60"/>
      <c r="B35" s="65"/>
      <c r="C35" s="76"/>
      <c r="D35" s="77"/>
      <c r="E35" s="71"/>
      <c r="F35" s="378"/>
      <c r="G35" s="73"/>
      <c r="H35" s="81"/>
      <c r="I35" s="71"/>
      <c r="J35" s="64"/>
      <c r="K35" s="187"/>
    </row>
    <row r="36" spans="1:11">
      <c r="A36" s="60"/>
      <c r="B36" s="65"/>
      <c r="C36" s="76" t="s">
        <v>857</v>
      </c>
      <c r="D36" s="77"/>
      <c r="E36" s="71"/>
      <c r="F36" s="49"/>
      <c r="G36" s="73"/>
      <c r="H36" s="207" t="s">
        <v>17</v>
      </c>
      <c r="I36" s="71"/>
      <c r="J36" s="64"/>
      <c r="K36" s="22"/>
    </row>
    <row r="37" spans="1:11" ht="7.35" customHeight="1">
      <c r="A37" s="60"/>
      <c r="B37" s="65"/>
      <c r="C37" s="76"/>
      <c r="D37" s="77"/>
      <c r="E37" s="71"/>
      <c r="F37" s="71"/>
      <c r="G37" s="73"/>
      <c r="H37" s="81"/>
      <c r="I37" s="71"/>
      <c r="J37" s="64"/>
      <c r="K37" s="187"/>
    </row>
    <row r="38" spans="1:11">
      <c r="A38" s="60"/>
      <c r="B38" s="65"/>
      <c r="C38" s="76" t="s">
        <v>858</v>
      </c>
      <c r="D38" s="77"/>
      <c r="E38" s="71"/>
      <c r="F38" s="422" t="str">
        <f>IF(OR(ISBLANK(F34),ISBLANK(F36)),"",IFERROR(MIN(1000%,(F36-F34)/MAX(F34,0.00001)),""))</f>
        <v/>
      </c>
      <c r="G38" s="73"/>
      <c r="H38" s="81" t="s">
        <v>744</v>
      </c>
      <c r="I38" s="71"/>
      <c r="J38" s="64"/>
      <c r="K38" s="187"/>
    </row>
    <row r="39" spans="1:11" ht="7.35" customHeight="1">
      <c r="A39" s="60"/>
      <c r="B39" s="65"/>
      <c r="C39" s="76"/>
      <c r="D39" s="77"/>
      <c r="E39" s="71"/>
      <c r="F39" s="72"/>
      <c r="G39" s="73"/>
      <c r="H39" s="81"/>
      <c r="I39" s="71"/>
      <c r="J39" s="64"/>
      <c r="K39" s="187"/>
    </row>
    <row r="40" spans="1:11">
      <c r="A40" s="60"/>
      <c r="B40" s="65"/>
      <c r="C40" s="76" t="s">
        <v>675</v>
      </c>
      <c r="D40" s="77"/>
      <c r="E40" s="71"/>
      <c r="F40" s="407" t="e">
        <f>IF(K40="Use Capcoa 2021",VL_REF!$T$3,INDEX(VL_TAZ!$O$9:$AD$9,1,MATCH($C40,VL_TAZ!$O$10:$AD$10,0)))</f>
        <v>#N/A</v>
      </c>
      <c r="G40" s="73"/>
      <c r="H40" s="71" t="str">
        <f>CONCATENATE("Alameda CTC model",IF(NOT(ISBLANK(F42)),", overridden",""))</f>
        <v>Alameda CTC model</v>
      </c>
      <c r="I40" s="71"/>
      <c r="J40" s="64"/>
      <c r="K40" s="187" t="s">
        <v>760</v>
      </c>
    </row>
    <row r="41" spans="1:11" ht="7.35" customHeight="1">
      <c r="A41" s="60"/>
      <c r="B41" s="65"/>
      <c r="C41" s="76"/>
      <c r="D41" s="77"/>
      <c r="E41" s="71"/>
      <c r="F41" s="452"/>
      <c r="G41" s="73"/>
      <c r="H41" s="81"/>
      <c r="I41" s="71"/>
      <c r="J41" s="64"/>
      <c r="K41" s="187"/>
    </row>
    <row r="42" spans="1:11">
      <c r="A42" s="60"/>
      <c r="B42" s="65"/>
      <c r="C42" s="76" t="s">
        <v>826</v>
      </c>
      <c r="D42" s="77"/>
      <c r="E42" s="71"/>
      <c r="F42" s="50"/>
      <c r="G42" s="73"/>
      <c r="H42" s="207" t="s">
        <v>20</v>
      </c>
      <c r="I42" s="71"/>
      <c r="J42" s="64"/>
      <c r="K42" s="187"/>
    </row>
    <row r="43" spans="1:11" ht="7.35" customHeight="1">
      <c r="A43" s="60"/>
      <c r="B43" s="65"/>
      <c r="C43" s="76"/>
      <c r="D43" s="77"/>
      <c r="E43" s="71"/>
      <c r="F43" s="71"/>
      <c r="G43" s="73"/>
      <c r="H43" s="71"/>
      <c r="I43" s="71"/>
      <c r="J43" s="64"/>
      <c r="K43" s="187"/>
    </row>
    <row r="44" spans="1:11">
      <c r="A44" s="60"/>
      <c r="B44" s="65"/>
      <c r="C44" s="76" t="s">
        <v>827</v>
      </c>
      <c r="D44" s="77"/>
      <c r="E44" s="71"/>
      <c r="F44" s="429" t="e">
        <f>IF(ISBLANK(F42),F40,F42)</f>
        <v>#N/A</v>
      </c>
      <c r="G44" s="71"/>
      <c r="H44" s="81" t="s">
        <v>744</v>
      </c>
      <c r="I44" s="71"/>
      <c r="J44" s="64"/>
      <c r="K44" s="22"/>
    </row>
    <row r="45" spans="1:11" ht="7.35" customHeight="1">
      <c r="A45" s="60"/>
      <c r="B45" s="65"/>
      <c r="C45" s="76"/>
      <c r="D45" s="77"/>
      <c r="E45" s="71"/>
      <c r="F45" s="71"/>
      <c r="G45" s="73"/>
      <c r="H45" s="81"/>
      <c r="I45" s="71"/>
      <c r="J45" s="64"/>
      <c r="K45" s="187"/>
    </row>
    <row r="46" spans="1:11">
      <c r="A46" s="60"/>
      <c r="B46" s="65"/>
      <c r="C46" s="76" t="s">
        <v>676</v>
      </c>
      <c r="D46" s="77"/>
      <c r="E46" s="71"/>
      <c r="F46" s="407" t="e">
        <f>IF(K46="Use Capcoa 2021",VL_REF!$U$3,INDEX(VL_TAZ!$O$9:$AD$9,1,MATCH($C46,VL_TAZ!$O$10:$AD$10,0)))</f>
        <v>#N/A</v>
      </c>
      <c r="G46" s="73"/>
      <c r="H46" s="71" t="str">
        <f>CONCATENATE("Alameda CTC model",IF(NOT(ISBLANK(F48)),", overridden",""))</f>
        <v>Alameda CTC model</v>
      </c>
      <c r="I46" s="71"/>
      <c r="J46" s="64"/>
      <c r="K46" s="187" t="s">
        <v>760</v>
      </c>
    </row>
    <row r="47" spans="1:11" ht="7.35" customHeight="1">
      <c r="A47" s="60"/>
      <c r="B47" s="65"/>
      <c r="C47" s="76"/>
      <c r="D47" s="77"/>
      <c r="E47" s="71"/>
      <c r="F47" s="71"/>
      <c r="G47" s="73"/>
      <c r="H47" s="81"/>
      <c r="I47" s="71"/>
      <c r="J47" s="64"/>
      <c r="K47" s="60"/>
    </row>
    <row r="48" spans="1:11">
      <c r="A48" s="60"/>
      <c r="B48" s="65"/>
      <c r="C48" s="76" t="s">
        <v>828</v>
      </c>
      <c r="D48" s="77"/>
      <c r="E48" s="71"/>
      <c r="F48" s="50"/>
      <c r="G48" s="73"/>
      <c r="H48" s="207" t="s">
        <v>20</v>
      </c>
      <c r="I48" s="71"/>
      <c r="J48" s="64"/>
      <c r="K48" s="60"/>
    </row>
    <row r="49" spans="1:11" ht="7.35" customHeight="1">
      <c r="A49" s="60"/>
      <c r="B49" s="65"/>
      <c r="C49" s="76"/>
      <c r="D49" s="77"/>
      <c r="E49" s="71"/>
      <c r="F49" s="71"/>
      <c r="G49" s="73"/>
      <c r="H49" s="71"/>
      <c r="I49" s="71"/>
      <c r="J49" s="64"/>
      <c r="K49" s="60"/>
    </row>
    <row r="50" spans="1:11">
      <c r="A50" s="60"/>
      <c r="B50" s="65"/>
      <c r="C50" s="76" t="s">
        <v>829</v>
      </c>
      <c r="D50" s="77"/>
      <c r="E50" s="71"/>
      <c r="F50" s="429" t="e">
        <f>IF(ISBLANK(F48),F46,F48)</f>
        <v>#N/A</v>
      </c>
      <c r="G50" s="71"/>
      <c r="H50" s="81" t="s">
        <v>744</v>
      </c>
      <c r="I50" s="71"/>
      <c r="J50" s="64"/>
      <c r="K50" s="16"/>
    </row>
    <row r="51" spans="1:11" ht="7.35" customHeight="1">
      <c r="A51" s="60"/>
      <c r="B51" s="65"/>
      <c r="C51" s="76"/>
      <c r="D51" s="77"/>
      <c r="E51" s="71"/>
      <c r="F51" s="71"/>
      <c r="G51" s="73"/>
      <c r="H51" s="81"/>
      <c r="I51" s="71"/>
      <c r="J51" s="64"/>
      <c r="K51" s="60"/>
    </row>
    <row r="52" spans="1:11">
      <c r="A52" s="60"/>
      <c r="B52" s="65"/>
      <c r="C52" s="76" t="s">
        <v>859</v>
      </c>
      <c r="D52" s="77"/>
      <c r="E52" s="71"/>
      <c r="F52" s="453">
        <v>0.25</v>
      </c>
      <c r="G52" s="73"/>
      <c r="H52" s="421" t="s">
        <v>748</v>
      </c>
      <c r="I52" s="71"/>
      <c r="J52" s="64"/>
      <c r="K52" s="16"/>
    </row>
    <row r="53" spans="1:11">
      <c r="A53" s="60"/>
      <c r="B53" s="65"/>
      <c r="C53" s="76"/>
      <c r="D53" s="454"/>
      <c r="E53" s="71"/>
      <c r="F53" s="455"/>
      <c r="G53" s="73"/>
      <c r="H53" s="421"/>
      <c r="I53" s="71"/>
      <c r="J53" s="64"/>
      <c r="K53" s="60"/>
    </row>
    <row r="54" spans="1:11" ht="7.35" customHeight="1">
      <c r="A54" s="60"/>
      <c r="B54" s="65"/>
      <c r="C54" s="76"/>
      <c r="D54" s="77"/>
      <c r="E54" s="71"/>
      <c r="F54" s="72"/>
      <c r="G54" s="73"/>
      <c r="H54" s="81"/>
      <c r="I54" s="71"/>
      <c r="J54" s="64"/>
      <c r="K54" s="60"/>
    </row>
    <row r="55" spans="1:11">
      <c r="A55" s="60"/>
      <c r="B55" s="65"/>
      <c r="C55" s="76" t="s">
        <v>147</v>
      </c>
      <c r="D55" s="77"/>
      <c r="E55" s="71"/>
      <c r="F55" s="98" t="str">
        <f>IFERROR(IF(OR(E12&lt;&gt;VL_REF!BY11,ISBLANK(F34),ISBLANK(F36)),"", IF(F38&gt;0,MAX(-D8,-1*((((F36-F34)/F34)*F21*F44*F52)/(F27*F50))),"")),"")</f>
        <v/>
      </c>
      <c r="G55" s="378"/>
      <c r="H55" s="41" t="b">
        <v>0</v>
      </c>
      <c r="I55" s="170" t="str">
        <f>IF(OR(H55=TRUE,F55=""),"Not Active","Active")</f>
        <v>Not Active</v>
      </c>
      <c r="J55" s="64"/>
      <c r="K55" s="60"/>
    </row>
    <row r="56" spans="1:11">
      <c r="A56" s="60"/>
      <c r="B56" s="65"/>
      <c r="C56" s="71"/>
      <c r="D56" s="71"/>
      <c r="E56" s="71"/>
      <c r="F56" s="71"/>
      <c r="G56" s="71"/>
      <c r="H56" s="73"/>
      <c r="I56" s="71"/>
      <c r="J56" s="64"/>
      <c r="K56" s="60"/>
    </row>
    <row r="57" spans="1:11" ht="51.95" customHeight="1">
      <c r="A57" s="60"/>
      <c r="B57" s="65"/>
      <c r="C57" s="621" t="str">
        <f>"Formula:  % Change in VMT =  " &amp; SUBSTITUTE("-1*(((( " &amp; C36 &amp; " - " &amp; C34 &amp; " )/ " &amp; C34 &amp; " )* " &amp; C21 &amp; " * " &amp; C44 &amp; " * " &amp; C52 &amp; " )/( " &amp; C27  &amp; " * " &amp; C50 &amp; " ))"," used for calculation","")</f>
        <v>Formula:  % Change in VMT =  -1*(((( Bikeway miles (only Class, I, II, and IV) in neighborhood/city with strategy - Existing bikeway miles (only Class I, II, and IV) in neighborhood/city )/ Existing bikeway miles (only Class I, II, and IV) in neighborhood/city )* Bicycle mode share * One-way bicycle trip length (miles) * Elasticity of bike commuters with respect to bikeway miles per 10,000 population )/( Vehicle mode share * One-way vehicle trip length in neighborhood/city (miles) ))</v>
      </c>
      <c r="D57" s="663"/>
      <c r="E57" s="663"/>
      <c r="F57" s="663"/>
      <c r="G57" s="663"/>
      <c r="H57" s="663"/>
      <c r="I57" s="664"/>
      <c r="J57" s="64"/>
      <c r="K57" s="60"/>
    </row>
    <row r="58" spans="1:11">
      <c r="A58" s="60"/>
      <c r="B58" s="65"/>
      <c r="C58" s="456"/>
      <c r="D58" s="625" t="s">
        <v>860</v>
      </c>
      <c r="E58" s="625"/>
      <c r="F58" s="625"/>
      <c r="G58" s="625"/>
      <c r="H58" s="625"/>
      <c r="I58" s="457"/>
      <c r="J58" s="64"/>
      <c r="K58" s="60"/>
    </row>
    <row r="59" spans="1:11">
      <c r="A59" s="60"/>
      <c r="B59" s="65"/>
      <c r="C59" s="432"/>
      <c r="D59" s="70"/>
      <c r="E59" s="70"/>
      <c r="F59" s="70"/>
      <c r="G59" s="70"/>
      <c r="H59" s="70"/>
      <c r="I59" s="70"/>
      <c r="J59" s="64"/>
      <c r="K59" s="60"/>
    </row>
    <row r="60" spans="1:11">
      <c r="A60" s="60"/>
      <c r="B60" s="65"/>
      <c r="C60" s="71" t="s">
        <v>732</v>
      </c>
      <c r="D60" s="71"/>
      <c r="E60" s="71"/>
      <c r="F60" s="71"/>
      <c r="G60" s="71"/>
      <c r="H60" s="73"/>
      <c r="I60" s="71"/>
      <c r="J60" s="64"/>
      <c r="K60" s="60"/>
    </row>
    <row r="61" spans="1:11" ht="79.5" customHeight="1">
      <c r="A61" s="60"/>
      <c r="B61" s="65"/>
      <c r="C61" s="596" t="str">
        <f>INDEX(VL_TDM!$AG$11:$AG$41,MATCH($A$4,VL_TDM!$B$11:$B$41,0),1)</f>
        <v>(1) Federal Highway Administration (FHWA). 2017. National Household Travel Survey – 2017 Table Designer. Travel Day PMT by TRPTRANS by HH_CBSA. Available: https://nhts.ornl.gov/. Accessed: January 2021. 
(2) Pucher, J., Buehler, R. 2011. Analysis of Bicycling Trends and Policies in Large North American Cities: Lessons for New York. March. Available: http://www.utrc2.org/sites/default/files/pubs/analysis-bike-final_0.pdf. Accessed: January 2021.</v>
      </c>
      <c r="D61" s="656"/>
      <c r="E61" s="656"/>
      <c r="F61" s="656"/>
      <c r="G61" s="656"/>
      <c r="H61" s="656"/>
      <c r="I61" s="656"/>
      <c r="J61" s="64"/>
      <c r="K61" s="60"/>
    </row>
    <row r="62" spans="1:11">
      <c r="A62" s="60"/>
      <c r="B62" s="74"/>
      <c r="C62" s="177"/>
      <c r="D62" s="177"/>
      <c r="E62" s="177"/>
      <c r="F62" s="177"/>
      <c r="G62" s="177"/>
      <c r="H62" s="379"/>
      <c r="I62" s="177"/>
      <c r="J62" s="380"/>
      <c r="K62" s="60"/>
    </row>
    <row r="63" spans="1:11">
      <c r="A63" s="60"/>
      <c r="B63" s="60"/>
      <c r="C63" s="60"/>
      <c r="D63" s="60"/>
      <c r="E63" s="60"/>
      <c r="F63" s="60"/>
      <c r="G63" s="60"/>
      <c r="H63" s="75"/>
      <c r="I63" s="60"/>
      <c r="J63" s="60"/>
      <c r="K63" s="60"/>
    </row>
  </sheetData>
  <sheetProtection algorithmName="SHA-512" hashValue="KFeX7kc+NMbnsUlnXybsqWbGLT0xCoZakN1DiU98xhzhxLlEkbx5kTvREW3KEDC/e5FjpMogcUdP9gSTXpuIHg==" saltValue="h2Hx1KJdGMb7sM9A+F4m8Q==" spinCount="100000" sheet="1" objects="1" scenarios="1" selectLockedCells="1"/>
  <mergeCells count="10">
    <mergeCell ref="C61:I61"/>
    <mergeCell ref="C57:I57"/>
    <mergeCell ref="H30:I32"/>
    <mergeCell ref="B4:J4"/>
    <mergeCell ref="C10:I10"/>
    <mergeCell ref="E12:F12"/>
    <mergeCell ref="H13:I13"/>
    <mergeCell ref="C31:D31"/>
    <mergeCell ref="H14:I15"/>
    <mergeCell ref="D58:H58"/>
  </mergeCells>
  <conditionalFormatting sqref="F55">
    <cfRule type="expression" dxfId="21" priority="19">
      <formula>-ROUND($D$8,3)=ROUND($F$55,3)</formula>
    </cfRule>
    <cfRule type="expression" dxfId="20" priority="20">
      <formula>AND(F55&lt;&gt;"",F55&gt;0)</formula>
    </cfRule>
  </conditionalFormatting>
  <dataValidations count="5">
    <dataValidation type="decimal" operator="greaterThanOrEqual" allowBlank="1" showErrorMessage="1" errorTitle="Restriction" error="Value must not be negative_x000a_" promptTitle="Option" prompt="The user may override the above default community SOV mode share in this cell. Leave blank otherwise." sqref="F48" xr:uid="{00000000-0002-0000-1000-000000000000}">
      <formula1>0</formula1>
    </dataValidation>
    <dataValidation type="decimal" operator="greaterThanOrEqual" allowBlank="1" showErrorMessage="1" errorTitle="Restriction" error="Value must not be negative" promptTitle="Option" prompt="The user may override the above default community SOV mode share in this cell. Leave blank otherwise." sqref="F42" xr:uid="{00000000-0002-0000-1000-000001000000}">
      <formula1>0</formula1>
    </dataValidation>
    <dataValidation type="decimal" operator="greaterThanOrEqual" allowBlank="1" showInputMessage="1" showErrorMessage="1" errorTitle="Restriction" error="Value must not be negative" sqref="F36 F34" xr:uid="{00000000-0002-0000-1000-000002000000}">
      <formula1>0</formula1>
    </dataValidation>
    <dataValidation type="decimal" allowBlank="1" showErrorMessage="1" errorTitle="Restriction" error="Value must be between 0% and 100%_x000a_" promptTitle="Option" prompt="The user may override the above default community bicycle mode share in this cell. Leave blank otherwise." sqref="F19" xr:uid="{00000000-0002-0000-1000-000003000000}">
      <formula1>0</formula1>
      <formula2>1</formula2>
    </dataValidation>
    <dataValidation type="decimal" allowBlank="1" showErrorMessage="1" errorTitle="Restriction" error="Value must be between 0% and 100%_x000a_" promptTitle="Option" prompt="The user may override the above default community SOV mode share in this cell. Leave blank otherwise." sqref="F25" xr:uid="{00000000-0002-0000-1000-000004000000}">
      <formula1>0</formula1>
      <formula2>1</formula2>
    </dataValidation>
  </dataValidations>
  <hyperlinks>
    <hyperlink ref="I7" location="Results!A1" display="Results Summary" xr:uid="{00000000-0004-0000-1000-000000000000}"/>
    <hyperlink ref="I6" location="Main!L65" display="Return to Main É" xr:uid="{00000000-0004-0000-1000-000001000000}"/>
    <hyperlink ref="I29" r:id="rId1" display="Info on faciility types" xr:uid="{EA9560D3-854C-4C09-B196-2246BCAD2591}"/>
  </hyperlink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38248" r:id="rId5" name="Check Box 8">
              <controlPr defaultSize="0" autoFill="0" autoLine="0" autoPict="0" altText="Exclude From Results Summary">
                <anchor moveWithCells="1">
                  <from>
                    <xdr:col>6</xdr:col>
                    <xdr:colOff>371475</xdr:colOff>
                    <xdr:row>53</xdr:row>
                    <xdr:rowOff>66675</xdr:rowOff>
                  </from>
                  <to>
                    <xdr:col>8</xdr:col>
                    <xdr:colOff>0</xdr:colOff>
                    <xdr:row>55</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ErrorMessage="1" error="Select value from drop-down list" xr:uid="{00000000-0002-0000-1000-000005000000}">
          <x14:formula1>
            <xm:f>VL_REF!$BY$11:$BY$13</xm:f>
          </x14:formula1>
          <xm:sqref>E12:F12</xm:sqref>
        </x14:dataValidation>
        <x14:dataValidation type="list" allowBlank="1" showErrorMessage="1" promptTitle="Option" prompt="Choose the unit for which you will report density in the input cell below." xr:uid="{00000000-0002-0000-1000-000006000000}">
          <x14:formula1>
            <xm:f>VL_REF!$CB$11:$CB$13</xm:f>
          </x14:formula1>
          <xm:sqref>F29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0099"/>
  </sheetPr>
  <dimension ref="A1:M62"/>
  <sheetViews>
    <sheetView showGridLines="0" showRowColHeaders="0" topLeftCell="A3" zoomScaleNormal="100" workbookViewId="0">
      <selection activeCell="E12" sqref="E12:F12"/>
    </sheetView>
  </sheetViews>
  <sheetFormatPr defaultColWidth="0" defaultRowHeight="15" zeroHeight="1"/>
  <cols>
    <col min="1" max="1" width="4.42578125" style="87" customWidth="1"/>
    <col min="2" max="2" width="8.85546875" style="87" customWidth="1"/>
    <col min="3" max="3" width="23.42578125" style="87" customWidth="1"/>
    <col min="4" max="4" width="31.42578125" style="87" customWidth="1"/>
    <col min="5" max="5" width="27.42578125" style="87" customWidth="1"/>
    <col min="6" max="6" width="11.5703125" style="87" customWidth="1"/>
    <col min="7" max="7" width="5.5703125" style="87" customWidth="1"/>
    <col min="8" max="8" width="19.140625" style="88" customWidth="1"/>
    <col min="9" max="9" width="17.5703125" style="87" customWidth="1"/>
    <col min="10" max="10" width="8.85546875" style="87" customWidth="1"/>
    <col min="11" max="11" width="4.5703125" style="87" customWidth="1"/>
    <col min="12" max="13" width="19.85546875" hidden="1" customWidth="1"/>
    <col min="14" max="16384" width="8.85546875" hidden="1"/>
  </cols>
  <sheetData>
    <row r="1" spans="1:11" hidden="1">
      <c r="A1" s="60"/>
      <c r="B1" s="60"/>
      <c r="C1" s="60"/>
      <c r="D1" s="60"/>
      <c r="E1" s="60"/>
      <c r="F1" s="60"/>
      <c r="G1" s="60"/>
      <c r="H1" s="75"/>
      <c r="I1" s="60"/>
      <c r="J1" s="60"/>
      <c r="K1" s="60"/>
    </row>
    <row r="2" spans="1:11" ht="22.35" hidden="1" customHeight="1">
      <c r="A2" s="60"/>
      <c r="B2" s="60"/>
      <c r="C2" s="60"/>
      <c r="D2" s="60"/>
      <c r="E2" s="60"/>
      <c r="F2" s="60"/>
      <c r="G2" s="60"/>
      <c r="H2" s="75"/>
      <c r="I2" s="60"/>
      <c r="J2" s="60"/>
      <c r="K2" s="60"/>
    </row>
    <row r="3" spans="1:11" ht="22.35" customHeight="1">
      <c r="A3" s="60"/>
      <c r="B3" s="39"/>
      <c r="C3" s="60"/>
      <c r="D3" s="60"/>
      <c r="E3" s="60"/>
      <c r="F3" s="60"/>
      <c r="G3" s="60"/>
      <c r="H3" s="75"/>
      <c r="I3" s="60"/>
      <c r="J3" s="60"/>
      <c r="K3" s="60"/>
    </row>
    <row r="4" spans="1:11" ht="18.75">
      <c r="A4" s="187" t="s">
        <v>68</v>
      </c>
      <c r="B4" s="655" t="str">
        <f>A4&amp;". "&amp;INDEX(VL_TDM!$E$11:$E$41,MATCH($A$4,VL_TDM!$B$11:$B$41,0),1)</f>
        <v>4D. Bike Facility Improvement</v>
      </c>
      <c r="C4" s="600"/>
      <c r="D4" s="600"/>
      <c r="E4" s="600"/>
      <c r="F4" s="600"/>
      <c r="G4" s="600"/>
      <c r="H4" s="600"/>
      <c r="I4" s="600"/>
      <c r="J4" s="601"/>
      <c r="K4" s="60"/>
    </row>
    <row r="5" spans="1:11" ht="15" customHeight="1">
      <c r="A5" s="60"/>
      <c r="B5" s="65"/>
      <c r="C5" s="82"/>
      <c r="D5" s="82"/>
      <c r="E5" s="82"/>
      <c r="F5" s="82"/>
      <c r="G5" s="71"/>
      <c r="H5" s="73"/>
      <c r="I5" s="71"/>
      <c r="J5" s="64"/>
      <c r="K5" s="60"/>
    </row>
    <row r="6" spans="1:11" ht="15" customHeight="1">
      <c r="A6" s="60"/>
      <c r="B6" s="65"/>
      <c r="C6" s="71" t="s">
        <v>723</v>
      </c>
      <c r="D6" s="370" t="str">
        <f>INDEX(VL_TDM!$AC$11:$AC$41,MATCH($A$4,VL_TDM!$B$11:$B$41,0),1)</f>
        <v>Neighborhood/City</v>
      </c>
      <c r="E6" s="370"/>
      <c r="F6" s="73"/>
      <c r="G6" s="73"/>
      <c r="H6" s="73"/>
      <c r="I6" s="500" t="s">
        <v>120</v>
      </c>
      <c r="J6" s="64"/>
      <c r="K6" s="60"/>
    </row>
    <row r="7" spans="1:11" ht="15" customHeight="1">
      <c r="A7" s="60"/>
      <c r="B7" s="65"/>
      <c r="C7" s="81" t="s">
        <v>724</v>
      </c>
      <c r="D7" s="85" t="str">
        <f>INDEX(VL_TDM!$AD$11:$AD$41,MATCH($A$4,VL_TDM!$B$11:$B$41,0),1)</f>
        <v>Trips on roadway with bikeway addition</v>
      </c>
      <c r="E7" s="85"/>
      <c r="F7" s="73"/>
      <c r="G7" s="73"/>
      <c r="H7" s="71"/>
      <c r="I7" s="500" t="s">
        <v>153</v>
      </c>
      <c r="J7" s="64"/>
      <c r="K7" s="60"/>
    </row>
    <row r="8" spans="1:11" ht="15" customHeight="1">
      <c r="A8" s="60"/>
      <c r="B8" s="65"/>
      <c r="C8" s="81" t="s">
        <v>725</v>
      </c>
      <c r="D8" s="86">
        <f>INDEX(VL_TDM!$AE$11:$AE$41,MATCH($A$4,VL_TDM!$B$11:$B$41,0),1)</f>
        <v>5.0000000000000001E-3</v>
      </c>
      <c r="E8" s="82"/>
      <c r="F8" s="82"/>
      <c r="G8" s="71"/>
      <c r="H8" s="73"/>
      <c r="I8" s="71"/>
      <c r="J8" s="64"/>
      <c r="K8" s="60"/>
    </row>
    <row r="9" spans="1:11" ht="15" customHeight="1">
      <c r="A9" s="60"/>
      <c r="B9" s="65"/>
      <c r="C9" s="71"/>
      <c r="D9" s="71"/>
      <c r="E9" s="71"/>
      <c r="F9" s="71"/>
      <c r="G9" s="71"/>
      <c r="H9" s="73"/>
      <c r="I9" s="71"/>
      <c r="J9" s="64"/>
      <c r="K9" s="60"/>
    </row>
    <row r="10" spans="1:11" ht="69.95" customHeight="1">
      <c r="A10" s="60"/>
      <c r="B10" s="65"/>
      <c r="C10" s="602" t="str">
        <f>INDEX(VL_TDM!$AF$11:$AF$41,MATCH($A$4,VL_TDM!$B$11:$B$41,0),1)</f>
        <v>This strategy will construct or improve a single bicycle lane facility that connects to a larger existing bikeway network. Providing bicycle infrastructure helps to improve biking conditions within an area. This encourages a mode shift on the roadway parallel to the bicycle facility from vehicles to bicycles, displacing VMT and thus reducing GHG emissions. When constructing or improving a bicycle facility, a best practice is to consider local or state bike lane width standards.</v>
      </c>
      <c r="D10" s="594"/>
      <c r="E10" s="594"/>
      <c r="F10" s="594"/>
      <c r="G10" s="594"/>
      <c r="H10" s="594"/>
      <c r="I10" s="594"/>
      <c r="J10" s="64"/>
      <c r="K10" s="60"/>
    </row>
    <row r="11" spans="1:11" ht="15" customHeight="1">
      <c r="A11" s="60"/>
      <c r="B11" s="65"/>
      <c r="C11" s="71"/>
      <c r="D11" s="71"/>
      <c r="E11" s="71"/>
      <c r="F11" s="71"/>
      <c r="G11" s="71"/>
      <c r="H11" s="73"/>
      <c r="I11" s="71"/>
      <c r="J11" s="64"/>
      <c r="K11" s="60"/>
    </row>
    <row r="12" spans="1:11" ht="15" customHeight="1">
      <c r="A12" s="92"/>
      <c r="B12" s="65"/>
      <c r="C12" s="76" t="s">
        <v>848</v>
      </c>
      <c r="D12" s="77"/>
      <c r="E12" s="665"/>
      <c r="F12" s="665"/>
      <c r="G12" s="71"/>
      <c r="H12" s="81" t="s">
        <v>17</v>
      </c>
      <c r="I12" s="71"/>
      <c r="J12" s="64"/>
      <c r="K12" s="60"/>
    </row>
    <row r="13" spans="1:11" ht="30" customHeight="1">
      <c r="A13" s="92"/>
      <c r="B13" s="65"/>
      <c r="C13" s="76" t="s">
        <v>849</v>
      </c>
      <c r="D13" s="76"/>
      <c r="E13" s="203"/>
      <c r="F13" s="203"/>
      <c r="G13" s="203"/>
      <c r="H13" s="595" t="str">
        <f>IF(AND(NOT(ISBLANK(E12)),E12=VL_REF!BY11),"Use Strategy 4C, Bikeway Network Expansion.","")</f>
        <v/>
      </c>
      <c r="I13" s="595"/>
      <c r="J13" s="64"/>
      <c r="K13" s="60"/>
    </row>
    <row r="14" spans="1:11" ht="30" customHeight="1">
      <c r="A14" s="60"/>
      <c r="B14" s="65"/>
      <c r="C14" s="76"/>
      <c r="D14" s="76"/>
      <c r="E14" s="203"/>
      <c r="F14" s="203"/>
      <c r="G14" s="203"/>
      <c r="H14" s="595" t="str">
        <f>IF(AND(E12&lt;&gt;"",'4C bike network'!E12&lt;&gt;"",E12&lt;&gt;'4C bike network'!E12),"User input mismatches input for same question on strategy 4C page. Reconcile.","")</f>
        <v/>
      </c>
      <c r="I14" s="595"/>
      <c r="J14" s="64"/>
      <c r="K14" s="60"/>
    </row>
    <row r="15" spans="1:11">
      <c r="A15" s="60"/>
      <c r="B15" s="65"/>
      <c r="C15" s="76"/>
      <c r="D15" s="77"/>
      <c r="E15" s="71"/>
      <c r="F15" s="71"/>
      <c r="G15" s="73"/>
      <c r="H15" s="381"/>
      <c r="I15" s="71"/>
      <c r="J15" s="64"/>
      <c r="K15" s="60"/>
    </row>
    <row r="16" spans="1:11" ht="15" customHeight="1">
      <c r="A16" s="60"/>
      <c r="B16" s="65"/>
      <c r="C16" s="76" t="s">
        <v>675</v>
      </c>
      <c r="D16" s="76"/>
      <c r="E16" s="204"/>
      <c r="F16" s="458" t="str">
        <f>IF(K16="Use Capcoa 2021",VL_REF!$T$3,IF(ISBLANK(Location),"",INDEX(VL_TAZ!$O$9:$AD$9,1,MATCH($C16,VL_TAZ!$O$10:$AD$10,0))))</f>
        <v/>
      </c>
      <c r="G16" s="73"/>
      <c r="H16" s="71" t="str">
        <f>CONCATENATE("Alameda CTC model",IF(NOT(ISBLANK(F18)),", overridden",""))</f>
        <v>Alameda CTC model</v>
      </c>
      <c r="I16" s="71"/>
      <c r="J16" s="64"/>
      <c r="K16" s="187" t="s">
        <v>760</v>
      </c>
    </row>
    <row r="17" spans="1:11" ht="7.35" customHeight="1">
      <c r="A17" s="60"/>
      <c r="B17" s="65"/>
      <c r="C17" s="76"/>
      <c r="D17" s="77"/>
      <c r="E17" s="71"/>
      <c r="F17" s="71"/>
      <c r="G17" s="73"/>
      <c r="H17" s="205"/>
      <c r="I17" s="71"/>
      <c r="J17" s="64"/>
      <c r="K17" s="187"/>
    </row>
    <row r="18" spans="1:11" ht="15" customHeight="1">
      <c r="A18" s="60"/>
      <c r="B18" s="65"/>
      <c r="C18" s="76" t="s">
        <v>826</v>
      </c>
      <c r="D18" s="77"/>
      <c r="E18" s="428"/>
      <c r="F18" s="51"/>
      <c r="G18" s="73"/>
      <c r="H18" s="207" t="s">
        <v>20</v>
      </c>
      <c r="I18" s="71"/>
      <c r="J18" s="64"/>
      <c r="K18" s="187"/>
    </row>
    <row r="19" spans="1:11" ht="7.35" customHeight="1">
      <c r="A19" s="60"/>
      <c r="B19" s="65"/>
      <c r="C19" s="76"/>
      <c r="D19" s="77"/>
      <c r="E19" s="71"/>
      <c r="F19" s="71"/>
      <c r="G19" s="73"/>
      <c r="H19" s="71"/>
      <c r="I19" s="71"/>
      <c r="J19" s="64"/>
      <c r="K19" s="187"/>
    </row>
    <row r="20" spans="1:11">
      <c r="A20" s="60"/>
      <c r="B20" s="65"/>
      <c r="C20" s="76" t="s">
        <v>827</v>
      </c>
      <c r="D20" s="77"/>
      <c r="E20" s="71"/>
      <c r="F20" s="429" t="str">
        <f>IF(ISBLANK(F18),F16,F18)</f>
        <v/>
      </c>
      <c r="G20" s="71"/>
      <c r="H20" s="81" t="s">
        <v>744</v>
      </c>
      <c r="I20" s="71"/>
      <c r="J20" s="64"/>
      <c r="K20" s="22"/>
    </row>
    <row r="21" spans="1:11" ht="7.35" customHeight="1">
      <c r="A21" s="60"/>
      <c r="B21" s="65"/>
      <c r="C21" s="76"/>
      <c r="D21" s="77"/>
      <c r="E21" s="71"/>
      <c r="F21" s="71"/>
      <c r="G21" s="73"/>
      <c r="H21" s="81"/>
      <c r="I21" s="71"/>
      <c r="J21" s="64"/>
      <c r="K21" s="187"/>
    </row>
    <row r="22" spans="1:11" ht="15" customHeight="1">
      <c r="A22" s="60"/>
      <c r="B22" s="65"/>
      <c r="C22" s="76" t="s">
        <v>676</v>
      </c>
      <c r="D22" s="77"/>
      <c r="E22" s="71"/>
      <c r="F22" s="458" t="str">
        <f>IF(K22="Use Capcoa 2021",VL_REF!$U$3,IF(ISBLANK(Location),"",INDEX(VL_TAZ!$O$9:$AD$9,1,MATCH($C22,VL_TAZ!$O$10:$AD$10,0))))</f>
        <v/>
      </c>
      <c r="G22" s="73"/>
      <c r="H22" s="71" t="str">
        <f>CONCATENATE("Alameda CTC model",IF(NOT(ISBLANK(F24)),", overridden",""))</f>
        <v>Alameda CTC model</v>
      </c>
      <c r="I22" s="71"/>
      <c r="J22" s="64"/>
      <c r="K22" s="187" t="s">
        <v>760</v>
      </c>
    </row>
    <row r="23" spans="1:11" ht="7.35" customHeight="1">
      <c r="A23" s="60"/>
      <c r="B23" s="65"/>
      <c r="C23" s="76"/>
      <c r="D23" s="77"/>
      <c r="E23" s="71"/>
      <c r="F23" s="71"/>
      <c r="G23" s="73"/>
      <c r="H23" s="205"/>
      <c r="I23" s="71"/>
      <c r="J23" s="64"/>
      <c r="K23" s="60"/>
    </row>
    <row r="24" spans="1:11" ht="15" customHeight="1">
      <c r="A24" s="60"/>
      <c r="B24" s="65"/>
      <c r="C24" s="76" t="s">
        <v>828</v>
      </c>
      <c r="D24" s="77"/>
      <c r="E24" s="428"/>
      <c r="F24" s="51"/>
      <c r="G24" s="73"/>
      <c r="H24" s="207" t="s">
        <v>20</v>
      </c>
      <c r="I24" s="71"/>
      <c r="J24" s="64"/>
      <c r="K24" s="60"/>
    </row>
    <row r="25" spans="1:11" ht="7.35" customHeight="1">
      <c r="A25" s="60"/>
      <c r="B25" s="65"/>
      <c r="C25" s="76"/>
      <c r="D25" s="77"/>
      <c r="E25" s="71"/>
      <c r="F25" s="71"/>
      <c r="G25" s="73"/>
      <c r="H25" s="71"/>
      <c r="I25" s="71"/>
      <c r="J25" s="64"/>
      <c r="K25" s="60"/>
    </row>
    <row r="26" spans="1:11">
      <c r="A26" s="60"/>
      <c r="B26" s="65"/>
      <c r="C26" s="76" t="s">
        <v>829</v>
      </c>
      <c r="D26" s="77"/>
      <c r="E26" s="373"/>
      <c r="F26" s="429" t="str">
        <f>IF(ISBLANK(F24),F22,F24)</f>
        <v/>
      </c>
      <c r="G26" s="71"/>
      <c r="H26" s="81" t="s">
        <v>744</v>
      </c>
      <c r="I26" s="71"/>
      <c r="J26" s="64"/>
      <c r="K26" s="16"/>
    </row>
    <row r="27" spans="1:11" ht="7.35" customHeight="1">
      <c r="A27" s="60"/>
      <c r="B27" s="65"/>
      <c r="C27" s="76"/>
      <c r="D27" s="77"/>
      <c r="E27" s="373"/>
      <c r="F27" s="71"/>
      <c r="G27" s="73"/>
      <c r="H27" s="81"/>
      <c r="I27" s="71"/>
      <c r="J27" s="64"/>
      <c r="K27" s="60"/>
    </row>
    <row r="28" spans="1:11" ht="15" customHeight="1">
      <c r="A28" s="60"/>
      <c r="B28" s="65"/>
      <c r="C28" s="667" t="s">
        <v>861</v>
      </c>
      <c r="D28" s="667"/>
      <c r="E28" s="373"/>
      <c r="F28" s="157"/>
      <c r="G28" s="73"/>
      <c r="H28" s="81" t="s">
        <v>17</v>
      </c>
      <c r="I28" s="71"/>
      <c r="J28" s="64"/>
      <c r="K28" s="16"/>
    </row>
    <row r="29" spans="1:11" ht="7.35" customHeight="1">
      <c r="A29" s="60"/>
      <c r="B29" s="65"/>
      <c r="C29" s="77"/>
      <c r="D29" s="454"/>
      <c r="E29" s="373"/>
      <c r="F29" s="73"/>
      <c r="G29" s="73"/>
      <c r="H29" s="71"/>
      <c r="I29" s="71"/>
      <c r="J29" s="64"/>
      <c r="K29" s="60"/>
    </row>
    <row r="30" spans="1:11" ht="15" customHeight="1">
      <c r="A30" s="60"/>
      <c r="B30" s="65"/>
      <c r="C30" s="77" t="s">
        <v>430</v>
      </c>
      <c r="D30" s="454"/>
      <c r="E30" s="373"/>
      <c r="F30" s="52"/>
      <c r="G30" s="73"/>
      <c r="H30" s="207" t="s">
        <v>17</v>
      </c>
      <c r="I30" s="71"/>
      <c r="J30" s="64"/>
      <c r="K30" s="60"/>
    </row>
    <row r="31" spans="1:11" ht="7.35" customHeight="1">
      <c r="A31" s="60"/>
      <c r="B31" s="65"/>
      <c r="C31" s="77"/>
      <c r="D31" s="454"/>
      <c r="E31" s="373"/>
      <c r="F31" s="73"/>
      <c r="G31" s="73"/>
      <c r="H31" s="71"/>
      <c r="I31" s="71"/>
      <c r="J31" s="64"/>
      <c r="K31" s="60"/>
    </row>
    <row r="32" spans="1:11" ht="15" customHeight="1">
      <c r="A32" s="60"/>
      <c r="B32" s="65"/>
      <c r="C32" s="77" t="s">
        <v>862</v>
      </c>
      <c r="D32" s="454"/>
      <c r="E32" s="373"/>
      <c r="F32" s="161"/>
      <c r="G32" s="73"/>
      <c r="H32" s="81" t="s">
        <v>17</v>
      </c>
      <c r="I32" s="71"/>
      <c r="J32" s="64"/>
      <c r="K32" s="60"/>
    </row>
    <row r="33" spans="1:11" ht="7.35" customHeight="1">
      <c r="A33" s="60"/>
      <c r="B33" s="65"/>
      <c r="C33" s="77"/>
      <c r="D33" s="454"/>
      <c r="E33" s="373"/>
      <c r="F33" s="73"/>
      <c r="G33" s="73"/>
      <c r="H33" s="71"/>
      <c r="I33" s="71"/>
      <c r="J33" s="64"/>
      <c r="K33" s="60"/>
    </row>
    <row r="34" spans="1:11" ht="15" customHeight="1">
      <c r="A34" s="60"/>
      <c r="B34" s="65"/>
      <c r="C34" s="77" t="s">
        <v>644</v>
      </c>
      <c r="D34" s="454"/>
      <c r="E34" s="373"/>
      <c r="F34" s="189" t="e">
        <f>IF(VL_TAZ!$Z$9=1,"Yes","No")</f>
        <v>#N/A</v>
      </c>
      <c r="G34" s="73"/>
      <c r="H34" s="71" t="s">
        <v>736</v>
      </c>
      <c r="I34" s="71"/>
      <c r="J34" s="64"/>
      <c r="K34" s="60"/>
    </row>
    <row r="35" spans="1:11" ht="7.35" customHeight="1">
      <c r="A35" s="60"/>
      <c r="B35" s="65"/>
      <c r="C35" s="77"/>
      <c r="D35" s="454"/>
      <c r="E35" s="373"/>
      <c r="F35" s="73"/>
      <c r="G35" s="73"/>
      <c r="H35" s="71"/>
      <c r="I35" s="71"/>
      <c r="J35" s="64"/>
      <c r="K35" s="60"/>
    </row>
    <row r="36" spans="1:11" ht="15" customHeight="1">
      <c r="A36" s="60"/>
      <c r="B36" s="65"/>
      <c r="C36" s="77" t="s">
        <v>863</v>
      </c>
      <c r="D36" s="454"/>
      <c r="E36" s="373"/>
      <c r="F36" s="189" t="e">
        <f>IF(VL_TAZ!$AA$9&gt;=250000,"Yes","No")</f>
        <v>#N/A</v>
      </c>
      <c r="G36" s="73"/>
      <c r="H36" s="71" t="s">
        <v>736</v>
      </c>
      <c r="I36" s="71"/>
      <c r="J36" s="64"/>
      <c r="K36" s="60"/>
    </row>
    <row r="37" spans="1:11" ht="7.35" customHeight="1">
      <c r="A37" s="60"/>
      <c r="B37" s="65"/>
      <c r="C37" s="77"/>
      <c r="D37" s="454"/>
      <c r="E37" s="373"/>
      <c r="F37" s="73"/>
      <c r="G37" s="73"/>
      <c r="H37" s="71"/>
      <c r="I37" s="71"/>
      <c r="J37" s="64"/>
      <c r="K37" s="60"/>
    </row>
    <row r="38" spans="1:11" ht="15" customHeight="1">
      <c r="A38" s="60"/>
      <c r="B38" s="65"/>
      <c r="C38" s="77" t="s">
        <v>864</v>
      </c>
      <c r="D38" s="454"/>
      <c r="E38" s="373"/>
      <c r="F38" s="52"/>
      <c r="G38" s="73"/>
      <c r="H38" s="207" t="s">
        <v>17</v>
      </c>
      <c r="I38" s="71"/>
      <c r="J38" s="64"/>
      <c r="K38" s="60"/>
    </row>
    <row r="39" spans="1:11" ht="7.35" customHeight="1">
      <c r="A39" s="60"/>
      <c r="B39" s="65"/>
      <c r="C39" s="77"/>
      <c r="D39" s="454"/>
      <c r="E39" s="373"/>
      <c r="F39" s="73"/>
      <c r="G39" s="73"/>
      <c r="H39" s="71"/>
      <c r="I39" s="71"/>
      <c r="J39" s="64"/>
      <c r="K39" s="60"/>
    </row>
    <row r="40" spans="1:11" ht="15" customHeight="1">
      <c r="A40" s="60"/>
      <c r="B40" s="65"/>
      <c r="C40" s="77" t="s">
        <v>865</v>
      </c>
      <c r="D40" s="454"/>
      <c r="E40" s="373"/>
      <c r="F40" s="52"/>
      <c r="G40" s="73"/>
      <c r="H40" s="207" t="s">
        <v>17</v>
      </c>
      <c r="I40" s="71"/>
      <c r="J40" s="64"/>
      <c r="K40" s="60"/>
    </row>
    <row r="41" spans="1:11" ht="7.35" customHeight="1">
      <c r="A41" s="60"/>
      <c r="B41" s="65"/>
      <c r="C41" s="77"/>
      <c r="D41" s="454"/>
      <c r="E41" s="373"/>
      <c r="F41" s="73"/>
      <c r="G41" s="73"/>
      <c r="H41" s="71"/>
      <c r="I41" s="71"/>
      <c r="J41" s="64"/>
      <c r="K41" s="60"/>
    </row>
    <row r="42" spans="1:11" ht="15" customHeight="1">
      <c r="A42" s="60"/>
      <c r="B42" s="65"/>
      <c r="C42" s="77" t="s">
        <v>866</v>
      </c>
      <c r="D42" s="454"/>
      <c r="E42" s="668"/>
      <c r="F42" s="684"/>
      <c r="G42" s="73"/>
      <c r="H42" s="207" t="s">
        <v>17</v>
      </c>
      <c r="I42" s="513" t="s">
        <v>855</v>
      </c>
      <c r="J42" s="64"/>
      <c r="K42" s="60"/>
    </row>
    <row r="43" spans="1:11" ht="7.35" customHeight="1">
      <c r="A43" s="60"/>
      <c r="B43" s="65"/>
      <c r="C43" s="77"/>
      <c r="D43" s="454"/>
      <c r="E43" s="373"/>
      <c r="F43" s="73"/>
      <c r="G43" s="73"/>
      <c r="H43" s="71"/>
      <c r="I43" s="71"/>
      <c r="J43" s="64"/>
      <c r="K43" s="60"/>
    </row>
    <row r="44" spans="1:11" ht="15" customHeight="1">
      <c r="A44" s="60"/>
      <c r="B44" s="65"/>
      <c r="C44" s="667" t="s">
        <v>867</v>
      </c>
      <c r="D44" s="667"/>
      <c r="E44" s="373"/>
      <c r="F44" s="376" t="e">
        <f>VL_REF!AC3</f>
        <v>#N/A</v>
      </c>
      <c r="G44" s="73"/>
      <c r="H44" s="81" t="s">
        <v>744</v>
      </c>
      <c r="I44" s="71"/>
      <c r="J44" s="64"/>
      <c r="K44" s="16"/>
    </row>
    <row r="45" spans="1:11" ht="7.35" customHeight="1">
      <c r="A45" s="60"/>
      <c r="B45" s="65"/>
      <c r="C45" s="77"/>
      <c r="D45" s="454"/>
      <c r="E45" s="373"/>
      <c r="F45" s="73"/>
      <c r="G45" s="73"/>
      <c r="H45" s="71"/>
      <c r="I45" s="71"/>
      <c r="J45" s="64"/>
      <c r="K45" s="60"/>
    </row>
    <row r="46" spans="1:11" ht="15" customHeight="1">
      <c r="A46" s="60"/>
      <c r="B46" s="65"/>
      <c r="C46" s="667" t="s">
        <v>868</v>
      </c>
      <c r="D46" s="667"/>
      <c r="E46" s="373"/>
      <c r="F46" s="376">
        <f>VL_REF!AL3</f>
        <v>0</v>
      </c>
      <c r="G46" s="73"/>
      <c r="H46" s="81" t="s">
        <v>744</v>
      </c>
      <c r="I46" s="71"/>
      <c r="J46" s="64"/>
      <c r="K46" s="16"/>
    </row>
    <row r="47" spans="1:11" ht="7.35" customHeight="1">
      <c r="A47" s="60"/>
      <c r="B47" s="65"/>
      <c r="C47" s="77"/>
      <c r="D47" s="454"/>
      <c r="E47" s="373"/>
      <c r="F47" s="73"/>
      <c r="G47" s="73"/>
      <c r="H47" s="71"/>
      <c r="I47" s="71"/>
      <c r="J47" s="64"/>
      <c r="K47" s="60"/>
    </row>
    <row r="48" spans="1:11" ht="15" customHeight="1">
      <c r="A48" s="60"/>
      <c r="B48" s="65"/>
      <c r="C48" s="667" t="s">
        <v>869</v>
      </c>
      <c r="D48" s="667"/>
      <c r="E48" s="373"/>
      <c r="F48" s="376" t="e">
        <f>VL_REF!AS3</f>
        <v>#N/A</v>
      </c>
      <c r="G48" s="73"/>
      <c r="H48" s="81" t="s">
        <v>744</v>
      </c>
      <c r="I48" s="71"/>
      <c r="J48" s="64"/>
      <c r="K48" s="16"/>
    </row>
    <row r="49" spans="1:11" ht="7.35" customHeight="1">
      <c r="A49" s="60"/>
      <c r="B49" s="65"/>
      <c r="C49" s="76"/>
      <c r="D49" s="77"/>
      <c r="E49" s="373"/>
      <c r="F49" s="71"/>
      <c r="G49" s="73"/>
      <c r="H49" s="205"/>
      <c r="I49" s="71"/>
      <c r="J49" s="64"/>
      <c r="K49" s="60"/>
    </row>
    <row r="50" spans="1:11" ht="15" customHeight="1">
      <c r="A50" s="60"/>
      <c r="B50" s="65"/>
      <c r="C50" s="76" t="s">
        <v>870</v>
      </c>
      <c r="D50" s="76"/>
      <c r="E50" s="373"/>
      <c r="F50" s="376">
        <v>200</v>
      </c>
      <c r="G50" s="73"/>
      <c r="H50" s="80" t="s">
        <v>804</v>
      </c>
      <c r="I50" s="71"/>
      <c r="J50" s="64"/>
      <c r="K50" s="16"/>
    </row>
    <row r="51" spans="1:11" ht="7.35" customHeight="1">
      <c r="A51" s="60"/>
      <c r="B51" s="65"/>
      <c r="C51" s="76"/>
      <c r="D51" s="77"/>
      <c r="E51" s="373"/>
      <c r="F51" s="71"/>
      <c r="G51" s="73"/>
      <c r="H51" s="205"/>
      <c r="I51" s="71"/>
      <c r="J51" s="64"/>
      <c r="K51" s="60"/>
    </row>
    <row r="52" spans="1:11" ht="15" customHeight="1">
      <c r="A52" s="60"/>
      <c r="B52" s="65"/>
      <c r="C52" s="657" t="s">
        <v>871</v>
      </c>
      <c r="D52" s="658"/>
      <c r="E52" s="373"/>
      <c r="F52" s="376">
        <v>365</v>
      </c>
      <c r="G52" s="73"/>
      <c r="H52" s="80" t="s">
        <v>804</v>
      </c>
      <c r="I52" s="71"/>
      <c r="J52" s="64"/>
      <c r="K52" s="16"/>
    </row>
    <row r="53" spans="1:11" ht="15" customHeight="1">
      <c r="A53" s="60"/>
      <c r="B53" s="65"/>
      <c r="C53" s="76"/>
      <c r="D53" s="77"/>
      <c r="E53" s="77"/>
      <c r="F53" s="77"/>
      <c r="G53" s="77"/>
      <c r="H53" s="205"/>
      <c r="I53" s="71"/>
      <c r="J53" s="64"/>
      <c r="K53" s="60"/>
    </row>
    <row r="54" spans="1:11" ht="7.35" customHeight="1">
      <c r="A54" s="60"/>
      <c r="B54" s="65"/>
      <c r="C54" s="76"/>
      <c r="D54" s="77"/>
      <c r="E54" s="71"/>
      <c r="F54" s="71"/>
      <c r="G54" s="73"/>
      <c r="H54" s="71"/>
      <c r="I54" s="71"/>
      <c r="J54" s="64"/>
      <c r="K54" s="60"/>
    </row>
    <row r="55" spans="1:11" ht="15" customHeight="1">
      <c r="A55" s="60"/>
      <c r="B55" s="65"/>
      <c r="C55" s="76" t="s">
        <v>147</v>
      </c>
      <c r="D55" s="76"/>
      <c r="E55" s="204"/>
      <c r="F55" s="98" t="str">
        <f>IF(OR(F20="",F26="",E12="",E12=VL_REF!BY11),"",IFERROR(MAX(-D8,-F28*(((F50/F52)*(F44+F46)*F48*F20)/F26)),""))</f>
        <v/>
      </c>
      <c r="G55" s="378"/>
      <c r="H55" s="41" t="b">
        <v>0</v>
      </c>
      <c r="I55" s="170" t="str">
        <f>IF(OR(H55=TRUE,F55=""),"Not Active","Active")</f>
        <v>Not Active</v>
      </c>
      <c r="J55" s="64"/>
      <c r="K55" s="93"/>
    </row>
    <row r="56" spans="1:11" ht="15" customHeight="1">
      <c r="A56" s="60"/>
      <c r="B56" s="65"/>
      <c r="C56" s="71"/>
      <c r="D56" s="71"/>
      <c r="E56" s="71"/>
      <c r="F56" s="71"/>
      <c r="G56" s="71"/>
      <c r="H56" s="73"/>
      <c r="I56" s="71"/>
      <c r="J56" s="64"/>
      <c r="K56" s="94"/>
    </row>
    <row r="57" spans="1:11" ht="51.95" customHeight="1">
      <c r="A57" s="60"/>
      <c r="B57" s="65"/>
      <c r="C57" s="633" t="str">
        <f>"Formula:  % Change in VMT =  " &amp; SUBSTITUTE("- " &amp; C28 &amp; " *((( " &amp; C50 &amp; " / " &amp; C52 &amp; " )*( " &amp; C44 &amp; " + " &amp; C46 &amp; " )* " &amp; C48 &amp; " * " &amp; C20 &amp; " )/ " &amp; C26 &amp; " )"," used for calculation","")</f>
        <v>Formula:  % Change in VMT =  - % of neighborhood/city VMT on parallel roadway *((( Annual days of use of new facility / Days per year )*( Active transportation adjustment factor + Credit for activity centers near project )* Growth factor adjustment for facility type * One-way bicycle trip length (miles) )/ One-way vehicle trip length in neighborhood/city (miles) )</v>
      </c>
      <c r="D57" s="659"/>
      <c r="E57" s="659"/>
      <c r="F57" s="659"/>
      <c r="G57" s="659"/>
      <c r="H57" s="659"/>
      <c r="I57" s="660"/>
      <c r="J57" s="64"/>
      <c r="K57" s="94"/>
    </row>
    <row r="58" spans="1:11" ht="15" customHeight="1">
      <c r="A58" s="60"/>
      <c r="B58" s="65"/>
      <c r="C58" s="432"/>
      <c r="D58" s="199"/>
      <c r="E58" s="199"/>
      <c r="F58" s="199"/>
      <c r="G58" s="199"/>
      <c r="H58" s="199"/>
      <c r="I58" s="199"/>
      <c r="J58" s="64"/>
      <c r="K58" s="94"/>
    </row>
    <row r="59" spans="1:11" ht="15" customHeight="1">
      <c r="A59" s="60"/>
      <c r="B59" s="65"/>
      <c r="C59" s="71" t="s">
        <v>732</v>
      </c>
      <c r="D59" s="71"/>
      <c r="E59" s="71"/>
      <c r="F59" s="71"/>
      <c r="G59" s="71"/>
      <c r="H59" s="73"/>
      <c r="I59" s="71"/>
      <c r="J59" s="64"/>
      <c r="K59" s="60"/>
    </row>
    <row r="60" spans="1:11" ht="99.95" customHeight="1">
      <c r="A60" s="60"/>
      <c r="B60" s="65"/>
      <c r="C60" s="596" t="str">
        <f>INDEX(VL_TDM!$AG$11:$AG$41,MATCH($A$4,VL_TDM!$B$11:$B$41,0),1)</f>
        <v>(1) California Air Resources Board (CARB). 2020d. Quantification Methodology for the Strategic Growth Council’s Affordable Housing and Sustainable Communities Program. September. Available: https://ww2.arb.ca.gov/sites/default/files/classic/cc/capandtrade/auctionproceeds/draft_sgc_ ahsc_qm_091620.pdf. Accessed: January 2021. 
(2) Federal Highway Administration (FHWA). 2017. National Household Travel Survey – 2017 Table Designer. Travel Day PT by TRPTRANS by HH_CBSA. Available: https://nhts.ornl.gov/. Accessed: January 2021.</v>
      </c>
      <c r="D60" s="656"/>
      <c r="E60" s="656"/>
      <c r="F60" s="656"/>
      <c r="G60" s="656"/>
      <c r="H60" s="656"/>
      <c r="I60" s="656"/>
      <c r="J60" s="64"/>
      <c r="K60" s="60"/>
    </row>
    <row r="61" spans="1:11" ht="15" customHeight="1">
      <c r="A61" s="60"/>
      <c r="B61" s="74"/>
      <c r="C61" s="177"/>
      <c r="D61" s="177"/>
      <c r="E61" s="177"/>
      <c r="F61" s="177"/>
      <c r="G61" s="177"/>
      <c r="H61" s="379"/>
      <c r="I61" s="177"/>
      <c r="J61" s="380"/>
      <c r="K61" s="60"/>
    </row>
    <row r="62" spans="1:11" ht="22.35" customHeight="1">
      <c r="A62" s="60"/>
      <c r="B62" s="60"/>
      <c r="C62" s="60"/>
      <c r="D62" s="60"/>
      <c r="E62" s="60"/>
      <c r="F62" s="16"/>
      <c r="G62" s="16"/>
      <c r="H62" s="16"/>
      <c r="I62" s="16"/>
      <c r="J62" s="60"/>
      <c r="K62" s="60"/>
    </row>
  </sheetData>
  <sheetProtection algorithmName="SHA-512" hashValue="VkbtLH6PT9Ly0t2evFqkhcB1fSY5AhsCUlbZcQFv56E22TX5o8z9bwJ0/Jkb/DxCjtCGIEVgnv3ZZt7KjAVMuw==" saltValue="O71B5qQHMBOErI6OxCqROg==" spinCount="100000" sheet="1" objects="1" scenarios="1" selectLockedCells="1"/>
  <mergeCells count="13">
    <mergeCell ref="C60:I60"/>
    <mergeCell ref="B4:J4"/>
    <mergeCell ref="C10:I10"/>
    <mergeCell ref="E12:F12"/>
    <mergeCell ref="H13:I13"/>
    <mergeCell ref="C28:D28"/>
    <mergeCell ref="E42:F42"/>
    <mergeCell ref="C44:D44"/>
    <mergeCell ref="C46:D46"/>
    <mergeCell ref="C48:D48"/>
    <mergeCell ref="C57:I57"/>
    <mergeCell ref="C52:D52"/>
    <mergeCell ref="H14:I14"/>
  </mergeCells>
  <conditionalFormatting sqref="F55">
    <cfRule type="expression" dxfId="19" priority="28">
      <formula>-ROUND($D$8,3)=ROUND($F$55,3)</formula>
    </cfRule>
    <cfRule type="expression" dxfId="18" priority="29">
      <formula>AND(F55&lt;&gt;"",F55&gt;0)</formula>
    </cfRule>
  </conditionalFormatting>
  <dataValidations count="2">
    <dataValidation type="decimal" allowBlank="1" showErrorMessage="1" error="Value must be between 0 and 30,000." promptTitle="Restriction" prompt="Annual Average Daily Traffic (two-way traffic volume in trips/day on road parallel to proposed bike lane) cannot exceed 30,000 (2)." sqref="F28 F30 F32 F38 F40" xr:uid="{00000000-0002-0000-1100-000000000000}">
      <formula1>0</formula1>
      <formula2>30000</formula2>
    </dataValidation>
    <dataValidation type="decimal" operator="greaterThanOrEqual" allowBlank="1" showErrorMessage="1" errorTitle="Restriction" error="Value must not be negative_x000a_" promptTitle="Option" prompt="The user may override the above default community SOV mode share in this cell. Leave blank otherwise." sqref="F24 F18" xr:uid="{00000000-0002-0000-1100-000001000000}">
      <formula1>0</formula1>
    </dataValidation>
  </dataValidations>
  <hyperlinks>
    <hyperlink ref="I7" location="Results!A1" display="Results Summary" xr:uid="{00000000-0004-0000-1100-000000000000}"/>
    <hyperlink ref="I6" location="Main!L65" display="Return to Main É" xr:uid="{00000000-0004-0000-1100-000001000000}"/>
    <hyperlink ref="I42" r:id="rId1" display="Info on faciility types" xr:uid="{1C9D5728-D743-4700-A5E9-8CB76C7713C9}"/>
  </hyperlink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0355" r:id="rId5" name="Check Box 3">
              <controlPr defaultSize="0" autoFill="0" autoLine="0" autoPict="0" altText="Exclude From Results Summary">
                <anchor moveWithCells="1">
                  <from>
                    <xdr:col>7</xdr:col>
                    <xdr:colOff>0</xdr:colOff>
                    <xdr:row>53</xdr:row>
                    <xdr:rowOff>66675</xdr:rowOff>
                  </from>
                  <to>
                    <xdr:col>8</xdr:col>
                    <xdr:colOff>9525</xdr:colOff>
                    <xdr:row>55</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ErrorMessage="1" error="Select value from drop-down list" xr:uid="{00000000-0002-0000-1100-000002000000}">
          <x14:formula1>
            <xm:f>VL_REF!$BY$11:$BY$13</xm:f>
          </x14:formula1>
          <xm:sqref>E12:F12</xm:sqref>
        </x14:dataValidation>
        <x14:dataValidation type="list" allowBlank="1" showInputMessage="1" showErrorMessage="1" xr:uid="{1BA91F23-F242-43B0-AA08-F3EFC2A0F0A3}">
          <x14:formula1>
            <xm:f>VL_REF!$AW$11:$AW$14</xm:f>
          </x14:formula1>
          <xm:sqref>E42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57790-2922-4FBD-9783-9384CD8B092E}">
  <sheetPr codeName="Sheet42">
    <tabColor theme="1"/>
    <pageSetUpPr fitToPage="1"/>
  </sheetPr>
  <dimension ref="A1:U152"/>
  <sheetViews>
    <sheetView showRowColHeaders="0" topLeftCell="A143" zoomScaleNormal="100" workbookViewId="0">
      <selection activeCell="J4" sqref="J4:K4"/>
    </sheetView>
  </sheetViews>
  <sheetFormatPr defaultColWidth="0" defaultRowHeight="15" zeroHeight="1"/>
  <cols>
    <col min="1" max="1" width="2.7109375" customWidth="1"/>
    <col min="2" max="2" width="4.5703125" customWidth="1"/>
    <col min="3" max="3" width="5.7109375" customWidth="1"/>
    <col min="4" max="4" width="8.7109375" bestFit="1" customWidth="1"/>
    <col min="5" max="5" width="64.28515625" bestFit="1" customWidth="1"/>
    <col min="6" max="6" width="20.7109375" customWidth="1"/>
    <col min="7" max="7" width="37.85546875" customWidth="1"/>
    <col min="8" max="8" width="20.42578125" bestFit="1" customWidth="1"/>
    <col min="9" max="9" width="2.5703125" customWidth="1"/>
    <col min="10" max="10" width="18.5703125" customWidth="1"/>
    <col min="11" max="11" width="4.5703125" customWidth="1"/>
    <col min="12" max="12" width="2.7109375" customWidth="1"/>
    <col min="13" max="13" width="11.5703125" hidden="1" customWidth="1"/>
    <col min="14" max="14" width="14.42578125" hidden="1" customWidth="1"/>
    <col min="15" max="17" width="8.85546875" hidden="1" customWidth="1"/>
    <col min="18" max="18" width="12.5703125" hidden="1" customWidth="1"/>
    <col min="19" max="21" width="8.85546875" hidden="1" customWidth="1"/>
    <col min="22" max="16384" width="9.140625" hidden="1"/>
  </cols>
  <sheetData>
    <row r="1" spans="1:13" ht="15" customHeight="1">
      <c r="A1" s="16"/>
      <c r="B1" s="16"/>
      <c r="C1" s="16"/>
      <c r="D1" s="16"/>
      <c r="E1" s="16"/>
      <c r="F1" s="16"/>
      <c r="G1" s="16"/>
      <c r="H1" s="16"/>
      <c r="I1" s="17"/>
      <c r="J1" s="290"/>
      <c r="K1" s="16"/>
      <c r="L1" s="16"/>
    </row>
    <row r="2" spans="1:13" ht="36" customHeight="1">
      <c r="A2" s="16"/>
      <c r="B2" s="590" t="s">
        <v>140</v>
      </c>
      <c r="C2" s="591"/>
      <c r="D2" s="591"/>
      <c r="E2" s="591"/>
      <c r="F2" s="591"/>
      <c r="G2" s="591"/>
      <c r="H2" s="591"/>
      <c r="I2" s="591"/>
      <c r="J2" s="591"/>
      <c r="K2" s="591"/>
      <c r="L2" s="22"/>
    </row>
    <row r="3" spans="1:13" ht="9.9499999999999993" customHeight="1">
      <c r="A3" s="16"/>
      <c r="B3" s="16"/>
      <c r="C3" s="16"/>
      <c r="D3" s="16"/>
      <c r="E3" s="16"/>
      <c r="F3" s="16"/>
      <c r="G3" s="16"/>
      <c r="H3" s="16"/>
      <c r="I3" s="16"/>
      <c r="J3" s="96"/>
      <c r="K3" s="16"/>
      <c r="L3" s="22"/>
    </row>
    <row r="4" spans="1:13" ht="18.75">
      <c r="A4" s="291"/>
      <c r="B4" s="292" t="str">
        <f>Main!$C$52</f>
        <v/>
      </c>
      <c r="C4" s="32"/>
      <c r="D4" s="32"/>
      <c r="E4" s="32"/>
      <c r="F4" s="291"/>
      <c r="G4" s="291"/>
      <c r="H4" s="291"/>
      <c r="J4" s="592" t="s">
        <v>120</v>
      </c>
      <c r="K4" s="592"/>
      <c r="L4" s="293"/>
    </row>
    <row r="5" spans="1:13" ht="5.0999999999999996" customHeight="1">
      <c r="A5" s="16"/>
      <c r="B5" s="16"/>
      <c r="C5" s="16"/>
      <c r="D5" s="16"/>
      <c r="E5" s="16"/>
      <c r="F5" s="16"/>
      <c r="G5" s="16"/>
      <c r="H5" s="294"/>
      <c r="I5" s="16"/>
      <c r="J5" s="96"/>
      <c r="K5" s="16"/>
      <c r="L5" s="22"/>
    </row>
    <row r="6" spans="1:13" ht="21" customHeight="1">
      <c r="A6" s="16"/>
      <c r="B6" s="587" t="s">
        <v>141</v>
      </c>
      <c r="C6" s="588"/>
      <c r="D6" s="588"/>
      <c r="E6" s="588"/>
      <c r="F6" s="588"/>
      <c r="G6" s="588"/>
      <c r="H6" s="588"/>
      <c r="I6" s="588"/>
      <c r="J6" s="588"/>
      <c r="K6" s="589"/>
      <c r="L6" s="22"/>
      <c r="M6" s="295"/>
    </row>
    <row r="7" spans="1:13" ht="5.0999999999999996" customHeight="1">
      <c r="A7" s="16"/>
      <c r="B7" s="296"/>
      <c r="C7" s="297"/>
      <c r="D7" s="297"/>
      <c r="E7" s="297"/>
      <c r="F7" s="297"/>
      <c r="G7" s="297"/>
      <c r="H7" s="298"/>
      <c r="I7" s="297"/>
      <c r="J7" s="299"/>
      <c r="K7" s="300"/>
      <c r="L7" s="22"/>
      <c r="M7" s="295"/>
    </row>
    <row r="8" spans="1:13" ht="15" customHeight="1">
      <c r="A8" s="16"/>
      <c r="B8" s="301"/>
      <c r="C8" s="302"/>
      <c r="D8" s="302"/>
      <c r="E8" s="302" t="str">
        <f>Main!C44</f>
        <v>Project Name (optional):</v>
      </c>
      <c r="F8" s="302" t="str">
        <f>IF(Main!F44="","",Main!F44)</f>
        <v/>
      </c>
      <c r="G8" s="302"/>
      <c r="H8" s="302"/>
      <c r="I8" s="303"/>
      <c r="J8" s="304"/>
      <c r="K8" s="305"/>
      <c r="L8" s="22"/>
      <c r="M8" s="295"/>
    </row>
    <row r="9" spans="1:13" ht="5.0999999999999996" customHeight="1">
      <c r="A9" s="16"/>
      <c r="B9" s="301"/>
      <c r="C9" s="302"/>
      <c r="D9" s="302"/>
      <c r="E9" s="302"/>
      <c r="F9" s="302"/>
      <c r="G9" s="302"/>
      <c r="H9" s="302"/>
      <c r="I9" s="302"/>
      <c r="J9" s="306"/>
      <c r="K9" s="305"/>
      <c r="L9" s="22"/>
      <c r="M9" s="295"/>
    </row>
    <row r="10" spans="1:13" ht="15" customHeight="1">
      <c r="A10" s="16"/>
      <c r="B10" s="301"/>
      <c r="C10" s="302"/>
      <c r="D10" s="302"/>
      <c r="E10" s="302" t="str">
        <f>Main!C46</f>
        <v>Project Address (optional):</v>
      </c>
      <c r="F10" s="302" t="str">
        <f>IF(Main!F46="","",Main!F46)</f>
        <v/>
      </c>
      <c r="G10" s="302"/>
      <c r="H10" s="302"/>
      <c r="I10" s="303"/>
      <c r="J10" s="304"/>
      <c r="K10" s="305"/>
      <c r="L10" s="22"/>
      <c r="M10" s="295"/>
    </row>
    <row r="11" spans="1:13" ht="5.0999999999999996" customHeight="1">
      <c r="A11" s="16"/>
      <c r="B11" s="301"/>
      <c r="C11" s="302"/>
      <c r="D11" s="302"/>
      <c r="E11" s="302"/>
      <c r="F11" s="302"/>
      <c r="G11" s="302"/>
      <c r="H11" s="302"/>
      <c r="I11" s="302"/>
      <c r="J11" s="306"/>
      <c r="K11" s="305"/>
      <c r="L11" s="22"/>
      <c r="M11" s="295"/>
    </row>
    <row r="12" spans="1:13" ht="15" customHeight="1">
      <c r="A12" s="16"/>
      <c r="B12" s="301"/>
      <c r="C12" s="302"/>
      <c r="D12" s="302"/>
      <c r="E12" s="302" t="str">
        <f>Main!C48</f>
        <v>Project Type (optional):</v>
      </c>
      <c r="F12" s="302" t="str">
        <f>IF(Main!F48="","",Main!F48)</f>
        <v/>
      </c>
      <c r="G12" s="302"/>
      <c r="H12" s="302"/>
      <c r="I12" s="303"/>
      <c r="J12" s="304"/>
      <c r="K12" s="305"/>
      <c r="L12" s="22"/>
      <c r="M12" s="295"/>
    </row>
    <row r="13" spans="1:13" ht="5.0999999999999996" customHeight="1">
      <c r="A13" s="16"/>
      <c r="B13" s="301"/>
      <c r="C13" s="302"/>
      <c r="D13" s="302"/>
      <c r="E13" s="302"/>
      <c r="F13" s="302"/>
      <c r="G13" s="302"/>
      <c r="H13" s="302"/>
      <c r="I13" s="302"/>
      <c r="J13" s="306"/>
      <c r="K13" s="305"/>
      <c r="L13" s="22"/>
      <c r="M13" s="295"/>
    </row>
    <row r="14" spans="1:13" ht="15" customHeight="1">
      <c r="A14" s="16"/>
      <c r="B14" s="301"/>
      <c r="C14" s="302"/>
      <c r="D14" s="302"/>
      <c r="E14" s="302" t="str">
        <f>Main!C50</f>
        <v/>
      </c>
      <c r="F14" s="302" t="str">
        <f>IF(Main!F50="","",Main!F50)</f>
        <v/>
      </c>
      <c r="G14" s="302"/>
      <c r="H14" s="302"/>
      <c r="I14" s="303"/>
      <c r="J14" s="304"/>
      <c r="K14" s="305"/>
      <c r="L14" s="22"/>
      <c r="M14" s="295"/>
    </row>
    <row r="15" spans="1:13" ht="5.0999999999999996" customHeight="1">
      <c r="A15" s="16"/>
      <c r="B15" s="301"/>
      <c r="C15" s="302"/>
      <c r="D15" s="302"/>
      <c r="E15" s="302"/>
      <c r="F15" s="302"/>
      <c r="G15" s="302"/>
      <c r="H15" s="302"/>
      <c r="I15" s="302"/>
      <c r="J15" s="306"/>
      <c r="K15" s="305"/>
      <c r="L15" s="22"/>
      <c r="M15" s="295"/>
    </row>
    <row r="16" spans="1:13" ht="15" customHeight="1">
      <c r="A16" s="16"/>
      <c r="B16" s="301"/>
      <c r="C16" s="302"/>
      <c r="D16" s="302"/>
      <c r="E16" s="302" t="str">
        <f>Main!C53</f>
        <v>Analysis Location (TAZ # from website):</v>
      </c>
      <c r="F16" s="307">
        <f>Location</f>
        <v>0</v>
      </c>
      <c r="G16" s="302"/>
      <c r="H16" s="302"/>
      <c r="I16" s="303"/>
      <c r="J16" s="304"/>
      <c r="K16" s="305"/>
      <c r="L16" s="22"/>
      <c r="M16" s="295"/>
    </row>
    <row r="17" spans="1:13" ht="5.0999999999999996" customHeight="1">
      <c r="A17" s="16"/>
      <c r="B17" s="301"/>
      <c r="C17" s="302"/>
      <c r="D17" s="302"/>
      <c r="E17" s="302"/>
      <c r="F17" s="308"/>
      <c r="G17" s="302"/>
      <c r="H17" s="302"/>
      <c r="I17" s="302"/>
      <c r="J17" s="306"/>
      <c r="K17" s="305"/>
      <c r="L17" s="22"/>
      <c r="M17" s="295"/>
    </row>
    <row r="18" spans="1:13" ht="15" customHeight="1">
      <c r="A18" s="16"/>
      <c r="B18" s="301"/>
      <c r="C18" s="302"/>
      <c r="D18" s="302"/>
      <c r="E18" s="302" t="str">
        <f>Main!C55</f>
        <v>Jurisdiction (auto calculated from TAZ #):</v>
      </c>
      <c r="F18" s="308" t="str">
        <f>IF(jurisdiction="","n/a",jurisdiction)</f>
        <v>n/a</v>
      </c>
      <c r="G18" s="302"/>
      <c r="H18" s="302"/>
      <c r="I18" s="303"/>
      <c r="J18" s="304"/>
      <c r="K18" s="305"/>
      <c r="L18" s="22"/>
      <c r="M18" s="295"/>
    </row>
    <row r="19" spans="1:13" ht="5.0999999999999996" customHeight="1">
      <c r="A19" s="16"/>
      <c r="B19" s="309"/>
      <c r="C19" s="310"/>
      <c r="D19" s="310"/>
      <c r="E19" s="310"/>
      <c r="F19" s="310"/>
      <c r="G19" s="310"/>
      <c r="H19" s="310"/>
      <c r="I19" s="310"/>
      <c r="J19" s="311"/>
      <c r="K19" s="312"/>
      <c r="L19" s="22"/>
      <c r="M19" s="295"/>
    </row>
    <row r="20" spans="1:13" ht="19.350000000000001" customHeight="1">
      <c r="A20" s="16"/>
      <c r="B20" s="16"/>
      <c r="C20" s="16"/>
      <c r="D20" s="16"/>
      <c r="E20" s="16"/>
      <c r="F20" s="16"/>
      <c r="G20" s="16"/>
      <c r="H20" s="512" t="str">
        <f>IF(COUNTIFS($H$26:$H$54,"Conflict*")&gt;0,"See Strategy Conflicts","")</f>
        <v/>
      </c>
      <c r="I20" s="16"/>
      <c r="J20" s="96"/>
      <c r="K20" s="16"/>
      <c r="L20" s="22"/>
      <c r="M20" s="295"/>
    </row>
    <row r="21" spans="1:13" ht="21" customHeight="1">
      <c r="A21" s="16"/>
      <c r="B21" s="587" t="s">
        <v>142</v>
      </c>
      <c r="C21" s="588"/>
      <c r="D21" s="588"/>
      <c r="E21" s="588"/>
      <c r="F21" s="588"/>
      <c r="G21" s="588"/>
      <c r="H21" s="588"/>
      <c r="I21" s="588"/>
      <c r="J21" s="588"/>
      <c r="K21" s="589"/>
      <c r="L21" s="22"/>
      <c r="M21" s="295"/>
    </row>
    <row r="22" spans="1:13" ht="5.0999999999999996" customHeight="1">
      <c r="A22" s="16"/>
      <c r="B22" s="301"/>
      <c r="C22" s="302"/>
      <c r="D22" s="302"/>
      <c r="E22" s="302"/>
      <c r="F22" s="302"/>
      <c r="G22" s="302"/>
      <c r="H22" s="308"/>
      <c r="I22" s="302"/>
      <c r="J22" s="306"/>
      <c r="K22" s="305"/>
      <c r="L22" s="22"/>
    </row>
    <row r="23" spans="1:13" ht="15" customHeight="1">
      <c r="A23" s="60"/>
      <c r="B23" s="313"/>
      <c r="C23" s="314"/>
      <c r="D23" s="307" t="s">
        <v>143</v>
      </c>
      <c r="E23" s="307" t="s">
        <v>144</v>
      </c>
      <c r="F23" s="307" t="s">
        <v>145</v>
      </c>
      <c r="G23" s="308" t="s">
        <v>146</v>
      </c>
      <c r="H23" s="315" t="s">
        <v>147</v>
      </c>
      <c r="I23" s="302"/>
      <c r="J23" s="316" t="s">
        <v>148</v>
      </c>
      <c r="K23" s="317"/>
      <c r="L23" s="318"/>
    </row>
    <row r="24" spans="1:13" ht="8.1" customHeight="1">
      <c r="A24" s="16"/>
      <c r="B24" s="301"/>
      <c r="C24" s="302"/>
      <c r="D24" s="302"/>
      <c r="E24" s="302"/>
      <c r="F24" s="302"/>
      <c r="G24" s="302"/>
      <c r="H24" s="302"/>
      <c r="I24" s="302"/>
      <c r="J24" s="306"/>
      <c r="K24" s="305"/>
      <c r="L24" s="22"/>
    </row>
    <row r="25" spans="1:13" ht="7.35" customHeight="1">
      <c r="A25" s="60"/>
      <c r="B25" s="319"/>
      <c r="C25" s="320"/>
      <c r="D25" s="320"/>
      <c r="E25" s="320"/>
      <c r="F25" s="320"/>
      <c r="G25" s="320"/>
      <c r="H25" s="302"/>
      <c r="I25" s="302"/>
      <c r="J25" s="306"/>
      <c r="K25" s="317"/>
      <c r="L25" s="318"/>
    </row>
    <row r="26" spans="1:13" ht="30" customHeight="1">
      <c r="A26" s="60"/>
      <c r="B26" s="319"/>
      <c r="C26" s="321"/>
      <c r="D26" s="503" t="s">
        <v>54</v>
      </c>
      <c r="E26" s="504" t="str">
        <f>INDEX(VL_TDM!$E$11:$E$41,MATCH($D26,VL_TDM!$B$11:$B$41,0),1)</f>
        <v>Voluntary Employer Commute Program</v>
      </c>
      <c r="F26" s="322" t="str">
        <f>INDEX(VL_TDM!$AC$11:$AC$41,MATCH($D26,VL_TDM!$B$11:$B$41,0),1)</f>
        <v>Project/Site</v>
      </c>
      <c r="G26" s="322" t="str">
        <f>INDEX(VL_TDM!$AD$11:$AD$41,MATCH($D26,VL_TDM!$B$11:$B$41,0),1)</f>
        <v>Employee commute trips</v>
      </c>
      <c r="H26" s="323" t="str">
        <f>IF(Conflict_Calc!BM11&gt;0,"Conflict with other strategy",INDEX(Calc!$F$11:$F$39,MATCH($D26,Calc!$C$11:$C$39,0),1))</f>
        <v/>
      </c>
      <c r="I26" s="322"/>
      <c r="J26" s="324" t="str">
        <f>IF(H26="","",IF("Not Active"=INDEX(Calc!$D$11:$D$39,MATCH($D26,Calc!$C$11:$C$39,0),1),"Excluded from total",""))</f>
        <v/>
      </c>
      <c r="K26" s="325"/>
      <c r="L26" s="318"/>
    </row>
    <row r="27" spans="1:13" ht="30" customHeight="1">
      <c r="A27" s="60"/>
      <c r="B27" s="319"/>
      <c r="C27" s="321"/>
      <c r="D27" s="503" t="s">
        <v>58</v>
      </c>
      <c r="E27" s="503" t="str">
        <f>INDEX(VL_TDM!$E$11:$E$41,MATCH($D27,VL_TDM!$B$11:$B$41,0),1)</f>
        <v>Mandatory Employer Commute Program</v>
      </c>
      <c r="F27" s="322" t="str">
        <f>INDEX(VL_TDM!$AC$11:$AC$41,MATCH($D27,VL_TDM!$B$11:$B$41,0),1)</f>
        <v>Project/Site</v>
      </c>
      <c r="G27" s="322" t="str">
        <f>INDEX(VL_TDM!$AD$11:$AD$41,MATCH($D27,VL_TDM!$B$11:$B$41,0),1)</f>
        <v>Employee commute trips</v>
      </c>
      <c r="H27" s="323" t="str">
        <f>IF(Conflict_Calc!BM12&gt;0,"Conflict with other strategy",INDEX(Calc!$F$11:$F$39,MATCH($D27,Calc!$C$11:$C$39,0),1))</f>
        <v/>
      </c>
      <c r="I27" s="322"/>
      <c r="J27" s="324" t="str">
        <f>IF(H27="","",IF("Not Active"=INDEX(Calc!$D$11:$D$39,MATCH($D27,Calc!$C$11:$C$39,0),1),"Excluded from total",""))</f>
        <v/>
      </c>
      <c r="K27" s="325"/>
      <c r="L27" s="318"/>
    </row>
    <row r="28" spans="1:13" ht="30" customHeight="1">
      <c r="A28" s="60"/>
      <c r="B28" s="319"/>
      <c r="C28" s="321"/>
      <c r="D28" s="503" t="s">
        <v>62</v>
      </c>
      <c r="E28" s="503" t="str">
        <f>INDEX(VL_TDM!$E$11:$E$41,MATCH($D28,VL_TDM!$B$11:$B$41,0),1)</f>
        <v>Employer Carpool Program</v>
      </c>
      <c r="F28" s="322" t="str">
        <f>INDEX(VL_TDM!$AC$11:$AC$41,MATCH($D28,VL_TDM!$B$11:$B$41,0),1)</f>
        <v>Project/Site</v>
      </c>
      <c r="G28" s="322" t="str">
        <f>INDEX(VL_TDM!$AD$11:$AD$41,MATCH($D28,VL_TDM!$B$11:$B$41,0),1)</f>
        <v>Employee commute trips</v>
      </c>
      <c r="H28" s="323" t="str">
        <f>IF(Conflict_Calc!BM13&gt;0,"Conflict with other strategy",INDEX(Calc!$F$11:$F$39,MATCH($D28,Calc!$C$11:$C$39,0),1))</f>
        <v/>
      </c>
      <c r="I28" s="322"/>
      <c r="J28" s="324" t="str">
        <f>IF(H28="","",IF("Not Active"=INDEX(Calc!$D$11:$D$39,MATCH($D28,Calc!$C$11:$C$39,0),1),"Excluded from total",""))</f>
        <v/>
      </c>
      <c r="K28" s="325"/>
      <c r="L28" s="318"/>
    </row>
    <row r="29" spans="1:13" ht="30" customHeight="1">
      <c r="A29" s="60"/>
      <c r="B29" s="319"/>
      <c r="C29" s="321"/>
      <c r="D29" s="503" t="s">
        <v>66</v>
      </c>
      <c r="E29" s="503" t="str">
        <f>INDEX(VL_TDM!$E$11:$E$41,MATCH($D29,VL_TDM!$B$11:$B$41,0),1)</f>
        <v>Implement Subsidized or Discounted Transit Program (for Employees)</v>
      </c>
      <c r="F29" s="322" t="str">
        <f>INDEX(VL_TDM!$AC$11:$AC$41,MATCH($D29,VL_TDM!$B$11:$B$41,0),1)</f>
        <v>Project/Site</v>
      </c>
      <c r="G29" s="322" t="str">
        <f>INDEX(VL_TDM!$AD$11:$AD$41,MATCH($D29,VL_TDM!$B$11:$B$41,0),1)</f>
        <v>Employee commute trips</v>
      </c>
      <c r="H29" s="323" t="str">
        <f>IF(Conflict_Calc!BM14&gt;0,"Conflict with other strategy",INDEX(Calc!$F$11:$F$39,MATCH($D29,Calc!$C$11:$C$39,0),1))</f>
        <v/>
      </c>
      <c r="I29" s="322"/>
      <c r="J29" s="324" t="str">
        <f>IF(H29="","",IF("Not Active"=INDEX(Calc!$D$11:$D$39,MATCH($D29,Calc!$C$11:$C$39,0),1),"Excluded from total",""))</f>
        <v/>
      </c>
      <c r="K29" s="325"/>
      <c r="L29" s="95"/>
    </row>
    <row r="30" spans="1:13" ht="30" customHeight="1">
      <c r="A30" s="60"/>
      <c r="B30" s="319"/>
      <c r="C30" s="321"/>
      <c r="D30" s="503" t="s">
        <v>70</v>
      </c>
      <c r="E30" s="503" t="str">
        <f>INDEX(VL_TDM!$E$11:$E$41,MATCH($D30,VL_TDM!$B$11:$B$41,0),1)</f>
        <v>Implement Subsidized or Discounted Transit Program (for Residents)</v>
      </c>
      <c r="F30" s="322" t="str">
        <f>INDEX(VL_TDM!$AC$11:$AC$41,MATCH($D30,VL_TDM!$B$11:$B$41,0),1)</f>
        <v>Project/Site</v>
      </c>
      <c r="G30" s="322" t="str">
        <f>INDEX(VL_TDM!$AD$11:$AD$41,MATCH($D30,VL_TDM!$B$11:$B$41,0),1)</f>
        <v>Project-generated trips</v>
      </c>
      <c r="H30" s="323" t="str">
        <f>IF(Conflict_Calc!BM15&gt;0,"Conflict with other strategy",INDEX(Calc!$F$11:$F$39,MATCH($D30,Calc!$C$11:$C$39,0),1))</f>
        <v/>
      </c>
      <c r="I30" s="322"/>
      <c r="J30" s="324" t="str">
        <f>IF(H30="","",IF("Not Active"=INDEX(Calc!$D$11:$D$39,MATCH($D30,Calc!$C$11:$C$39,0),1),"Excluded from total",""))</f>
        <v/>
      </c>
      <c r="K30" s="325"/>
      <c r="L30" s="95"/>
    </row>
    <row r="31" spans="1:13" ht="30" customHeight="1">
      <c r="A31" s="60"/>
      <c r="B31" s="319"/>
      <c r="C31" s="321"/>
      <c r="D31" s="503" t="s">
        <v>74</v>
      </c>
      <c r="E31" s="503" t="str">
        <f>INDEX(VL_TDM!$E$11:$E$41,MATCH($D31,VL_TDM!$B$11:$B$41,0),1)</f>
        <v>Employer Vanpool Program</v>
      </c>
      <c r="F31" s="322" t="str">
        <f>INDEX(VL_TDM!$AC$11:$AC$41,MATCH($D31,VL_TDM!$B$11:$B$41,0),1)</f>
        <v>Project/Site</v>
      </c>
      <c r="G31" s="322" t="str">
        <f>INDEX(VL_TDM!$AD$11:$AD$41,MATCH($D31,VL_TDM!$B$11:$B$41,0),1)</f>
        <v>Employee commute trips</v>
      </c>
      <c r="H31" s="323" t="str">
        <f>IF(Conflict_Calc!BM16&gt;0,"Conflict with other strategy",INDEX(Calc!$F$11:$F$39,MATCH($D31,Calc!$C$11:$C$39,0),1))</f>
        <v/>
      </c>
      <c r="I31" s="322"/>
      <c r="J31" s="324" t="str">
        <f>IF(H31="","",IF("Not Active"=INDEX(Calc!$D$11:$D$39,MATCH($D31,Calc!$C$11:$C$39,0),1),"Excluded from total",""))</f>
        <v/>
      </c>
      <c r="K31" s="325"/>
      <c r="L31" s="318"/>
    </row>
    <row r="32" spans="1:13" ht="30" customHeight="1">
      <c r="A32" s="60"/>
      <c r="B32" s="319"/>
      <c r="C32" s="321"/>
      <c r="D32" s="503" t="s">
        <v>78</v>
      </c>
      <c r="E32" s="503" t="str">
        <f>INDEX(VL_TDM!$E$11:$E$41,MATCH($D32,VL_TDM!$B$11:$B$41,0),1)</f>
        <v>Employer Telework Program</v>
      </c>
      <c r="F32" s="322" t="str">
        <f>INDEX(VL_TDM!$AC$11:$AC$41,MATCH($D32,VL_TDM!$B$11:$B$41,0),1)</f>
        <v>Project/Site</v>
      </c>
      <c r="G32" s="322" t="str">
        <f>INDEX(VL_TDM!$AD$11:$AD$41,MATCH($D32,VL_TDM!$B$11:$B$41,0),1)</f>
        <v>Employee commute trips</v>
      </c>
      <c r="H32" s="323" t="str">
        <f>IF(Conflict_Calc!BM17&gt;0,"Conflict with other strategy",INDEX(Calc!$F$11:$F$39,MATCH($D32,Calc!$C$11:$C$39,0),1))</f>
        <v/>
      </c>
      <c r="I32" s="322"/>
      <c r="J32" s="324" t="str">
        <f>IF(H32="","",IF("Not Active"=INDEX(Calc!$D$11:$D$39,MATCH($D32,Calc!$C$11:$C$39,0),1),"Excluded from total",""))</f>
        <v/>
      </c>
      <c r="K32" s="325"/>
      <c r="L32" s="318"/>
    </row>
    <row r="33" spans="1:12" ht="30" customHeight="1">
      <c r="A33" s="60"/>
      <c r="B33" s="319"/>
      <c r="C33" s="321"/>
      <c r="D33" s="503" t="s">
        <v>86</v>
      </c>
      <c r="E33" s="503" t="str">
        <f>INDEX(VL_TDM!$E$11:$E$41,MATCH($D33,VL_TDM!$B$11:$B$41,0),1)</f>
        <v>Transit Oriented Development</v>
      </c>
      <c r="F33" s="322" t="str">
        <f>INDEX(VL_TDM!$AC$11:$AC$41,MATCH($D33,VL_TDM!$B$11:$B$41,0),1)</f>
        <v>Project/Site</v>
      </c>
      <c r="G33" s="322" t="str">
        <f>INDEX(VL_TDM!$AD$11:$AD$41,MATCH($D33,VL_TDM!$B$11:$B$41,0),1)</f>
        <v>Project-generated trips</v>
      </c>
      <c r="H33" s="323" t="str">
        <f>IF(Conflict_Calc!BM18&gt;0,"Conflict with other strategy",INDEX(Calc!$F$11:$F$39,MATCH($D33,Calc!$C$11:$C$39,0),1))</f>
        <v/>
      </c>
      <c r="I33" s="322"/>
      <c r="J33" s="324" t="str">
        <f>IF(H33="","",IF("Not Active"=INDEX(Calc!$D$11:$D$39,MATCH($D33,Calc!$C$11:$C$39,0),1),"Excluded from total",""))</f>
        <v/>
      </c>
      <c r="K33" s="325"/>
      <c r="L33" s="318"/>
    </row>
    <row r="34" spans="1:12" ht="30" customHeight="1">
      <c r="A34" s="60"/>
      <c r="B34" s="319"/>
      <c r="C34" s="321"/>
      <c r="D34" s="503" t="s">
        <v>89</v>
      </c>
      <c r="E34" s="503" t="str">
        <f>INDEX(VL_TDM!$E$11:$E$41,MATCH($D34,VL_TDM!$B$11:$B$41,0),1)</f>
        <v>Increase Residential Density</v>
      </c>
      <c r="F34" s="322" t="str">
        <f>INDEX(VL_TDM!$AC$11:$AC$41,MATCH($D34,VL_TDM!$B$11:$B$41,0),1)</f>
        <v>Project/Site</v>
      </c>
      <c r="G34" s="322" t="str">
        <f>INDEX(VL_TDM!$AD$11:$AD$41,MATCH($D34,VL_TDM!$B$11:$B$41,0),1)</f>
        <v>Project-generated trips</v>
      </c>
      <c r="H34" s="323" t="str">
        <f>IF(Conflict_Calc!BM19&gt;0,"Conflict with other strategy",INDEX(Calc!$F$11:$F$39,MATCH($D34,Calc!$C$11:$C$39,0),1))</f>
        <v/>
      </c>
      <c r="I34" s="322"/>
      <c r="J34" s="324" t="str">
        <f>IF(H34="","",IF("Not Active"=INDEX(Calc!$D$11:$D$39,MATCH($D34,Calc!$C$11:$C$39,0),1),"Excluded from total",""))</f>
        <v/>
      </c>
      <c r="K34" s="325"/>
      <c r="L34" s="21"/>
    </row>
    <row r="35" spans="1:12" ht="30" customHeight="1">
      <c r="A35" s="60"/>
      <c r="B35" s="319"/>
      <c r="C35" s="321"/>
      <c r="D35" s="503" t="s">
        <v>92</v>
      </c>
      <c r="E35" s="503" t="str">
        <f>INDEX(VL_TDM!$E$11:$E$41,MATCH($D35,VL_TDM!$B$11:$B$41,0),1)</f>
        <v>Increase Employment Density</v>
      </c>
      <c r="F35" s="322" t="str">
        <f>INDEX(VL_TDM!$AC$11:$AC$41,MATCH($D35,VL_TDM!$B$11:$B$41,0),1)</f>
        <v>Project/Site</v>
      </c>
      <c r="G35" s="322" t="str">
        <f>INDEX(VL_TDM!$AD$11:$AD$41,MATCH($D35,VL_TDM!$B$11:$B$41,0),1)</f>
        <v>Employee commute trips</v>
      </c>
      <c r="H35" s="323" t="str">
        <f>IF(Conflict_Calc!BM20&gt;0,"Conflict with other strategy",INDEX(Calc!$F$11:$F$39,MATCH($D35,Calc!$C$11:$C$39,0),1))</f>
        <v/>
      </c>
      <c r="I35" s="322"/>
      <c r="J35" s="324" t="str">
        <f>IF(H35="","",IF("Not Active"=INDEX(Calc!$D$11:$D$39,MATCH($D35,Calc!$C$11:$C$39,0),1),"Excluded from total",""))</f>
        <v/>
      </c>
      <c r="K35" s="325"/>
      <c r="L35" s="318"/>
    </row>
    <row r="36" spans="1:12" ht="30" customHeight="1">
      <c r="A36" s="60"/>
      <c r="B36" s="319"/>
      <c r="C36" s="321"/>
      <c r="D36" s="503" t="s">
        <v>96</v>
      </c>
      <c r="E36" s="503" t="str">
        <f>INDEX(VL_TDM!$E$11:$E$41,MATCH($D36,VL_TDM!$B$11:$B$41,0),1)</f>
        <v>Integrate Affordable and Below Market Rate Housing</v>
      </c>
      <c r="F36" s="322" t="str">
        <f>INDEX(VL_TDM!$AC$11:$AC$41,MATCH($D36,VL_TDM!$B$11:$B$41,0),1)</f>
        <v>Neighborhood/City</v>
      </c>
      <c r="G36" s="322" t="str">
        <f>INDEX(VL_TDM!$AD$11:$AD$41,MATCH($D36,VL_TDM!$B$11:$B$41,0),1)</f>
        <v>All neighborhood/city trips</v>
      </c>
      <c r="H36" s="323" t="str">
        <f>IF(Conflict_Calc!BM21&gt;0,"Conflict with other strategy",INDEX(Calc!$F$11:$F$39,MATCH($D36,Calc!$C$11:$C$39,0),1))</f>
        <v/>
      </c>
      <c r="I36" s="322"/>
      <c r="J36" s="324" t="str">
        <f>IF(H36="","",IF("Not Active"=INDEX(Calc!$D$11:$D$39,MATCH($D36,Calc!$C$11:$C$39,0),1),"Excluded from total",""))</f>
        <v/>
      </c>
      <c r="K36" s="325"/>
      <c r="L36" s="318"/>
    </row>
    <row r="37" spans="1:12" ht="30" customHeight="1">
      <c r="A37" s="60"/>
      <c r="B37" s="319"/>
      <c r="C37" s="321"/>
      <c r="D37" s="503" t="s">
        <v>108</v>
      </c>
      <c r="E37" s="503" t="str">
        <f>INDEX(VL_TDM!$E$11:$E$41,MATCH($D37,VL_TDM!$B$11:$B$41,0),1)</f>
        <v>Price Workplace Parking</v>
      </c>
      <c r="F37" s="322" t="str">
        <f>INDEX(VL_TDM!$AC$11:$AC$41,MATCH($D37,VL_TDM!$B$11:$B$41,0),1)</f>
        <v>Project/Site</v>
      </c>
      <c r="G37" s="322" t="str">
        <f>INDEX(VL_TDM!$AD$11:$AD$41,MATCH($D37,VL_TDM!$B$11:$B$41,0),1)</f>
        <v>Employee commute trips</v>
      </c>
      <c r="H37" s="323" t="str">
        <f>IF(Conflict_Calc!BM22&gt;0,"Conflict with other strategy",INDEX(Calc!$F$11:$F$39,MATCH($D37,Calc!$C$11:$C$39,0),1))</f>
        <v/>
      </c>
      <c r="I37" s="322"/>
      <c r="J37" s="324" t="str">
        <f>IF(H37="","",IF("Not Active"=INDEX(Calc!$D$11:$D$39,MATCH($D37,Calc!$C$11:$C$39,0),1),"Excluded from total",""))</f>
        <v/>
      </c>
      <c r="K37" s="325"/>
      <c r="L37" s="318"/>
    </row>
    <row r="38" spans="1:12" ht="30" customHeight="1">
      <c r="A38" s="60"/>
      <c r="B38" s="319"/>
      <c r="C38" s="321"/>
      <c r="D38" s="503" t="s">
        <v>110</v>
      </c>
      <c r="E38" s="503" t="str">
        <f>INDEX(VL_TDM!$E$11:$E$41,MATCH($D38,VL_TDM!$B$11:$B$41,0),1)</f>
        <v>Unbundle Parking Costs from Property Cost</v>
      </c>
      <c r="F38" s="322" t="str">
        <f>INDEX(VL_TDM!$AC$11:$AC$41,MATCH($D38,VL_TDM!$B$11:$B$41,0),1)</f>
        <v>Project/Site</v>
      </c>
      <c r="G38" s="322" t="str">
        <f>INDEX(VL_TDM!$AD$11:$AD$41,MATCH($D38,VL_TDM!$B$11:$B$41,0),1)</f>
        <v>Project-generated trips</v>
      </c>
      <c r="H38" s="323" t="str">
        <f>IF(Conflict_Calc!BM23&gt;0,"Conflict with other strategy",INDEX(Calc!$F$11:$F$39,MATCH($D38,Calc!$C$11:$C$39,0),1))</f>
        <v/>
      </c>
      <c r="I38" s="322"/>
      <c r="J38" s="324" t="str">
        <f>IF(H38="","",IF("Not Active"=INDEX(Calc!$D$11:$D$39,MATCH($D38,Calc!$C$11:$C$39,0),1),"Excluded from total",""))</f>
        <v/>
      </c>
      <c r="K38" s="325"/>
      <c r="L38" s="318"/>
    </row>
    <row r="39" spans="1:12" ht="30" customHeight="1">
      <c r="A39" s="60"/>
      <c r="B39" s="319"/>
      <c r="C39" s="321"/>
      <c r="D39" s="503" t="s">
        <v>113</v>
      </c>
      <c r="E39" s="503" t="str">
        <f>INDEX(VL_TDM!$E$11:$E$41,MATCH($D39,VL_TDM!$B$11:$B$41,0),1)</f>
        <v>Parking Cash Out</v>
      </c>
      <c r="F39" s="322" t="str">
        <f>INDEX(VL_TDM!$AC$11:$AC$41,MATCH($D39,VL_TDM!$B$11:$B$41,0),1)</f>
        <v>Project/Site</v>
      </c>
      <c r="G39" s="322" t="str">
        <f>INDEX(VL_TDM!$AD$11:$AD$41,MATCH($D39,VL_TDM!$B$11:$B$41,0),1)</f>
        <v>Employee commute trips</v>
      </c>
      <c r="H39" s="323" t="str">
        <f>IF(Conflict_Calc!BM24&gt;0,"Conflict with other strategy",INDEX(Calc!$F$11:$F$39,MATCH($D39,Calc!$C$11:$C$39,0),1))</f>
        <v/>
      </c>
      <c r="I39" s="322"/>
      <c r="J39" s="324" t="str">
        <f>IF(H39="","",IF("Not Active"=INDEX(Calc!$D$11:$D$39,MATCH($D39,Calc!$C$11:$C$39,0),1),"Excluded from total",""))</f>
        <v/>
      </c>
      <c r="K39" s="325"/>
      <c r="L39" s="318"/>
    </row>
    <row r="40" spans="1:12" ht="30" customHeight="1">
      <c r="A40" s="60"/>
      <c r="B40" s="319"/>
      <c r="C40" s="321"/>
      <c r="D40" s="503" t="s">
        <v>115</v>
      </c>
      <c r="E40" s="503" t="str">
        <f>INDEX(VL_TDM!$E$11:$E$41,MATCH($D40,VL_TDM!$B$11:$B$41,0),1)</f>
        <v>Limit Parking Supply</v>
      </c>
      <c r="F40" s="322" t="str">
        <f>INDEX(VL_TDM!$AC$11:$AC$41,MATCH($D40,VL_TDM!$B$11:$B$41,0),1)</f>
        <v>Project/Site</v>
      </c>
      <c r="G40" s="322" t="str">
        <f>INDEX(VL_TDM!$AD$11:$AD$41,MATCH($D40,VL_TDM!$B$11:$B$41,0),1)</f>
        <v>Project-generated trips</v>
      </c>
      <c r="H40" s="323" t="str">
        <f>IF(Conflict_Calc!BM25&gt;0,"Conflict with other strategy",INDEX(Calc!$F$11:$F$39,MATCH($D40,Calc!$C$11:$C$39,0),1))</f>
        <v/>
      </c>
      <c r="I40" s="322"/>
      <c r="J40" s="324" t="str">
        <f>IF(H40="","",IF("Not Active"=INDEX(Calc!$D$11:$D$39,MATCH($D40,Calc!$C$11:$C$39,0),1),"Excluded from total",""))</f>
        <v/>
      </c>
      <c r="K40" s="325"/>
      <c r="L40" s="318"/>
    </row>
    <row r="41" spans="1:12" ht="30" customHeight="1">
      <c r="A41" s="60"/>
      <c r="B41" s="319"/>
      <c r="C41" s="321"/>
      <c r="D41" s="503" t="s">
        <v>117</v>
      </c>
      <c r="E41" s="503" t="str">
        <f>INDEX(VL_TDM!$E$11:$E$41,MATCH($D41,VL_TDM!$B$11:$B$41,0),1)</f>
        <v>Provide Bike Parking</v>
      </c>
      <c r="F41" s="322" t="str">
        <f>INDEX(VL_TDM!$AC$11:$AC$41,MATCH($D41,VL_TDM!$B$11:$B$41,0),1)</f>
        <v>Project/Site</v>
      </c>
      <c r="G41" s="322" t="str">
        <f>INDEX(VL_TDM!$AD$11:$AD$41,MATCH($D41,VL_TDM!$B$11:$B$41,0),1)</f>
        <v>Project-generated trips</v>
      </c>
      <c r="H41" s="323" t="str">
        <f>IF(Conflict_Calc!BM34&gt;0,"Conflict with other strategy",INDEX(Calc!$F$11:$F$39,MATCH($D41,Calc!$C$11:$C$39,0),1))</f>
        <v/>
      </c>
      <c r="I41" s="322"/>
      <c r="J41" s="324" t="str">
        <f>IF(H41="","",IF("Not Active"=INDEX(Calc!$D$11:$D$39,MATCH($D41,Calc!$C$11:$C$39,0),1),"Excluded from total",""))</f>
        <v/>
      </c>
      <c r="K41" s="325"/>
      <c r="L41" s="318"/>
    </row>
    <row r="42" spans="1:12" ht="30" customHeight="1">
      <c r="A42" s="60"/>
      <c r="B42" s="319"/>
      <c r="C42" s="321"/>
      <c r="D42" s="503" t="s">
        <v>56</v>
      </c>
      <c r="E42" s="503" t="str">
        <f>INDEX(VL_TDM!$E$11:$E$41,MATCH($D42,VL_TDM!$B$11:$B$41,0),1)</f>
        <v>Street Connectivity Improvement</v>
      </c>
      <c r="F42" s="322" t="str">
        <f>INDEX(VL_TDM!$AC$11:$AC$41,MATCH($D42,VL_TDM!$B$11:$B$41,0),1)</f>
        <v>Neighborhood/City</v>
      </c>
      <c r="G42" s="322" t="str">
        <f>INDEX(VL_TDM!$AD$11:$AD$41,MATCH($D42,VL_TDM!$B$11:$B$41,0),1)</f>
        <v>All neighborhood/city trips</v>
      </c>
      <c r="H42" s="323" t="str">
        <f>IF(Conflict_Calc!BM26&gt;0,"Conflict with other strategy",INDEX(Calc!$F$11:$F$39,MATCH($D42,Calc!$C$11:$C$39,0),1))</f>
        <v/>
      </c>
      <c r="I42" s="322"/>
      <c r="J42" s="324" t="str">
        <f>IF(H42="","",IF("Not Active"=INDEX(Calc!$D$11:$D$39,MATCH($D42,Calc!$C$11:$C$39,0),1),"Excluded from total",""))</f>
        <v/>
      </c>
      <c r="K42" s="325"/>
      <c r="L42" s="318"/>
    </row>
    <row r="43" spans="1:12" ht="30" customHeight="1">
      <c r="A43" s="60"/>
      <c r="B43" s="319"/>
      <c r="C43" s="321"/>
      <c r="D43" s="503" t="s">
        <v>60</v>
      </c>
      <c r="E43" s="503" t="str">
        <f>INDEX(VL_TDM!$E$11:$E$41,MATCH($D43,VL_TDM!$B$11:$B$41,0),1)</f>
        <v>Pedestrian Facility Improvement</v>
      </c>
      <c r="F43" s="322" t="str">
        <f>INDEX(VL_TDM!$AC$11:$AC$41,MATCH($D43,VL_TDM!$B$11:$B$41,0),1)</f>
        <v>Neighborhood/City</v>
      </c>
      <c r="G43" s="322" t="str">
        <f>INDEX(VL_TDM!$AD$11:$AD$41,MATCH($D43,VL_TDM!$B$11:$B$41,0),1)</f>
        <v>All neighborhood/city trips</v>
      </c>
      <c r="H43" s="323" t="str">
        <f>IF(Conflict_Calc!BM27&gt;0,"Conflict with other strategy",INDEX(Calc!$F$11:$F$39,MATCH($D43,Calc!$C$11:$C$39,0),1))</f>
        <v/>
      </c>
      <c r="I43" s="322"/>
      <c r="J43" s="324" t="str">
        <f>IF(H43="","",IF("Not Active"=INDEX(Calc!$D$11:$D$39,MATCH($D43,Calc!$C$11:$C$39,0),1),"Excluded from total",""))</f>
        <v/>
      </c>
      <c r="K43" s="325"/>
      <c r="L43" s="318"/>
    </row>
    <row r="44" spans="1:12" ht="30" customHeight="1">
      <c r="A44" s="60"/>
      <c r="B44" s="319"/>
      <c r="C44" s="321"/>
      <c r="D44" s="503" t="s">
        <v>64</v>
      </c>
      <c r="E44" s="503" t="str">
        <f>INDEX(VL_TDM!$E$11:$E$41,MATCH($D44,VL_TDM!$B$11:$B$41,0),1)</f>
        <v>Bikeway Network Expansion</v>
      </c>
      <c r="F44" s="322" t="str">
        <f>INDEX(VL_TDM!$AC$11:$AC$41,MATCH($D44,VL_TDM!$B$11:$B$41,0),1)</f>
        <v>Neighborhood/City</v>
      </c>
      <c r="G44" s="322" t="str">
        <f>INDEX(VL_TDM!$AD$11:$AD$41,MATCH($D44,VL_TDM!$B$11:$B$41,0),1)</f>
        <v>All neighborhood/city trips</v>
      </c>
      <c r="H44" s="323" t="str">
        <f>IF(Conflict_Calc!BM28&gt;0,"Conflict with other strategy",INDEX(Calc!$F$11:$F$39,MATCH($D44,Calc!$C$11:$C$39,0),1))</f>
        <v/>
      </c>
      <c r="I44" s="322"/>
      <c r="J44" s="324" t="str">
        <f>IF(H44="","",IF("Not Active"=INDEX(Calc!$D$11:$D$39,MATCH($D44,Calc!$C$11:$C$39,0),1),"Excluded from total",""))</f>
        <v/>
      </c>
      <c r="K44" s="325"/>
      <c r="L44" s="318"/>
    </row>
    <row r="45" spans="1:12" ht="30" customHeight="1">
      <c r="A45" s="60"/>
      <c r="B45" s="319"/>
      <c r="C45" s="321"/>
      <c r="D45" s="503" t="s">
        <v>68</v>
      </c>
      <c r="E45" s="503" t="str">
        <f>INDEX(VL_TDM!$E$11:$E$41,MATCH($D45,VL_TDM!$B$11:$B$41,0),1)</f>
        <v>Bike Facility Improvement</v>
      </c>
      <c r="F45" s="322" t="str">
        <f>INDEX(VL_TDM!$AC$11:$AC$41,MATCH($D45,VL_TDM!$B$11:$B$41,0),1)</f>
        <v>Neighborhood/City</v>
      </c>
      <c r="G45" s="322" t="str">
        <f>INDEX(VL_TDM!$AD$11:$AD$41,MATCH($D45,VL_TDM!$B$11:$B$41,0),1)</f>
        <v>Trips on roadway with bikeway addition</v>
      </c>
      <c r="H45" s="323" t="str">
        <f>IF(Conflict_Calc!BM29&gt;0,"Conflict with other strategy",INDEX(Calc!$F$11:$F$39,MATCH($D45,Calc!$C$11:$C$39,0),1))</f>
        <v/>
      </c>
      <c r="I45" s="322"/>
      <c r="J45" s="324" t="str">
        <f>IF(H45="","",IF("Not Active"=INDEX(Calc!$D$11:$D$39,MATCH($D45,Calc!$C$11:$C$39,0),1),"Excluded from total",""))</f>
        <v/>
      </c>
      <c r="K45" s="325"/>
      <c r="L45" s="318"/>
    </row>
    <row r="46" spans="1:12" ht="30" customHeight="1">
      <c r="A46" s="60"/>
      <c r="B46" s="319"/>
      <c r="C46" s="321"/>
      <c r="D46" s="503" t="s">
        <v>72</v>
      </c>
      <c r="E46" s="503" t="str">
        <f>INDEX(VL_TDM!$E$11:$E$41,MATCH($D46,VL_TDM!$B$11:$B$41,0),1)</f>
        <v>Bikeshare</v>
      </c>
      <c r="F46" s="322" t="str">
        <f>INDEX(VL_TDM!$AC$11:$AC$41,MATCH($D46,VL_TDM!$B$11:$B$41,0),1)</f>
        <v>Neighborhood/City</v>
      </c>
      <c r="G46" s="322" t="str">
        <f>INDEX(VL_TDM!$AD$11:$AD$41,MATCH($D46,VL_TDM!$B$11:$B$41,0),1)</f>
        <v>All neighborhood/city trips</v>
      </c>
      <c r="H46" s="323" t="str">
        <f>IF(Conflict_Calc!BM30&gt;0,"Conflict with other strategy",INDEX(Calc!$F$11:$F$39,MATCH($D46,Calc!$C$11:$C$39,0),1))</f>
        <v/>
      </c>
      <c r="I46" s="322"/>
      <c r="J46" s="324" t="str">
        <f>IF(H46="","",IF("Not Active"=INDEX(Calc!$D$11:$D$39,MATCH($D46,Calc!$C$11:$C$39,0),1),"Excluded from total",""))</f>
        <v/>
      </c>
      <c r="K46" s="325"/>
      <c r="L46" s="318"/>
    </row>
    <row r="47" spans="1:12" ht="30" customHeight="1">
      <c r="A47" s="60"/>
      <c r="B47" s="319"/>
      <c r="C47" s="321"/>
      <c r="D47" s="503" t="s">
        <v>76</v>
      </c>
      <c r="E47" s="503" t="str">
        <f>INDEX(VL_TDM!$E$11:$E$41,MATCH($D47,VL_TDM!$B$11:$B$41,0),1)</f>
        <v>Carshare</v>
      </c>
      <c r="F47" s="322" t="str">
        <f>INDEX(VL_TDM!$AC$11:$AC$41,MATCH($D47,VL_TDM!$B$11:$B$41,0),1)</f>
        <v>Neighborhood/City</v>
      </c>
      <c r="G47" s="322" t="str">
        <f>INDEX(VL_TDM!$AD$11:$AD$41,MATCH($D47,VL_TDM!$B$11:$B$41,0),1)</f>
        <v>All neighborhood/city trips</v>
      </c>
      <c r="H47" s="323" t="str">
        <f>IF(Conflict_Calc!BM31&gt;0,"Conflict with other strategy",INDEX(Calc!$F$11:$F$39,MATCH($D47,Calc!$C$11:$C$39,0),1))</f>
        <v/>
      </c>
      <c r="I47" s="322"/>
      <c r="J47" s="324" t="str">
        <f>IF(H47="","",IF("Not Active"=INDEX(Calc!$D$11:$D$39,MATCH($D47,Calc!$C$11:$C$39,0),1),"Excluded from total",""))</f>
        <v/>
      </c>
      <c r="K47" s="325"/>
      <c r="L47" s="318"/>
    </row>
    <row r="48" spans="1:12" ht="30" customHeight="1">
      <c r="A48" s="60"/>
      <c r="B48" s="319"/>
      <c r="C48" s="321"/>
      <c r="D48" s="503" t="s">
        <v>80</v>
      </c>
      <c r="E48" s="503" t="str">
        <f>INDEX(VL_TDM!$E$11:$E$41,MATCH($D48,VL_TDM!$B$11:$B$41,0),1)</f>
        <v>Community-Based Travel Planning</v>
      </c>
      <c r="F48" s="322" t="str">
        <f>INDEX(VL_TDM!$AC$11:$AC$41,MATCH($D48,VL_TDM!$B$11:$B$41,0),1)</f>
        <v>Neighborhood/City</v>
      </c>
      <c r="G48" s="322" t="str">
        <f>INDEX(VL_TDM!$AD$11:$AD$41,MATCH($D48,VL_TDM!$B$11:$B$41,0),1)</f>
        <v>All neighborhood/city trips</v>
      </c>
      <c r="H48" s="323" t="str">
        <f>IF(Conflict_Calc!BM32&gt;0,"Conflict with other strategy",INDEX(Calc!$F$11:$F$39,MATCH($D48,Calc!$C$11:$C$39,0),1))</f>
        <v/>
      </c>
      <c r="I48" s="322"/>
      <c r="J48" s="324" t="str">
        <f>IF(H48="","",IF("Not Active"=INDEX(Calc!$D$11:$D$39,MATCH($D48,Calc!$C$11:$C$39,0),1),"Excluded from total",""))</f>
        <v/>
      </c>
      <c r="K48" s="325"/>
      <c r="L48" s="318"/>
    </row>
    <row r="49" spans="1:12" ht="30" customHeight="1">
      <c r="A49" s="60"/>
      <c r="B49" s="319"/>
      <c r="C49" s="321"/>
      <c r="D49" s="503" t="s">
        <v>82</v>
      </c>
      <c r="E49" s="503" t="str">
        <f>INDEX(VL_TDM!$E$11:$E$41,MATCH($D49,VL_TDM!$B$11:$B$41,0),1)</f>
        <v>Provide Neighborhood Traffic Calming Measures</v>
      </c>
      <c r="F49" s="322" t="str">
        <f>INDEX(VL_TDM!$AC$11:$AC$41,MATCH($D49,VL_TDM!$B$11:$B$41,0),1)</f>
        <v>Neighborhood/City</v>
      </c>
      <c r="G49" s="322" t="str">
        <f>INDEX(VL_TDM!$AD$11:$AD$41,MATCH($D49,VL_TDM!$B$11:$B$41,0),1)</f>
        <v>All neighborhood/city trips</v>
      </c>
      <c r="H49" s="323" t="str">
        <f>IF(Conflict_Calc!BM33&gt;0,"Conflict with other strategy",INDEX(Calc!$F$11:$F$39,MATCH($D49,Calc!$C$11:$C$39,0),1))</f>
        <v/>
      </c>
      <c r="I49" s="322"/>
      <c r="J49" s="324" t="str">
        <f>IF(H49="","",IF("Not Active"=INDEX(Calc!$D$11:$D$39,MATCH($D49,Calc!$C$11:$C$39,0),1),"Excluded from total",""))</f>
        <v/>
      </c>
      <c r="K49" s="325"/>
      <c r="L49" s="318"/>
    </row>
    <row r="50" spans="1:12" ht="30" customHeight="1">
      <c r="A50" s="60"/>
      <c r="B50" s="319"/>
      <c r="C50" s="321"/>
      <c r="D50" s="503" t="s">
        <v>94</v>
      </c>
      <c r="E50" s="503" t="str">
        <f>INDEX(VL_TDM!$E$11:$E$41,MATCH($D50,VL_TDM!$B$11:$B$41,0),1)</f>
        <v>Transit Service Expansion</v>
      </c>
      <c r="F50" s="322" t="str">
        <f>INDEX(VL_TDM!$AC$11:$AC$41,MATCH($D50,VL_TDM!$B$11:$B$41,0),1)</f>
        <v>Neighborhood/City</v>
      </c>
      <c r="G50" s="322" t="str">
        <f>INDEX(VL_TDM!$AD$11:$AD$41,MATCH($D50,VL_TDM!$B$11:$B$41,0),1)</f>
        <v>All neighborhood/city trips</v>
      </c>
      <c r="H50" s="323" t="str">
        <f>IF(Conflict_Calc!BM35&gt;0,"Conflict with other strategy",INDEX(Calc!$F$11:$F$39,MATCH($D50,Calc!$C$11:$C$39,0),1))</f>
        <v/>
      </c>
      <c r="I50" s="322"/>
      <c r="J50" s="324" t="str">
        <f>IF(H50="","",IF("Not Active"=INDEX(Calc!$D$11:$D$39,MATCH($D50,Calc!$C$11:$C$39,0),1),"Excluded from total",""))</f>
        <v/>
      </c>
      <c r="K50" s="325"/>
      <c r="L50" s="318"/>
    </row>
    <row r="51" spans="1:12" ht="30" customHeight="1">
      <c r="A51" s="60"/>
      <c r="B51" s="319"/>
      <c r="C51" s="321"/>
      <c r="D51" s="503" t="s">
        <v>98</v>
      </c>
      <c r="E51" s="503" t="str">
        <f>INDEX(VL_TDM!$E$11:$E$41,MATCH($D51,VL_TDM!$B$11:$B$41,0),1)</f>
        <v>Transit Frequency Improvements</v>
      </c>
      <c r="F51" s="322" t="str">
        <f>INDEX(VL_TDM!$AC$11:$AC$41,MATCH($D51,VL_TDM!$B$11:$B$41,0),1)</f>
        <v>Neighborhood/City</v>
      </c>
      <c r="G51" s="322" t="str">
        <f>INDEX(VL_TDM!$AD$11:$AD$41,MATCH($D51,VL_TDM!$B$11:$B$41,0),1)</f>
        <v>All neighborhood/city trips</v>
      </c>
      <c r="H51" s="323" t="str">
        <f>IF(Conflict_Calc!BM36&gt;0,"Conflict with other strategy",INDEX(Calc!$F$11:$F$39,MATCH($D51,Calc!$C$11:$C$39,0),1))</f>
        <v/>
      </c>
      <c r="I51" s="322"/>
      <c r="J51" s="324" t="str">
        <f>IF(H51="","",IF("Not Active"=INDEX(Calc!$D$11:$D$39,MATCH($D51,Calc!$C$11:$C$39,0),1),"Excluded from total",""))</f>
        <v/>
      </c>
      <c r="K51" s="325"/>
      <c r="L51" s="21"/>
    </row>
    <row r="52" spans="1:12" ht="30" customHeight="1">
      <c r="A52" s="60"/>
      <c r="B52" s="319"/>
      <c r="C52" s="321"/>
      <c r="D52" s="503" t="s">
        <v>100</v>
      </c>
      <c r="E52" s="503" t="str">
        <f>INDEX(VL_TDM!$E$11:$E$41,MATCH($D52,VL_TDM!$B$11:$B$41,0),1)</f>
        <v>Transit-Supportive Treatments</v>
      </c>
      <c r="F52" s="322" t="str">
        <f>INDEX(VL_TDM!$AC$11:$AC$41,MATCH($D52,VL_TDM!$B$11:$B$41,0),1)</f>
        <v>Neighborhood/City</v>
      </c>
      <c r="G52" s="322" t="str">
        <f>INDEX(VL_TDM!$AD$11:$AD$41,MATCH($D52,VL_TDM!$B$11:$B$41,0),1)</f>
        <v>All neighborhood/city trips</v>
      </c>
      <c r="H52" s="323" t="str">
        <f>IF(Conflict_Calc!BM37&gt;0,"Conflict with other strategy",INDEX(Calc!$F$11:$F$39,MATCH($D52,Calc!$C$11:$C$39,0),1))</f>
        <v/>
      </c>
      <c r="I52" s="322"/>
      <c r="J52" s="324" t="str">
        <f>IF(H52="","",IF("Not Active"=INDEX(Calc!$D$11:$D$39,MATCH($D52,Calc!$C$11:$C$39,0),1),"Excluded from total",""))</f>
        <v/>
      </c>
      <c r="K52" s="325"/>
      <c r="L52" s="318"/>
    </row>
    <row r="53" spans="1:12" ht="30" customHeight="1">
      <c r="A53" s="60"/>
      <c r="B53" s="319"/>
      <c r="C53" s="321"/>
      <c r="D53" s="503" t="s">
        <v>103</v>
      </c>
      <c r="E53" s="503" t="str">
        <f>INDEX(VL_TDM!$E$11:$E$41,MATCH($D53,VL_TDM!$B$11:$B$41,0),1)</f>
        <v>Transit Fare Reduction</v>
      </c>
      <c r="F53" s="322" t="str">
        <f>INDEX(VL_TDM!$AC$11:$AC$41,MATCH($D53,VL_TDM!$B$11:$B$41,0),1)</f>
        <v>Neighborhood/City</v>
      </c>
      <c r="G53" s="322" t="str">
        <f>INDEX(VL_TDM!$AD$11:$AD$41,MATCH($D53,VL_TDM!$B$11:$B$41,0),1)</f>
        <v>All neighborhood/city trips</v>
      </c>
      <c r="H53" s="323" t="str">
        <f>IF(Conflict_Calc!BM38&gt;0,"Conflict with other strategy",INDEX(Calc!$F$11:$F$39,MATCH($D53,Calc!$C$11:$C$39,0),1))</f>
        <v/>
      </c>
      <c r="I53" s="322"/>
      <c r="J53" s="324" t="str">
        <f>IF(H53="","",IF("Not Active"=INDEX(Calc!$D$11:$D$39,MATCH($D53,Calc!$C$11:$C$39,0),1),"Excluded from total",""))</f>
        <v/>
      </c>
      <c r="K53" s="325"/>
      <c r="L53" s="318"/>
    </row>
    <row r="54" spans="1:12" ht="30" customHeight="1">
      <c r="A54" s="60"/>
      <c r="B54" s="319"/>
      <c r="C54" s="321"/>
      <c r="D54" s="503" t="s">
        <v>106</v>
      </c>
      <c r="E54" s="503" t="str">
        <f>INDEX(VL_TDM!$E$11:$E$41,MATCH($D54,VL_TDM!$B$11:$B$41,0),1)</f>
        <v>Microtransit NEV Shuttle</v>
      </c>
      <c r="F54" s="322" t="str">
        <f>INDEX(VL_TDM!$AC$11:$AC$41,MATCH($D54,VL_TDM!$B$11:$B$41,0),1)</f>
        <v>Neighborhood/City</v>
      </c>
      <c r="G54" s="322" t="str">
        <f>INDEX(VL_TDM!$AD$11:$AD$41,MATCH($D54,VL_TDM!$B$11:$B$41,0),1)</f>
        <v>All neighborhood/city trips</v>
      </c>
      <c r="H54" s="323" t="str">
        <f>IF(Conflict_Calc!BM39&gt;0,"Conflict with other strategy",INDEX(Calc!$F$11:$F$39,MATCH($D54,Calc!$C$11:$C$39,0),1))</f>
        <v/>
      </c>
      <c r="I54" s="322"/>
      <c r="J54" s="324" t="str">
        <f>IF(H54="","",IF("Not Active"=INDEX(Calc!$D$11:$D$39,MATCH($D54,Calc!$C$11:$C$39,0),1),"Excluded from total",""))</f>
        <v/>
      </c>
      <c r="K54" s="325"/>
      <c r="L54" s="318"/>
    </row>
    <row r="55" spans="1:12" ht="15.75" customHeight="1" thickBot="1">
      <c r="A55" s="60"/>
      <c r="B55" s="319"/>
      <c r="C55" s="320"/>
      <c r="D55" s="320"/>
      <c r="E55" s="320"/>
      <c r="F55" s="302"/>
      <c r="G55" s="302"/>
      <c r="H55" s="326"/>
      <c r="I55" s="302"/>
      <c r="J55" s="306"/>
      <c r="K55" s="325"/>
      <c r="L55" s="21"/>
    </row>
    <row r="56" spans="1:12" ht="18" customHeight="1" thickBot="1">
      <c r="A56" s="60"/>
      <c r="B56" s="327"/>
      <c r="C56" s="328"/>
      <c r="D56" s="328"/>
      <c r="E56" s="329" t="s">
        <v>149</v>
      </c>
      <c r="F56" s="330"/>
      <c r="G56" s="330"/>
      <c r="H56" s="331">
        <f>-Calc!J8</f>
        <v>0</v>
      </c>
      <c r="I56" s="302"/>
      <c r="J56" s="306"/>
      <c r="K56" s="332"/>
      <c r="L56" s="318"/>
    </row>
    <row r="57" spans="1:12" ht="7.35" customHeight="1" thickBot="1">
      <c r="A57" s="60"/>
      <c r="B57" s="327"/>
      <c r="C57" s="328"/>
      <c r="D57" s="328"/>
      <c r="E57" s="302"/>
      <c r="F57" s="333"/>
      <c r="G57" s="333"/>
      <c r="H57" s="334"/>
      <c r="I57" s="302"/>
      <c r="J57" s="306"/>
      <c r="K57" s="332"/>
      <c r="L57" s="318"/>
    </row>
    <row r="58" spans="1:12" ht="18" customHeight="1" thickBot="1">
      <c r="A58" s="60"/>
      <c r="B58" s="327"/>
      <c r="C58" s="328"/>
      <c r="D58" s="328"/>
      <c r="E58" s="335" t="s">
        <v>150</v>
      </c>
      <c r="F58" s="336"/>
      <c r="G58" s="336"/>
      <c r="H58" s="331">
        <f>-Calc!K8</f>
        <v>0</v>
      </c>
      <c r="I58" s="302"/>
      <c r="J58" s="306"/>
      <c r="K58" s="332"/>
      <c r="L58" s="318"/>
    </row>
    <row r="59" spans="1:12" ht="7.35" customHeight="1" thickBot="1">
      <c r="A59" s="60"/>
      <c r="B59" s="327"/>
      <c r="C59" s="328"/>
      <c r="D59" s="328"/>
      <c r="E59" s="333"/>
      <c r="F59" s="333"/>
      <c r="G59" s="333"/>
      <c r="H59" s="337"/>
      <c r="I59" s="302"/>
      <c r="J59" s="306"/>
      <c r="K59" s="332"/>
      <c r="L59" s="318"/>
    </row>
    <row r="60" spans="1:12" ht="18" customHeight="1" thickBot="1">
      <c r="A60" s="60"/>
      <c r="B60" s="327"/>
      <c r="C60" s="328"/>
      <c r="D60" s="328"/>
      <c r="E60" s="329" t="s">
        <v>151</v>
      </c>
      <c r="F60" s="330"/>
      <c r="G60" s="330"/>
      <c r="H60" s="331">
        <f>-Calc!I8</f>
        <v>0</v>
      </c>
      <c r="I60" s="302"/>
      <c r="J60" s="306"/>
      <c r="K60" s="332"/>
      <c r="L60" s="318"/>
    </row>
    <row r="61" spans="1:12" ht="7.35" customHeight="1" thickBot="1">
      <c r="A61" s="60"/>
      <c r="B61" s="327"/>
      <c r="C61" s="328"/>
      <c r="D61" s="328"/>
      <c r="E61" s="333"/>
      <c r="F61" s="333"/>
      <c r="G61" s="333"/>
      <c r="H61" s="338"/>
      <c r="I61" s="302"/>
      <c r="J61" s="306"/>
      <c r="K61" s="332"/>
      <c r="L61" s="318"/>
    </row>
    <row r="62" spans="1:12" ht="18" customHeight="1" thickBot="1">
      <c r="A62" s="60"/>
      <c r="B62" s="327"/>
      <c r="C62" s="328"/>
      <c r="D62" s="328"/>
      <c r="E62" s="335" t="s">
        <v>152</v>
      </c>
      <c r="F62" s="336"/>
      <c r="G62" s="336"/>
      <c r="H62" s="331">
        <f>-Calc!L8</f>
        <v>0</v>
      </c>
      <c r="I62" s="302"/>
      <c r="J62" s="306"/>
      <c r="K62" s="332"/>
      <c r="L62" s="318"/>
    </row>
    <row r="63" spans="1:12">
      <c r="A63" s="16"/>
      <c r="B63" s="309"/>
      <c r="C63" s="310"/>
      <c r="D63" s="310"/>
      <c r="E63" s="310"/>
      <c r="F63" s="310"/>
      <c r="G63" s="310"/>
      <c r="H63" s="339"/>
      <c r="I63" s="310"/>
      <c r="J63" s="311"/>
      <c r="K63" s="312"/>
      <c r="L63" s="22"/>
    </row>
    <row r="64" spans="1:12" ht="21" customHeight="1">
      <c r="A64" s="16"/>
      <c r="B64" s="340"/>
      <c r="C64" s="340"/>
      <c r="D64" s="340"/>
      <c r="E64" s="340"/>
      <c r="F64" s="341"/>
      <c r="G64" s="341"/>
      <c r="H64" s="341"/>
      <c r="I64" s="341"/>
      <c r="J64" s="340"/>
      <c r="K64" s="340"/>
      <c r="L64" s="16"/>
    </row>
    <row r="65" spans="1:12" ht="21" customHeight="1">
      <c r="A65" s="16"/>
      <c r="B65" s="587" t="str">
        <f>CONCATENATE("Citations for all ", B23)</f>
        <v xml:space="preserve">Citations for all </v>
      </c>
      <c r="C65" s="588"/>
      <c r="D65" s="588"/>
      <c r="E65" s="588"/>
      <c r="F65" s="588"/>
      <c r="G65" s="588"/>
      <c r="H65" s="588"/>
      <c r="I65" s="588"/>
      <c r="J65" s="588"/>
      <c r="K65" s="589"/>
      <c r="L65" s="16"/>
    </row>
    <row r="66" spans="1:12" ht="15" customHeight="1">
      <c r="A66" s="16"/>
      <c r="B66" s="342"/>
      <c r="C66" s="343"/>
      <c r="D66" s="343"/>
      <c r="E66" s="343"/>
      <c r="F66" s="343"/>
      <c r="G66" s="343"/>
      <c r="H66" s="343"/>
      <c r="I66" s="343"/>
      <c r="J66" s="343"/>
      <c r="K66" s="344"/>
      <c r="L66" s="16"/>
    </row>
    <row r="67" spans="1:12" ht="15" customHeight="1">
      <c r="A67" s="16"/>
      <c r="B67" s="345"/>
      <c r="C67" s="346" t="s">
        <v>54</v>
      </c>
      <c r="D67" s="347" t="str">
        <f>INDEX(VL_TDM!$E$11:$E$41,MATCH($C67,VL_TDM!$B$11:$B$41,0),1)</f>
        <v>Voluntary Employer Commute Program</v>
      </c>
      <c r="E67" s="348"/>
      <c r="F67" s="348"/>
      <c r="G67" s="348"/>
      <c r="H67" s="348"/>
      <c r="I67" s="348"/>
      <c r="J67" s="348"/>
      <c r="K67" s="349"/>
      <c r="L67" s="16"/>
    </row>
    <row r="68" spans="1:12" ht="60" customHeight="1">
      <c r="A68" s="16"/>
      <c r="B68" s="350"/>
      <c r="C68" s="593" t="str">
        <f>'1A VCTR program'!$C$27</f>
        <v>(1) Boarnet, M., Hsu, H., Handy, S. 2014. Impacts of Employer-Based Trip Reduction Programs and Vanpools on Passenger Vehicle Use and Greenhouse Gas Emissions. September. Available: https://ww2.arb.ca.gov/sites/default/files/2020-06/Impacts_of_Employer- Based_Trip_Reduction_Programs_and_Vanpools_on_Passenger_Vehicle_Use_and_Greenhouse_Ga s_Emissions_Policy_Brief.pdf. Accessed: January 2021.</v>
      </c>
      <c r="D68" s="594"/>
      <c r="E68" s="594"/>
      <c r="F68" s="594"/>
      <c r="G68" s="594"/>
      <c r="H68" s="594"/>
      <c r="I68" s="594"/>
      <c r="J68" s="594"/>
      <c r="K68" s="349"/>
      <c r="L68" s="16"/>
    </row>
    <row r="69" spans="1:12" ht="15" customHeight="1">
      <c r="A69" s="16"/>
      <c r="B69" s="350"/>
      <c r="C69" s="351"/>
      <c r="D69" s="351"/>
      <c r="E69" s="351"/>
      <c r="F69" s="351"/>
      <c r="G69" s="351"/>
      <c r="H69" s="351"/>
      <c r="I69" s="351"/>
      <c r="J69" s="351"/>
      <c r="K69" s="349"/>
      <c r="L69" s="16"/>
    </row>
    <row r="70" spans="1:12" ht="15" customHeight="1">
      <c r="A70" s="16"/>
      <c r="B70" s="350"/>
      <c r="C70" s="346" t="s">
        <v>58</v>
      </c>
      <c r="D70" s="347" t="str">
        <f>INDEX(VL_TDM!$E$11:$E$41,MATCH($C70,VL_TDM!$B$11:$B$41,0),1)</f>
        <v>Mandatory Employer Commute Program</v>
      </c>
      <c r="E70" s="348"/>
      <c r="F70" s="348"/>
      <c r="G70" s="348"/>
      <c r="H70" s="348"/>
      <c r="I70" s="348"/>
      <c r="J70" s="348"/>
      <c r="K70" s="349"/>
      <c r="L70" s="16"/>
    </row>
    <row r="71" spans="1:12" ht="42.95" customHeight="1">
      <c r="A71" s="16"/>
      <c r="B71" s="352"/>
      <c r="C71" s="593" t="str">
        <f>'1B CTR program'!$C$29</f>
        <v>(1) Nelson/Nygaard Consulting Associates. 2015. Genentech – South San Francisco Campus TDM and Parking Report. June. Available: http://ci-ssfca. granicus.com/MetaViewer.php?view_id=2&amp;clip_id=859&amp;meta_id=62028. Accessed: January 2021.</v>
      </c>
      <c r="D71" s="594"/>
      <c r="E71" s="594"/>
      <c r="F71" s="594"/>
      <c r="G71" s="594"/>
      <c r="H71" s="594"/>
      <c r="I71" s="594"/>
      <c r="J71" s="594"/>
      <c r="K71" s="317"/>
      <c r="L71" s="22"/>
    </row>
    <row r="72" spans="1:12" ht="15" customHeight="1">
      <c r="A72" s="16"/>
      <c r="B72" s="345"/>
      <c r="C72" s="348"/>
      <c r="D72" s="348"/>
      <c r="E72" s="348"/>
      <c r="F72" s="348"/>
      <c r="G72" s="348"/>
      <c r="H72" s="348"/>
      <c r="I72" s="348"/>
      <c r="J72" s="348"/>
      <c r="K72" s="349"/>
      <c r="L72" s="16"/>
    </row>
    <row r="73" spans="1:12" ht="15" customHeight="1">
      <c r="A73" s="16"/>
      <c r="B73" s="350"/>
      <c r="C73" s="346" t="s">
        <v>62</v>
      </c>
      <c r="D73" s="347" t="str">
        <f>INDEX(VL_TDM!$E$11:$E$41,MATCH($C73,VL_TDM!$B$11:$B$41,0),1)</f>
        <v>Employer Carpool Program</v>
      </c>
      <c r="E73" s="348"/>
      <c r="F73" s="348"/>
      <c r="G73" s="348"/>
      <c r="H73" s="348"/>
      <c r="I73" s="348"/>
      <c r="J73" s="348"/>
      <c r="K73" s="349"/>
      <c r="L73" s="16"/>
    </row>
    <row r="74" spans="1:12" ht="75" customHeight="1">
      <c r="A74" s="16"/>
      <c r="B74" s="350"/>
      <c r="C74" s="593" t="str">
        <f>'1C carpool'!$C$22</f>
        <v>(1) San Diego Association of Governments (SANDAG). 2019. Mobility Management VMT Reduction
Calculator Tool – Design Document. June. Available:
https://www.icommutesd.com/docs/default-source/planning/tool-design-document_final_7-
17-19.pdf?sfvrsn=ec39eb3b_2. Accessed: January 2021.</v>
      </c>
      <c r="D74" s="594"/>
      <c r="E74" s="594"/>
      <c r="F74" s="594"/>
      <c r="G74" s="594"/>
      <c r="H74" s="594"/>
      <c r="I74" s="594"/>
      <c r="J74" s="594"/>
      <c r="K74" s="349"/>
      <c r="L74" s="16"/>
    </row>
    <row r="75" spans="1:12" ht="15" customHeight="1">
      <c r="A75" s="16"/>
      <c r="B75" s="350"/>
      <c r="C75" s="351"/>
      <c r="D75" s="351"/>
      <c r="E75" s="351"/>
      <c r="F75" s="351"/>
      <c r="G75" s="351"/>
      <c r="H75" s="351"/>
      <c r="I75" s="351"/>
      <c r="J75" s="351"/>
      <c r="K75" s="353"/>
      <c r="L75" s="16"/>
    </row>
    <row r="76" spans="1:12" ht="15" customHeight="1">
      <c r="A76" s="16"/>
      <c r="B76" s="352"/>
      <c r="C76" s="346" t="s">
        <v>66</v>
      </c>
      <c r="D76" s="347" t="str">
        <f>INDEX(VL_TDM!$E$11:$E$41,MATCH($C76,VL_TDM!$B$11:$B$41,0),1)</f>
        <v>Implement Subsidized or Discounted Transit Program (for Employees)</v>
      </c>
      <c r="E76" s="348"/>
      <c r="F76" s="348"/>
      <c r="G76" s="348"/>
      <c r="H76" s="348"/>
      <c r="I76" s="348"/>
      <c r="J76" s="348"/>
      <c r="K76" s="317"/>
      <c r="L76" s="22"/>
    </row>
    <row r="77" spans="1:12" ht="165" customHeight="1">
      <c r="A77" s="16"/>
      <c r="B77" s="345"/>
      <c r="C77" s="593" t="str">
        <f>'1D1 transit subsidy (employees)'!$C$38</f>
        <v>(1) Federal Highway Administration (FHWA). 2017. National Household Travel Survey – 2017 Table Designer. Travel Day PMT by TRPTRANS by HH_CBSA, Workers by WRKTRANS by HH_CBSA. Available: https://nhts.ornl.gov/. Accessed: January 2021. 
(2) Handy, L., Boarnet, S. 2013. Impacts of Transit Service Strategies on Passenger Vehicle Use and Greenhouse Gas Emissions. Available: http://www.arb.ca.gov/cc/sb375/policies/transitservice/transit_brief.pdf. Accessed: January 2021. 
(3) Litman, T. 2020a. Transit Price Elasticities and Cross-elasticities. Victoria Transport Policy Institute. April. Available: https://www.vtpi.org/tranelas.pdf. Accessed: January 2021. 
(4) Taylor, B., Miller, D., Iseki, H., &amp; Fink, C. 2008. Nature and/or Nurture? Analyzing the Determinants of Transit Ridership Across US Urbanized Areas. Transportation Research Part A: Policy and Practice, 43(1), 60-77. Available: https://citeseerx.ist.psu.edu/viewdoc/download?doi=10.1.1.367.5311&amp;rep=rep1&amp;type=pdf. Accessed: January 2021.</v>
      </c>
      <c r="D77" s="594"/>
      <c r="E77" s="594"/>
      <c r="F77" s="594"/>
      <c r="G77" s="594"/>
      <c r="H77" s="594"/>
      <c r="I77" s="594"/>
      <c r="J77" s="594"/>
      <c r="K77" s="349"/>
      <c r="L77" s="16"/>
    </row>
    <row r="78" spans="1:12" ht="15" customHeight="1">
      <c r="A78" s="16"/>
      <c r="B78" s="350"/>
      <c r="C78" s="351"/>
      <c r="D78" s="351"/>
      <c r="E78" s="351"/>
      <c r="F78" s="351"/>
      <c r="G78" s="351"/>
      <c r="H78" s="351"/>
      <c r="I78" s="351"/>
      <c r="J78" s="351"/>
      <c r="K78" s="353"/>
      <c r="L78" s="16"/>
    </row>
    <row r="79" spans="1:12" ht="15" customHeight="1">
      <c r="A79" s="16"/>
      <c r="B79" s="352"/>
      <c r="C79" s="346" t="s">
        <v>70</v>
      </c>
      <c r="D79" s="347" t="str">
        <f>INDEX(VL_TDM!$E$11:$E$41,MATCH($C79,VL_TDM!$B$11:$B$41,0),1)</f>
        <v>Implement Subsidized or Discounted Transit Program (for Residents)</v>
      </c>
      <c r="E79" s="348"/>
      <c r="F79" s="348"/>
      <c r="G79" s="348"/>
      <c r="H79" s="348"/>
      <c r="I79" s="348"/>
      <c r="J79" s="348"/>
      <c r="K79" s="317"/>
      <c r="L79" s="22"/>
    </row>
    <row r="80" spans="1:12" ht="165" customHeight="1">
      <c r="A80" s="16"/>
      <c r="B80" s="345"/>
      <c r="C80" s="593" t="str">
        <f>'1D2 transit subsidy (residents)'!$C$40</f>
        <v>(1) Federal Highway Administration (FHWA). 2017. National Household Travel Survey – 2017 Table Designer. Travel Day PMT by TRPTRANS by HH_CBSA, Workers by WRKTRANS by HH_CBSA. Available: https://nhts.ornl.gov/. Accessed: January 2021. 
(2) Handy, L., Boarnet, S. 2013. Impacts of Transit Service Strategies on Passenger Vehicle Use and Greenhouse Gas Emissions. Available: http://www.arb.ca.gov/cc/sb375/policies/transitservice/transit_brief.pdf. Accessed: January 2021. 
(3) Litman, T. 2020a. Transit Price Elasticities and Cross-elasticities. Victoria Transport Policy Institute. April. Available: https://www.vtpi.org/tranelas.pdf. Accessed: January 2021. 
(4) Taylor, B., Miller, D., Iseki, H., &amp; Fink, C. 2008. Nature and/or Nurture? Analyzing the Determinants of Transit Ridership Across US Urbanized Areas. Transportation Research Part A: Policy and Practice, 43(1), 60-77. Available: https://citeseerx.ist.psu.edu/viewdoc/download?doi=10.1.1.367.5311&amp;rep=rep1&amp;type=pdf. Accessed: January 2021.</v>
      </c>
      <c r="D80" s="594"/>
      <c r="E80" s="594"/>
      <c r="F80" s="594"/>
      <c r="G80" s="594"/>
      <c r="H80" s="594"/>
      <c r="I80" s="594"/>
      <c r="J80" s="594"/>
      <c r="K80" s="349"/>
      <c r="L80" s="16"/>
    </row>
    <row r="81" spans="1:12" ht="15" customHeight="1">
      <c r="A81" s="16"/>
      <c r="B81" s="350"/>
      <c r="C81" s="351"/>
      <c r="D81" s="351"/>
      <c r="E81" s="351"/>
      <c r="F81" s="351"/>
      <c r="G81" s="351"/>
      <c r="H81" s="351"/>
      <c r="I81" s="351"/>
      <c r="J81" s="351"/>
      <c r="K81" s="353"/>
      <c r="L81" s="16"/>
    </row>
    <row r="82" spans="1:12" ht="15" customHeight="1">
      <c r="A82" s="16"/>
      <c r="B82" s="350"/>
      <c r="C82" s="346" t="s">
        <v>74</v>
      </c>
      <c r="D82" s="347" t="str">
        <f>INDEX(VL_TDM!$E$11:$E$41,MATCH($C82,VL_TDM!$B$11:$B$41,0),1)</f>
        <v>Employer Vanpool Program</v>
      </c>
      <c r="E82" s="348"/>
      <c r="F82" s="348"/>
      <c r="G82" s="348"/>
      <c r="H82" s="348"/>
      <c r="I82" s="348"/>
      <c r="J82" s="348"/>
      <c r="K82" s="353"/>
      <c r="L82" s="16"/>
    </row>
    <row r="83" spans="1:12" ht="91.7" customHeight="1">
      <c r="A83" s="16"/>
      <c r="B83" s="350"/>
      <c r="C83" s="593" t="str">
        <f>'1E vanpool'!$C$41</f>
        <v>(1) Federal Highway Administration (FHWA). 2017. National Household Travel Survey – 2017 Table Designer. Travel Day VT by HH_CBSA by TRPTRANS by TRIPPURP. Available: https://nhts.ornl.gov/. Accessed: January 2021. 
(2) San Diego Association of Governments (SANDAG). 2019. Mobility Management VMT Reduction Calculator Tool – Design Document. June. Available: https://www.icommutesd.com/docs/default-source/planning/tool-design-document_final_7- 17-19.pdf?sfvrsn=ec39eb3b_2. Accessed: January 2021.</v>
      </c>
      <c r="D83" s="594"/>
      <c r="E83" s="594"/>
      <c r="F83" s="594"/>
      <c r="G83" s="594"/>
      <c r="H83" s="594"/>
      <c r="I83" s="594"/>
      <c r="J83" s="594"/>
      <c r="K83" s="353"/>
      <c r="L83" s="16"/>
    </row>
    <row r="84" spans="1:12" ht="15" customHeight="1">
      <c r="A84" s="16"/>
      <c r="B84" s="350"/>
      <c r="C84" s="351"/>
      <c r="D84" s="351"/>
      <c r="E84" s="351"/>
      <c r="F84" s="351"/>
      <c r="G84" s="351"/>
      <c r="H84" s="351"/>
      <c r="I84" s="351"/>
      <c r="J84" s="351"/>
      <c r="K84" s="353"/>
      <c r="L84" s="16"/>
    </row>
    <row r="85" spans="1:12" ht="15" customHeight="1">
      <c r="A85" s="16"/>
      <c r="B85" s="352"/>
      <c r="C85" s="346" t="s">
        <v>78</v>
      </c>
      <c r="D85" s="347" t="str">
        <f>INDEX(VL_TDM!$E$11:$E$41,MATCH($C85,VL_TDM!$B$11:$B$41,0),1)</f>
        <v>Employer Telework Program</v>
      </c>
      <c r="E85" s="348"/>
      <c r="F85" s="348"/>
      <c r="G85" s="348"/>
      <c r="H85" s="348"/>
      <c r="I85" s="348"/>
      <c r="J85" s="348"/>
      <c r="K85" s="317"/>
      <c r="L85" s="22"/>
    </row>
    <row r="86" spans="1:12" ht="89.1" customHeight="1">
      <c r="A86" s="16"/>
      <c r="B86" s="345"/>
      <c r="C86" s="593" t="str">
        <f>'1F telecommute'!$C$22</f>
        <v xml:space="preserve">(1). Cambridge Systematics. 2009. "Moving Cooler: An Analysis of Transportation Strategies for Reducing Greenhouse Gas Emissions." Technical Appendices. Prepared for the Urban Land Institute. www.reconnectingamerica.org/assets/Uploads/2009movingcoolerexecsumandappend.pdf
(2). California Air Pollution Control Officers Association. 2010. "Quantifying Greenhouse Gas Mitigation Measures." www.capcoa.org/wp-content/uploads/2010/11/CAPCOA-Quantification-Report-9-14-Final.pdf </v>
      </c>
      <c r="D86" s="594"/>
      <c r="E86" s="594"/>
      <c r="F86" s="594"/>
      <c r="G86" s="594"/>
      <c r="H86" s="594"/>
      <c r="I86" s="594"/>
      <c r="J86" s="594"/>
      <c r="K86" s="349"/>
      <c r="L86" s="16"/>
    </row>
    <row r="87" spans="1:12" ht="15" customHeight="1">
      <c r="A87" s="16"/>
      <c r="B87" s="350"/>
      <c r="C87" s="351"/>
      <c r="D87" s="351"/>
      <c r="E87" s="351"/>
      <c r="F87" s="351"/>
      <c r="G87" s="351"/>
      <c r="H87" s="351"/>
      <c r="I87" s="351"/>
      <c r="J87" s="351"/>
      <c r="K87" s="353"/>
      <c r="L87" s="16"/>
    </row>
    <row r="88" spans="1:12" ht="15" customHeight="1">
      <c r="A88" s="16"/>
      <c r="B88" s="350"/>
      <c r="C88" s="346" t="s">
        <v>86</v>
      </c>
      <c r="D88" s="347" t="str">
        <f>INDEX(VL_TDM!$E$11:$E$41,MATCH($C88,VL_TDM!$B$11:$B$41,0),1)</f>
        <v>Transit Oriented Development</v>
      </c>
      <c r="E88" s="348"/>
      <c r="F88" s="348"/>
      <c r="G88" s="348"/>
      <c r="H88" s="348"/>
      <c r="I88" s="348"/>
      <c r="J88" s="348"/>
      <c r="K88" s="353"/>
      <c r="L88" s="16"/>
    </row>
    <row r="89" spans="1:12" ht="144.94999999999999" customHeight="1">
      <c r="A89" s="16"/>
      <c r="B89" s="350"/>
      <c r="C89" s="593" t="str">
        <f>'2A TOD'!$C$37</f>
        <v>(1) Tal, G., et al. 2013. "Technical Background Document on the Impacts of Transit Access (Distance to Transit) Based on a Review of the Empirical Literature." www.arb.ca.gov/cc/sb375/policies/transitservice/transit_brief.pdf
(2) Federal Highway Administration. 2017a. National Household Travel Survey – 2017 Table Designer. Travel Day PMT by TRPTRANS by HH_CBSA. Available: https://nhts.ornl.gov/. Accessed: January 2021. 
(3) Federal Highway Administration. 2017b. National Household Travel Survey – 2017 Table Designer. Average Vehicle Occupancy by HHSTFIPS. Available: https://nhts.ornl.gov/. Accessed: January 2021. 
(4) Lund, H., Cervero, R., and Wilson, R. 2004. Travel Characteristics of Transit-Oriented Development in California. January. Available: https://community-wealth.org/sites/clone.communitywealth. org/files/downloads/report-lund-cerv-wil.pdf. Accessed: January 2021.</v>
      </c>
      <c r="D89" s="594"/>
      <c r="E89" s="594"/>
      <c r="F89" s="594"/>
      <c r="G89" s="594"/>
      <c r="H89" s="594"/>
      <c r="I89" s="594"/>
      <c r="J89" s="594"/>
      <c r="K89" s="353"/>
      <c r="L89" s="16"/>
    </row>
    <row r="90" spans="1:12" ht="15" customHeight="1">
      <c r="A90" s="16"/>
      <c r="B90" s="352"/>
      <c r="C90" s="306"/>
      <c r="D90" s="306"/>
      <c r="E90" s="306"/>
      <c r="F90" s="306"/>
      <c r="G90" s="316"/>
      <c r="H90" s="306"/>
      <c r="I90" s="354"/>
      <c r="J90" s="354"/>
      <c r="K90" s="317"/>
      <c r="L90" s="22"/>
    </row>
    <row r="91" spans="1:12" ht="15" customHeight="1">
      <c r="A91" s="16"/>
      <c r="B91" s="345"/>
      <c r="C91" s="346" t="s">
        <v>89</v>
      </c>
      <c r="D91" s="347" t="str">
        <f>INDEX(VL_TDM!$E$11:$E$41,MATCH($C91,VL_TDM!$B$11:$B$41,0),1)</f>
        <v>Increase Residential Density</v>
      </c>
      <c r="E91" s="348"/>
      <c r="F91" s="348"/>
      <c r="G91" s="348"/>
      <c r="H91" s="348"/>
      <c r="I91" s="348"/>
      <c r="J91" s="348"/>
      <c r="K91" s="349"/>
      <c r="L91" s="16"/>
    </row>
    <row r="92" spans="1:12" ht="103.5" customHeight="1">
      <c r="A92" s="16"/>
      <c r="B92" s="350"/>
      <c r="C92" s="593" t="str">
        <f>'2B1 Inc Res Dens'!$C$29</f>
        <v>(1) Ewing, R., Bartholomew, K., Winkelman, S., Walters, J., Chen, D. 2007. Growing Cooler: The Evidence on Urban Development and Climate Change. October. Available: https://www.nrdc.org/sites/default/files/cit_07092401a.pdf. Accessed: January 2021.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v>
      </c>
      <c r="D92" s="594"/>
      <c r="E92" s="594"/>
      <c r="F92" s="594"/>
      <c r="G92" s="594"/>
      <c r="H92" s="594"/>
      <c r="I92" s="594"/>
      <c r="J92" s="594"/>
      <c r="K92" s="353"/>
      <c r="L92" s="16"/>
    </row>
    <row r="93" spans="1:12" ht="15" customHeight="1">
      <c r="A93" s="16"/>
      <c r="B93" s="350"/>
      <c r="C93" s="351"/>
      <c r="D93" s="351"/>
      <c r="E93" s="351"/>
      <c r="F93" s="351"/>
      <c r="G93" s="351"/>
      <c r="H93" s="351"/>
      <c r="I93" s="351"/>
      <c r="J93" s="351"/>
      <c r="K93" s="353"/>
      <c r="L93" s="16"/>
    </row>
    <row r="94" spans="1:12" ht="15" customHeight="1">
      <c r="A94" s="16"/>
      <c r="B94" s="350"/>
      <c r="C94" s="346" t="s">
        <v>92</v>
      </c>
      <c r="D94" s="347" t="str">
        <f>INDEX(VL_TDM!$E$11:$E$41,MATCH($C94,VL_TDM!$B$11:$B$41,0),1)</f>
        <v>Increase Employment Density</v>
      </c>
      <c r="E94" s="348"/>
      <c r="F94" s="348"/>
      <c r="G94" s="348"/>
      <c r="H94" s="348"/>
      <c r="I94" s="348"/>
      <c r="J94" s="348"/>
      <c r="K94" s="353"/>
      <c r="L94" s="16"/>
    </row>
    <row r="95" spans="1:12" ht="101.25" customHeight="1">
      <c r="A95" s="16"/>
      <c r="B95" s="350"/>
      <c r="C95" s="593" t="str">
        <f>'2B2 Inc Emp Dens'!$C$29</f>
        <v>(1) Institute of Transportation Engineers (ITE). Trip Generation Manual. 10th Edition. Available: https://www.ite.org/technical-resources/topics/trip-and-parking-generation/trip-generation- 10th-edition-formats/. Accessed: January 2021.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v>
      </c>
      <c r="D95" s="594"/>
      <c r="E95" s="594"/>
      <c r="F95" s="594"/>
      <c r="G95" s="594"/>
      <c r="H95" s="594"/>
      <c r="I95" s="594"/>
      <c r="J95" s="594"/>
      <c r="K95" s="353"/>
      <c r="L95" s="16"/>
    </row>
    <row r="96" spans="1:12" ht="15" customHeight="1">
      <c r="A96" s="16"/>
      <c r="B96" s="350"/>
      <c r="C96" s="351"/>
      <c r="D96" s="351"/>
      <c r="E96" s="351"/>
      <c r="F96" s="351"/>
      <c r="G96" s="351"/>
      <c r="H96" s="351"/>
      <c r="I96" s="351"/>
      <c r="J96" s="351"/>
      <c r="K96" s="353"/>
      <c r="L96" s="16"/>
    </row>
    <row r="97" spans="1:12" ht="15" customHeight="1">
      <c r="A97" s="16"/>
      <c r="B97" s="352"/>
      <c r="C97" s="346" t="s">
        <v>96</v>
      </c>
      <c r="D97" s="347" t="str">
        <f>INDEX(VL_TDM!$E$11:$E$41,MATCH($C97,VL_TDM!$B$11:$B$41,0),1)</f>
        <v>Integrate Affordable and Below Market Rate Housing</v>
      </c>
      <c r="E97" s="348"/>
      <c r="F97" s="348"/>
      <c r="G97" s="348"/>
      <c r="H97" s="348"/>
      <c r="I97" s="348"/>
      <c r="J97" s="348"/>
      <c r="K97" s="317"/>
      <c r="L97" s="22"/>
    </row>
    <row r="98" spans="1:12" ht="158.25" customHeight="1">
      <c r="A98" s="16"/>
      <c r="B98" s="345"/>
      <c r="C98" s="593" t="str">
        <f>'2C affordable housing'!$C$24</f>
        <v>(1) Bento, Antonio M., Maureen L. Cropper, Ahmed Mushfiq Mobarak, and Katja Vinha. 2005. “The Effects of Urban Spatial Structure on Travel Demand in the United States.” The Review of Economics and Statistics 87,3: 466-478.
(2) Nelson\Nygaard, 2005. Crediting Low-Traffic Developments (p.15). http://www.montgomeryplanning.org/transportation/documents/TripGenerationAn alysisUsingURBEMIS.pdf Criteron Planner/Engineers and Fehr &amp; Peers Associates (2001). 
(3) Index 4D Method. A Quick-Response Method of Estimating Travel Impacts from Land- Use Changes. Technical Memorandum prepared for US EPA, October 2001. 
(4) Holtzclaw, John; Clear, Robert; Dittmar, Hank; Goldstein, David; and Haas, Peter (2002), “Location Efficiency: Neighborhood and Socio-Economic Characteristics Determine Auto Ownership and Use – Studies in Chicago, Los Angeles and San Francisco”, Transportation Planning and Technology, 25 (1): 1-27.</v>
      </c>
      <c r="D98" s="594"/>
      <c r="E98" s="594"/>
      <c r="F98" s="594"/>
      <c r="G98" s="594"/>
      <c r="H98" s="594"/>
      <c r="I98" s="594"/>
      <c r="J98" s="594"/>
      <c r="K98" s="349"/>
      <c r="L98" s="16"/>
    </row>
    <row r="99" spans="1:12" ht="15" customHeight="1">
      <c r="A99" s="16"/>
      <c r="B99" s="350"/>
      <c r="C99" s="351"/>
      <c r="D99" s="351"/>
      <c r="E99" s="351"/>
      <c r="F99" s="351"/>
      <c r="G99" s="351"/>
      <c r="H99" s="351"/>
      <c r="I99" s="351"/>
      <c r="J99" s="351"/>
      <c r="K99" s="353"/>
      <c r="L99" s="16"/>
    </row>
    <row r="100" spans="1:12" ht="15" customHeight="1">
      <c r="A100" s="16"/>
      <c r="B100" s="350"/>
      <c r="C100" s="346" t="s">
        <v>108</v>
      </c>
      <c r="D100" s="347" t="str">
        <f>INDEX(VL_TDM!$E$11:$E$41,MATCH($C100,VL_TDM!$B$11:$B$41,0),1)</f>
        <v>Price Workplace Parking</v>
      </c>
      <c r="E100" s="348"/>
      <c r="F100" s="348"/>
      <c r="G100" s="348"/>
      <c r="H100" s="348"/>
      <c r="I100" s="348"/>
      <c r="J100" s="348"/>
      <c r="K100" s="353"/>
      <c r="L100" s="16"/>
    </row>
    <row r="101" spans="1:12" ht="33" customHeight="1">
      <c r="A101" s="16"/>
      <c r="B101" s="350"/>
      <c r="C101" s="593" t="str">
        <f>'3A1 price emp parking'!$C$32</f>
        <v xml:space="preserve">(1) Lehner, S., Stefanie, P. 2019. The Price Elasticity of Parking: A Meta-analysis. Transportation Research Part A: Policy and Practice 121 2019. Available: http://sustainabletransportationsc.org/garage/pdf/parking_elasticity.pdf. Accessed: January 2021. </v>
      </c>
      <c r="D101" s="594"/>
      <c r="E101" s="594"/>
      <c r="F101" s="594"/>
      <c r="G101" s="594"/>
      <c r="H101" s="594"/>
      <c r="I101" s="594"/>
      <c r="J101" s="594"/>
      <c r="K101" s="353"/>
      <c r="L101" s="16"/>
    </row>
    <row r="102" spans="1:12">
      <c r="A102" s="16"/>
      <c r="B102" s="350"/>
      <c r="C102" s="351"/>
      <c r="D102" s="351"/>
      <c r="E102" s="351"/>
      <c r="F102" s="351"/>
      <c r="G102" s="351"/>
      <c r="H102" s="351"/>
      <c r="I102" s="351"/>
      <c r="J102" s="351"/>
      <c r="K102" s="353"/>
      <c r="L102" s="16"/>
    </row>
    <row r="103" spans="1:12">
      <c r="A103" s="16"/>
      <c r="B103" s="350"/>
      <c r="C103" s="346" t="s">
        <v>110</v>
      </c>
      <c r="D103" s="347" t="str">
        <f>INDEX(VL_TDM!$E$11:$E$41,MATCH($C103,VL_TDM!$B$11:$B$41,0),1)</f>
        <v>Unbundle Parking Costs from Property Cost</v>
      </c>
      <c r="E103" s="348"/>
      <c r="F103" s="348"/>
      <c r="G103" s="348"/>
      <c r="H103" s="348"/>
      <c r="I103" s="348"/>
      <c r="J103" s="348"/>
      <c r="K103" s="353"/>
      <c r="L103" s="16"/>
    </row>
    <row r="104" spans="1:12" ht="94.5" customHeight="1">
      <c r="A104" s="16"/>
      <c r="B104" s="350"/>
      <c r="C104" s="593" t="str">
        <f>'3A2 price res parking'!$C$34</f>
        <v>(1) AAA. 2019. Your Driving Costs. September. Available: https://exchange.aaa.com/wpcontent/uploads/2019/09/AAA-Your-Driving-Costs-2019.pdf. Accessed: January 2021.
(2) California Department of Transportation (Caltrans). 2002. 2000–2001 California Statewide Household Travel Survey Final Report. Available: https://trid.trb.org/view.aspx?id=681358. Accessed: January 2021.
(3) Litman, T. 2020. Parking Requirement Impacts on Housing Affordability. June. Available: https://www.vtpi.org/park-hou.pdf. Accessed: January 2021.</v>
      </c>
      <c r="D104" s="594"/>
      <c r="E104" s="594"/>
      <c r="F104" s="594"/>
      <c r="G104" s="594"/>
      <c r="H104" s="594"/>
      <c r="I104" s="594"/>
      <c r="J104" s="594"/>
      <c r="K104" s="353"/>
      <c r="L104" s="16"/>
    </row>
    <row r="105" spans="1:12" ht="15" customHeight="1">
      <c r="A105" s="16"/>
      <c r="B105" s="350"/>
      <c r="C105" s="351"/>
      <c r="D105" s="351"/>
      <c r="E105" s="351"/>
      <c r="F105" s="351"/>
      <c r="G105" s="351"/>
      <c r="H105" s="351"/>
      <c r="I105" s="351"/>
      <c r="J105" s="351"/>
      <c r="K105" s="353"/>
      <c r="L105" s="16"/>
    </row>
    <row r="106" spans="1:12" ht="15" customHeight="1">
      <c r="A106" s="16"/>
      <c r="B106" s="352"/>
      <c r="C106" s="346" t="s">
        <v>113</v>
      </c>
      <c r="D106" s="347" t="str">
        <f>INDEX(VL_TDM!$E$11:$E$41,MATCH($C106,VL_TDM!$B$11:$B$41,0),1)</f>
        <v>Parking Cash Out</v>
      </c>
      <c r="E106" s="348"/>
      <c r="F106" s="348"/>
      <c r="G106" s="348"/>
      <c r="H106" s="348"/>
      <c r="I106" s="348"/>
      <c r="J106" s="348"/>
      <c r="K106" s="317"/>
      <c r="L106" s="22"/>
    </row>
    <row r="107" spans="1:12" ht="45" customHeight="1">
      <c r="A107" s="16"/>
      <c r="B107" s="345"/>
      <c r="C107" s="593" t="str">
        <f>'1B CTR program'!$C$29</f>
        <v>(1) Nelson/Nygaard Consulting Associates. 2015. Genentech – South San Francisco Campus TDM and Parking Report. June. Available: http://ci-ssfca. granicus.com/MetaViewer.php?view_id=2&amp;clip_id=859&amp;meta_id=62028. Accessed: January 2021.</v>
      </c>
      <c r="D107" s="594"/>
      <c r="E107" s="594"/>
      <c r="F107" s="594"/>
      <c r="G107" s="594"/>
      <c r="H107" s="594"/>
      <c r="I107" s="594"/>
      <c r="J107" s="594"/>
      <c r="K107" s="349"/>
      <c r="L107" s="16"/>
    </row>
    <row r="108" spans="1:12" ht="15" customHeight="1">
      <c r="A108" s="16"/>
      <c r="B108" s="350"/>
      <c r="C108" s="348"/>
      <c r="D108" s="348"/>
      <c r="E108" s="348"/>
      <c r="F108" s="348"/>
      <c r="G108" s="348"/>
      <c r="H108" s="348"/>
      <c r="I108" s="348"/>
      <c r="J108" s="348"/>
      <c r="K108" s="353"/>
      <c r="L108" s="16"/>
    </row>
    <row r="109" spans="1:12">
      <c r="A109" s="16"/>
      <c r="B109" s="350"/>
      <c r="C109" s="346" t="s">
        <v>117</v>
      </c>
      <c r="D109" s="347" t="str">
        <f>INDEX(VL_TDM!$E$11:$E$41,MATCH($C109,VL_TDM!$B$11:$B$41,0),1)</f>
        <v>Provide Bike Parking</v>
      </c>
      <c r="E109" s="348"/>
      <c r="F109" s="348"/>
      <c r="G109" s="348"/>
      <c r="H109" s="348"/>
      <c r="I109" s="348"/>
      <c r="J109" s="348"/>
      <c r="K109" s="353"/>
      <c r="L109" s="16"/>
    </row>
    <row r="110" spans="1:12" ht="122.25" customHeight="1">
      <c r="A110" s="16"/>
      <c r="B110" s="350"/>
      <c r="C110" s="593" t="str">
        <f>'3D bike parking'!$C$46</f>
        <v>(1) Buehler, R. 2012. Determinants of bicycle commuting in the Washington, DC region: The role bicycle parking, cyclist showers, and free car parking at work. Transportation Research Part D, 17, 525– 531. Available: http://www.pedbikeinfo.org/cms/downloads/DeterminantsofBicycleCommuting.pdf. Accessed: January 2021. 
(2) Federal Highway Administration (FHWA). 2017a. National Household Travel Survey – 2017 Table Designer. Travel Day PT by TRPTRANS by HH_CBSA. Available: https://nhts.ornl.gov/. Accessed: January 2021. 
(3) Federal Highway Administration (FHWA). 2017b. National Household Travel Survey – 2017 Table Designer. Workers by WRKTRANS by HH_CBSA. Available: https://nhts.ornl.gov/. Accessed: January 2021.</v>
      </c>
      <c r="D110" s="594"/>
      <c r="E110" s="594"/>
      <c r="F110" s="594"/>
      <c r="G110" s="594"/>
      <c r="H110" s="594"/>
      <c r="I110" s="594"/>
      <c r="J110" s="594"/>
      <c r="K110" s="353"/>
      <c r="L110" s="16"/>
    </row>
    <row r="111" spans="1:12">
      <c r="A111" s="16"/>
      <c r="B111" s="350"/>
      <c r="C111" s="351"/>
      <c r="D111" s="351"/>
      <c r="E111" s="351"/>
      <c r="F111" s="351"/>
      <c r="G111" s="351"/>
      <c r="H111" s="351"/>
      <c r="I111" s="351"/>
      <c r="J111" s="351"/>
      <c r="K111" s="353"/>
      <c r="L111" s="16"/>
    </row>
    <row r="112" spans="1:12" ht="15" customHeight="1">
      <c r="A112" s="16"/>
      <c r="B112" s="350"/>
      <c r="C112" s="346" t="s">
        <v>115</v>
      </c>
      <c r="D112" s="347" t="str">
        <f>INDEX(VL_TDM!$E$11:$E$41,MATCH($C112,VL_TDM!$B$11:$B$41,0),1)</f>
        <v>Limit Parking Supply</v>
      </c>
      <c r="E112" s="348"/>
      <c r="F112" s="348"/>
      <c r="G112" s="348"/>
      <c r="H112" s="348"/>
      <c r="I112" s="348"/>
      <c r="J112" s="348"/>
      <c r="K112" s="353"/>
      <c r="L112" s="16"/>
    </row>
    <row r="113" spans="1:12" ht="76.5" customHeight="1">
      <c r="A113" s="16"/>
      <c r="B113" s="350"/>
      <c r="C113" s="593" t="str">
        <f>'3C limit parking'!$C$28</f>
        <v>(1) California Department of Transportation (Caltrans). 2012. California Household Travel Survey (CHTS). Available: https://www.nrel.gov/transportation/secure-transportation-data/tsdccalifornia- travel-survey.html. Accessed: January 2021. 
(2) Chatman, D. 2013. "Does TOD need the T? On the importance of factors other than rail access." Journal of the American Planning Association 79, no. 1. Available: https://trid.trb.org/view/1243004 . Accessed: January 2021.</v>
      </c>
      <c r="D113" s="594"/>
      <c r="E113" s="594"/>
      <c r="F113" s="594"/>
      <c r="G113" s="594"/>
      <c r="H113" s="594"/>
      <c r="I113" s="594"/>
      <c r="J113" s="594"/>
      <c r="K113" s="353"/>
      <c r="L113" s="16"/>
    </row>
    <row r="114" spans="1:12" ht="15" customHeight="1">
      <c r="A114" s="16"/>
      <c r="B114" s="352"/>
      <c r="C114" s="351"/>
      <c r="D114" s="351"/>
      <c r="E114" s="351"/>
      <c r="F114" s="351"/>
      <c r="G114" s="351"/>
      <c r="H114" s="351"/>
      <c r="I114" s="351"/>
      <c r="J114" s="351"/>
      <c r="K114" s="317"/>
      <c r="L114" s="22"/>
    </row>
    <row r="115" spans="1:12" ht="15" customHeight="1">
      <c r="A115" s="16"/>
      <c r="B115" s="345"/>
      <c r="C115" s="346" t="s">
        <v>56</v>
      </c>
      <c r="D115" s="347" t="str">
        <f>INDEX(VL_TDM!$E$11:$E$41,MATCH($C115,VL_TDM!$B$11:$B$41,0),1)</f>
        <v>Street Connectivity Improvement</v>
      </c>
      <c r="E115" s="348"/>
      <c r="F115" s="348"/>
      <c r="G115" s="348"/>
      <c r="H115" s="348"/>
      <c r="I115" s="348"/>
      <c r="J115" s="348"/>
      <c r="K115" s="349"/>
      <c r="L115" s="16"/>
    </row>
    <row r="116" spans="1:12" ht="111" customHeight="1">
      <c r="A116" s="16"/>
      <c r="B116" s="350"/>
      <c r="C116" s="593" t="str">
        <f>'4A street connect'!$C$27</f>
        <v>(1) Fehr &amp; Peers. 2009. Proposed Trip Generation, Distribution, and Transit Mode Split Forecasts for the Bayview Waterfront Project Transportation Study. 
(2) Stevens, M. 2016. Does Compact Development Make People Drive Less? Journal of the American Planning Association 83:1(7–18), DOI: 10.1080/01944363.2016.1240044. November. Available: https://www.researchgate.net/publication/309890412_Does_Compact_Development_Make_Pe ople_Drive_Less. Accessed: January 2021.
(3) U.S. Environmental Protection Agency, 2021. EnviroAtlas: Estimated Intersection Density of Walkable Roads. Available: https://enviroatlas.epa.gov/enviroatlas/DataFactSheets/pdf/Supplemental/Estimatedintersectiondensityofwalkableroads.pdf. Accessed: April 2021.</v>
      </c>
      <c r="D116" s="594"/>
      <c r="E116" s="594"/>
      <c r="F116" s="594"/>
      <c r="G116" s="594"/>
      <c r="H116" s="594"/>
      <c r="I116" s="594"/>
      <c r="J116" s="594"/>
      <c r="K116" s="353"/>
      <c r="L116" s="16"/>
    </row>
    <row r="117" spans="1:12" ht="15" customHeight="1">
      <c r="A117" s="16"/>
      <c r="B117" s="350"/>
      <c r="C117" s="351"/>
      <c r="D117" s="351"/>
      <c r="E117" s="351"/>
      <c r="F117" s="351"/>
      <c r="G117" s="351"/>
      <c r="H117" s="351"/>
      <c r="I117" s="351"/>
      <c r="J117" s="351"/>
      <c r="K117" s="353"/>
      <c r="L117" s="16"/>
    </row>
    <row r="118" spans="1:12" ht="15" customHeight="1">
      <c r="A118" s="16"/>
      <c r="B118" s="350"/>
      <c r="C118" s="346" t="s">
        <v>60</v>
      </c>
      <c r="D118" s="347" t="str">
        <f>INDEX(VL_TDM!$E$11:$E$41,MATCH($C118,VL_TDM!$B$11:$B$41,0),1)</f>
        <v>Pedestrian Facility Improvement</v>
      </c>
      <c r="E118" s="348"/>
      <c r="F118" s="348"/>
      <c r="G118" s="348"/>
      <c r="H118" s="348"/>
      <c r="I118" s="348"/>
      <c r="J118" s="348"/>
      <c r="K118" s="317"/>
      <c r="L118" s="22"/>
    </row>
    <row r="119" spans="1:12" ht="120" customHeight="1">
      <c r="A119" s="16"/>
      <c r="B119" s="350"/>
      <c r="C119" s="593" t="str">
        <f>'4B sidewalks'!$C$31</f>
        <v>(1) Frank, L., Greenwald, M., Kavage, S. and Devlin, A. 2011. An Assessment of Urban Form and Pedestrian and Transit Improvements as an Integrated GHG Reduction Strategy. WSDOT Research Report WA-RD 765.1, Washington State Department of Transportation. April. Available: www.wsdot.wa.gov/research/reports/fullreports/765.1.pdf. Accessed: January 2021. 
(2) Handy, Susan, Glan-Claudia, Sciara, and Boarnet, Marlon. 2014. Impacts of Pedestrian Strategies on Passenger Vehicle Use and Greenhouse Gas Emissions: Policy Brief. September. Available: https://ww2.arb.ca.gov/sites/default/files/2020- 06/Impacts_of_Pedestrian_Strategies_on_Passenger_Vehicle_Use_and_Greenhouse_Gas_Emission s_Policy_Brief.pdf. Accessed: January 2021. 
(3) Federal Highway Administration (FHWA). 2019. 2017 National Household Travel Survey Popular Vehicle Trip Statistics. Available: https://nhts.ornl.gov/vehicle-trips. Accessed: January 2021.</v>
      </c>
      <c r="D119" s="594"/>
      <c r="E119" s="594"/>
      <c r="F119" s="594"/>
      <c r="G119" s="594"/>
      <c r="H119" s="594"/>
      <c r="I119" s="594"/>
      <c r="J119" s="594"/>
      <c r="K119" s="317"/>
      <c r="L119" s="22"/>
    </row>
    <row r="120" spans="1:12" ht="15" customHeight="1">
      <c r="A120" s="16"/>
      <c r="B120" s="345"/>
      <c r="C120" s="351"/>
      <c r="D120" s="351"/>
      <c r="E120" s="351"/>
      <c r="F120" s="351"/>
      <c r="G120" s="351"/>
      <c r="H120" s="351"/>
      <c r="I120" s="351"/>
      <c r="J120" s="351"/>
      <c r="K120" s="349"/>
      <c r="L120" s="16"/>
    </row>
    <row r="121" spans="1:12" ht="15" customHeight="1">
      <c r="A121" s="16"/>
      <c r="B121" s="350"/>
      <c r="C121" s="346" t="s">
        <v>64</v>
      </c>
      <c r="D121" s="347" t="str">
        <f>INDEX(VL_TDM!$E$11:$E$41,MATCH($C121,VL_TDM!$B$11:$B$41,0),1)</f>
        <v>Bikeway Network Expansion</v>
      </c>
      <c r="E121" s="348"/>
      <c r="F121" s="348"/>
      <c r="G121" s="348"/>
      <c r="H121" s="348"/>
      <c r="I121" s="348"/>
      <c r="J121" s="348"/>
      <c r="K121" s="353"/>
      <c r="L121" s="16"/>
    </row>
    <row r="122" spans="1:12" ht="117.75" customHeight="1">
      <c r="A122" s="16"/>
      <c r="B122" s="350"/>
      <c r="C122" s="593" t="str">
        <f>'4C bike network'!$C$61</f>
        <v>(1) Federal Highway Administration (FHWA). 2017. National Household Travel Survey – 2017 Table Designer. Travel Day PMT by TRPTRANS by HH_CBSA. Available: https://nhts.ornl.gov/. Accessed: January 2021. 
(2) Pucher, J., Buehler, R. 2011. Analysis of Bicycling Trends and Policies in Large North American Cities: Lessons for New York. March. Available: http://www.utrc2.org/sites/default/files/pubs/analysis-bike-final_0.pdf. Accessed: January 2021.</v>
      </c>
      <c r="D122" s="594"/>
      <c r="E122" s="594"/>
      <c r="F122" s="594"/>
      <c r="G122" s="594"/>
      <c r="H122" s="594"/>
      <c r="I122" s="594"/>
      <c r="J122" s="594"/>
      <c r="K122" s="353"/>
      <c r="L122" s="16"/>
    </row>
    <row r="123" spans="1:12" ht="15" customHeight="1">
      <c r="A123" s="16"/>
      <c r="B123" s="352"/>
      <c r="C123" s="351"/>
      <c r="D123" s="351"/>
      <c r="E123" s="351"/>
      <c r="F123" s="351"/>
      <c r="G123" s="351"/>
      <c r="H123" s="351"/>
      <c r="I123" s="351"/>
      <c r="J123" s="351"/>
      <c r="K123" s="317"/>
      <c r="L123" s="22"/>
    </row>
    <row r="124" spans="1:12" ht="15" customHeight="1">
      <c r="A124" s="16"/>
      <c r="B124" s="345"/>
      <c r="C124" s="346" t="s">
        <v>68</v>
      </c>
      <c r="D124" s="347" t="str">
        <f>INDEX(VL_TDM!$E$11:$E$41,MATCH($C124,VL_TDM!$B$11:$B$41,0),1)</f>
        <v>Bike Facility Improvement</v>
      </c>
      <c r="E124" s="348"/>
      <c r="F124" s="348"/>
      <c r="G124" s="348"/>
      <c r="H124" s="348"/>
      <c r="I124" s="348"/>
      <c r="J124" s="348"/>
      <c r="K124" s="349"/>
      <c r="L124" s="16"/>
    </row>
    <row r="125" spans="1:12" ht="90" customHeight="1">
      <c r="A125" s="16"/>
      <c r="B125" s="350"/>
      <c r="C125" s="593" t="str">
        <f>'4D bike project'!$C$60</f>
        <v>(1) California Air Resources Board (CARB). 2020d. Quantification Methodology for the Strategic Growth Council’s Affordable Housing and Sustainable Communities Program. September. Available: https://ww2.arb.ca.gov/sites/default/files/classic/cc/capandtrade/auctionproceeds/draft_sgc_ ahsc_qm_091620.pdf. Accessed: January 2021. 
(2) Federal Highway Administration (FHWA). 2017. National Household Travel Survey – 2017 Table Designer. Travel Day PT by TRPTRANS by HH_CBSA. Available: https://nhts.ornl.gov/. Accessed: January 2021.</v>
      </c>
      <c r="D125" s="594"/>
      <c r="E125" s="594"/>
      <c r="F125" s="594"/>
      <c r="G125" s="594"/>
      <c r="H125" s="594"/>
      <c r="I125" s="594"/>
      <c r="J125" s="594"/>
      <c r="K125" s="353"/>
      <c r="L125" s="16"/>
    </row>
    <row r="126" spans="1:12" ht="15" customHeight="1">
      <c r="A126" s="16"/>
      <c r="B126" s="350"/>
      <c r="C126" s="306"/>
      <c r="D126" s="306"/>
      <c r="E126" s="306"/>
      <c r="F126" s="306"/>
      <c r="G126" s="316"/>
      <c r="H126" s="306"/>
      <c r="I126" s="354"/>
      <c r="J126" s="354"/>
      <c r="K126" s="353"/>
      <c r="L126" s="16"/>
    </row>
    <row r="127" spans="1:12" ht="15" customHeight="1">
      <c r="A127" s="16"/>
      <c r="B127" s="350"/>
      <c r="C127" s="346" t="s">
        <v>72</v>
      </c>
      <c r="D127" s="347" t="str">
        <f>INDEX(VL_TDM!$E$11:$E$41,MATCH($C127,VL_TDM!$B$11:$B$41,0),1)</f>
        <v>Bikeshare</v>
      </c>
      <c r="E127" s="348"/>
      <c r="F127" s="348"/>
      <c r="G127" s="348"/>
      <c r="H127" s="348"/>
      <c r="I127" s="348"/>
      <c r="J127" s="348"/>
      <c r="K127" s="353"/>
      <c r="L127" s="16"/>
    </row>
    <row r="128" spans="1:12" ht="230.1" customHeight="1">
      <c r="A128" s="16"/>
      <c r="B128" s="350"/>
      <c r="C128" s="593" t="str">
        <f>'4E bikeshare'!$C$39</f>
        <v>(1) California Air Resources Board (CARB). 2020a. Revisiting Average Trip Length Defaults and Adjustment Factors for Quantifying VMT Reductions from Car Share, Bike Share, and Scooter Share Services. May. Available: https://ww2.arb.ca.gov/sites/default/files/classic//cc/capandtrade/auctionproceeds/sharedm obility_technical_052920.pdf. Accessed: January 2021. 
(2) Federal Highway Administration (FHWA). 2017. National Household Travel Survey – 2017 Table Designer. Travel Day PT by TRPTRANS by HH_CBSA. Available: https://nhts.ornl.gov/. Accessed: January 2021. 
(3) Federal Highway Administration (FHWA). 2018. Summary of Travel Trends 2017 – National Household Travel Survey. July. Available: https://www.fhwa.dot.gov/policyinformation/documents/2017_nhts_summary_travel_trends.p df. Accessed: January 2021. 
(4) Lazarus, J., Pourquier, J., Feng, F., Hammel, H., Shaheen, S. 2019. Bikesharing Evolution and Expansion: Understanding How Docked and Dockless Models Complement and Compete – A Case Study of San Francisco. Paper No. 19-02761. Annual Meeting of the Transportation Research Board: Washington, D.C. Available: https://trid.trb.org/view/1572878. Accessed: January 2021. 
(5) Metropolitan Transportation Commission (MTC). 2017. Plan Bay Area 2040 Final Supplemental Report – Travel Modeling Report. July. Available: http://2040.planbayarea.org/files/2020- 02/Travel_Modeling_PBA2040_Supplemental%20Report_7-2017.pdf. Accessed: January 2021.</v>
      </c>
      <c r="D128" s="594"/>
      <c r="E128" s="594"/>
      <c r="F128" s="594"/>
      <c r="G128" s="594"/>
      <c r="H128" s="594"/>
      <c r="I128" s="594"/>
      <c r="J128" s="594"/>
      <c r="K128" s="353"/>
      <c r="L128" s="16"/>
    </row>
    <row r="129" spans="1:12" ht="15" customHeight="1">
      <c r="A129" s="16"/>
      <c r="B129" s="350"/>
      <c r="C129" s="351"/>
      <c r="D129" s="351"/>
      <c r="E129" s="351"/>
      <c r="F129" s="351"/>
      <c r="G129" s="351"/>
      <c r="H129" s="351"/>
      <c r="I129" s="351"/>
      <c r="J129" s="351"/>
      <c r="K129" s="353"/>
      <c r="L129" s="16"/>
    </row>
    <row r="130" spans="1:12">
      <c r="A130" s="16"/>
      <c r="B130" s="350"/>
      <c r="C130" s="346" t="s">
        <v>76</v>
      </c>
      <c r="D130" s="347" t="str">
        <f>INDEX(VL_TDM!$E$11:$E$41,MATCH($C130,VL_TDM!$B$11:$B$41,0),1)</f>
        <v>Carshare</v>
      </c>
      <c r="E130" s="348"/>
      <c r="F130" s="348"/>
      <c r="G130" s="348"/>
      <c r="H130" s="348"/>
      <c r="I130" s="348"/>
      <c r="J130" s="348"/>
      <c r="K130" s="353"/>
      <c r="L130" s="16"/>
    </row>
    <row r="131" spans="1:12" ht="129.94999999999999" customHeight="1">
      <c r="A131" s="16"/>
      <c r="B131" s="350"/>
      <c r="C131" s="593" t="str">
        <f>'4F carshare'!$C$28</f>
        <v>(1) Cervero, R., Golub, A., Nee, B. 2007. San Francisco City CarShare: Longer-Term Travel-Demand and Car Ownership Impacts. January. Available: https://iurd.berkeley.edu/wp/2006-07.pdf. Accessed: January 2021. 
(2) Lovejoy, K., Handy, S., Boarnet, M. 2013. Impacts of Carsharing on Passenger Vehicle Use and Greenhouse Gas Emissions Policy Brief. October. Available: https://ww2.arb.ca.gov/sites/default/files/2020- 06/Impacts_of_Carsharing_on_Passenger_Vehicle_Use_and_Greenhouse_Gas_Emissions_Policy_B rief.pdf. Accessed: January 2021. 
(3) San Diego Association of Governments (SANDAG). 2017. San Diego Regional Transportation Study. Volume 1: Technical Report. Available: https://www.sandag.org/uploads/publicationid/publicationid_2145_23025.pdf. Accessed: January 2021.</v>
      </c>
      <c r="D131" s="594"/>
      <c r="E131" s="594"/>
      <c r="F131" s="594"/>
      <c r="G131" s="594"/>
      <c r="H131" s="594"/>
      <c r="I131" s="594"/>
      <c r="J131" s="594"/>
      <c r="K131" s="353"/>
      <c r="L131" s="16"/>
    </row>
    <row r="132" spans="1:12">
      <c r="A132" s="16"/>
      <c r="B132" s="350"/>
      <c r="C132" s="351"/>
      <c r="D132" s="351"/>
      <c r="E132" s="351"/>
      <c r="F132" s="351"/>
      <c r="G132" s="351"/>
      <c r="H132" s="351"/>
      <c r="I132" s="351"/>
      <c r="J132" s="351"/>
      <c r="K132" s="353"/>
      <c r="L132" s="16"/>
    </row>
    <row r="133" spans="1:12">
      <c r="A133" s="16"/>
      <c r="B133" s="350"/>
      <c r="C133" s="346" t="s">
        <v>80</v>
      </c>
      <c r="D133" s="347" t="str">
        <f>INDEX(VL_TDM!$E$11:$E$41,MATCH($C133,VL_TDM!$B$11:$B$41,0),1)</f>
        <v>Community-Based Travel Planning</v>
      </c>
      <c r="E133" s="348"/>
      <c r="F133" s="348"/>
      <c r="G133" s="348"/>
      <c r="H133" s="348"/>
      <c r="I133" s="348"/>
      <c r="J133" s="348"/>
      <c r="K133" s="353"/>
      <c r="L133" s="16"/>
    </row>
    <row r="134" spans="1:12" ht="30" customHeight="1">
      <c r="A134" s="16"/>
      <c r="B134" s="350"/>
      <c r="C134" s="593" t="str">
        <f>'4G CBTP'!$C$27</f>
        <v>(1) Metropolitan Transportation Commission (MTC). 2021. Plan Bay Area 2050, Supplemental Report. (forthcoming)</v>
      </c>
      <c r="D134" s="594"/>
      <c r="E134" s="594"/>
      <c r="F134" s="594"/>
      <c r="G134" s="594"/>
      <c r="H134" s="594"/>
      <c r="I134" s="594"/>
      <c r="J134" s="594"/>
      <c r="K134" s="353"/>
      <c r="L134" s="16"/>
    </row>
    <row r="135" spans="1:12">
      <c r="A135" s="16"/>
      <c r="B135" s="350"/>
      <c r="C135" s="351"/>
      <c r="D135" s="351"/>
      <c r="E135" s="351"/>
      <c r="F135" s="351"/>
      <c r="G135" s="351"/>
      <c r="H135" s="351"/>
      <c r="I135" s="351"/>
      <c r="J135" s="351"/>
      <c r="K135" s="353"/>
      <c r="L135" s="16"/>
    </row>
    <row r="136" spans="1:12">
      <c r="A136" s="16"/>
      <c r="B136" s="350"/>
      <c r="C136" s="346" t="s">
        <v>94</v>
      </c>
      <c r="D136" s="347" t="str">
        <f>INDEX(VL_TDM!$E$11:$E$41,MATCH($C136,VL_TDM!$B$11:$B$41,0),1)</f>
        <v>Transit Service Expansion</v>
      </c>
      <c r="E136" s="348"/>
      <c r="F136" s="348"/>
      <c r="G136" s="348"/>
      <c r="H136" s="348"/>
      <c r="I136" s="348"/>
      <c r="J136" s="348"/>
      <c r="K136" s="353"/>
      <c r="L136" s="16"/>
    </row>
    <row r="137" spans="1:12" ht="104.1" customHeight="1">
      <c r="A137" s="16"/>
      <c r="B137" s="350"/>
      <c r="C137" s="593" t="str">
        <f>'5A T network exp'!$C$37</f>
        <v>(1)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(2) Federal Highway Administration (FHWA). 2017. National Household Travel Survey – 2017 Table Designer. Average Vehicle Occupancy by HHSTFIPS. Available: https://nhts.ornl.gov/. Accessed: January 2021.</v>
      </c>
      <c r="D137" s="594"/>
      <c r="E137" s="594"/>
      <c r="F137" s="594"/>
      <c r="G137" s="594"/>
      <c r="H137" s="594"/>
      <c r="I137" s="594"/>
      <c r="J137" s="594"/>
      <c r="K137" s="353"/>
      <c r="L137" s="16"/>
    </row>
    <row r="138" spans="1:12">
      <c r="A138" s="16"/>
      <c r="B138" s="350"/>
      <c r="C138" s="351"/>
      <c r="D138" s="351"/>
      <c r="E138" s="351"/>
      <c r="F138" s="351"/>
      <c r="G138" s="351"/>
      <c r="H138" s="351"/>
      <c r="I138" s="351"/>
      <c r="J138" s="351"/>
      <c r="K138" s="353"/>
      <c r="L138" s="16"/>
    </row>
    <row r="139" spans="1:12">
      <c r="A139" s="16"/>
      <c r="B139" s="350"/>
      <c r="C139" s="346" t="s">
        <v>98</v>
      </c>
      <c r="D139" s="347" t="str">
        <f>INDEX(VL_TDM!$E$11:$E$41,MATCH($C139,VL_TDM!$B$11:$B$41,0),1)</f>
        <v>Transit Frequency Improvements</v>
      </c>
      <c r="E139" s="348"/>
      <c r="F139" s="348"/>
      <c r="G139" s="348"/>
      <c r="H139" s="348"/>
      <c r="I139" s="348"/>
      <c r="J139" s="348"/>
      <c r="K139" s="353"/>
      <c r="L139" s="16"/>
    </row>
    <row r="140" spans="1:12" ht="194.45" customHeight="1">
      <c r="A140" s="16"/>
      <c r="B140" s="350"/>
      <c r="C140" s="593" t="str">
        <f>'5B T freq'!$C$44</f>
        <v>(1)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(4) San Diego Association of Governments (SANDAG). 2019. Mobility Management VMT Reduction Calculator Tool – Design Document. June. Available: https://www.icommutesd.com/docs/default-source/planning/tool-design-document_final_7- 17-19.pdf?sfvrsn=ec39eb3b_2. Accessed: January 2021.</v>
      </c>
      <c r="D140" s="594"/>
      <c r="E140" s="594"/>
      <c r="F140" s="594"/>
      <c r="G140" s="594"/>
      <c r="H140" s="594"/>
      <c r="I140" s="594"/>
      <c r="J140" s="594"/>
      <c r="K140" s="353"/>
      <c r="L140" s="16"/>
    </row>
    <row r="141" spans="1:12">
      <c r="A141" s="16"/>
      <c r="B141" s="350"/>
      <c r="C141" s="351"/>
      <c r="D141" s="351"/>
      <c r="E141" s="351"/>
      <c r="F141" s="351"/>
      <c r="G141" s="351"/>
      <c r="H141" s="351"/>
      <c r="I141" s="351"/>
      <c r="J141" s="351"/>
      <c r="K141" s="353"/>
      <c r="L141" s="16"/>
    </row>
    <row r="142" spans="1:12">
      <c r="A142" s="16"/>
      <c r="B142" s="350"/>
      <c r="C142" s="346" t="s">
        <v>100</v>
      </c>
      <c r="D142" s="347" t="str">
        <f>INDEX(VL_TDM!$E$11:$E$41,MATCH($C142,VL_TDM!$B$11:$B$41,0),1)</f>
        <v>Transit-Supportive Treatments</v>
      </c>
      <c r="E142" s="348"/>
      <c r="F142" s="348"/>
      <c r="G142" s="348"/>
      <c r="H142" s="348"/>
      <c r="I142" s="348"/>
      <c r="J142" s="348"/>
      <c r="K142" s="353"/>
      <c r="L142" s="16"/>
    </row>
    <row r="143" spans="1:12" ht="180" customHeight="1">
      <c r="A143" s="16"/>
      <c r="B143" s="350"/>
      <c r="C143" s="593" t="str">
        <f>'5C T treatments'!$C$45</f>
        <v>(1)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San Diego Association of Governments (SANDAG). 2019. Mobility Management VMT Reduction Calculator Tool – Design Document. June. Available: https://www.icommutesd.com/docs/default-source/planning/tool-design-document_final_7-17-19.pdf?sfvrsn=ec39eb3b_2. Accessed: January 2021.
(4) Transportation Research Board (TRB). 2007. Transit Cooperative Research Program Report 118: Bus Rapid Transit Practitioner’s Guide. Available: https://nacto.org/docs/usdg/tcrp118brt_practitioners_kittleson.pdf. Accessed: January 2021.</v>
      </c>
      <c r="D143" s="594"/>
      <c r="E143" s="594"/>
      <c r="F143" s="594"/>
      <c r="G143" s="594"/>
      <c r="H143" s="594"/>
      <c r="I143" s="594"/>
      <c r="J143" s="594"/>
      <c r="K143" s="353"/>
      <c r="L143" s="16"/>
    </row>
    <row r="144" spans="1:12">
      <c r="A144" s="16"/>
      <c r="B144" s="350"/>
      <c r="C144" s="306"/>
      <c r="D144" s="306"/>
      <c r="E144" s="306"/>
      <c r="F144" s="306"/>
      <c r="G144" s="316"/>
      <c r="H144" s="306"/>
      <c r="I144" s="354"/>
      <c r="J144" s="354"/>
      <c r="K144" s="353"/>
      <c r="L144" s="16"/>
    </row>
    <row r="145" spans="1:12">
      <c r="A145" s="16"/>
      <c r="B145" s="350"/>
      <c r="C145" s="346" t="s">
        <v>103</v>
      </c>
      <c r="D145" s="347" t="str">
        <f>INDEX(VL_TDM!$E$11:$E$41,MATCH($C145,VL_TDM!$B$11:$B$41,0),1)</f>
        <v>Transit Fare Reduction</v>
      </c>
      <c r="E145" s="348"/>
      <c r="F145" s="348"/>
      <c r="G145" s="348"/>
      <c r="H145" s="348"/>
      <c r="I145" s="348"/>
      <c r="J145" s="348"/>
      <c r="K145" s="353"/>
      <c r="L145" s="16"/>
    </row>
    <row r="146" spans="1:12" ht="200.1" customHeight="1">
      <c r="A146" s="16"/>
      <c r="B146" s="350"/>
      <c r="C146" s="593" t="str">
        <f>'5D T fare reduction'!$C$46</f>
        <v>(1)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(4) San Diego Association of Governments (SANDAG). 2019. Mobility Management VMT Reduction Calculator Tool – Design Document. June. Available: https://www.icommutesd.com/docs/default-source/planning/tool-design-document_final_7- 17-19.pdf?sfvrsn=ec39eb3b_2. Accessed: January 2021.</v>
      </c>
      <c r="D146" s="594"/>
      <c r="E146" s="594"/>
      <c r="F146" s="594"/>
      <c r="G146" s="594"/>
      <c r="H146" s="594"/>
      <c r="I146" s="594"/>
      <c r="J146" s="594"/>
      <c r="K146" s="353"/>
      <c r="L146" s="16"/>
    </row>
    <row r="147" spans="1:12">
      <c r="A147" s="16"/>
      <c r="B147" s="350"/>
      <c r="C147" s="351"/>
      <c r="D147" s="351"/>
      <c r="E147" s="351"/>
      <c r="F147" s="351"/>
      <c r="G147" s="351"/>
      <c r="H147" s="351"/>
      <c r="I147" s="351"/>
      <c r="J147" s="351"/>
      <c r="K147" s="353"/>
      <c r="L147" s="16"/>
    </row>
    <row r="148" spans="1:12">
      <c r="A148" s="16"/>
      <c r="B148" s="350"/>
      <c r="C148" s="346" t="s">
        <v>106</v>
      </c>
      <c r="D148" s="347" t="str">
        <f>INDEX(VL_TDM!$E$11:$E$41,MATCH($C148,VL_TDM!$B$11:$B$41,0),1)</f>
        <v>Microtransit NEV Shuttle</v>
      </c>
      <c r="E148" s="348"/>
      <c r="F148" s="348"/>
      <c r="G148" s="348"/>
      <c r="H148" s="348"/>
      <c r="I148" s="348"/>
      <c r="J148" s="348"/>
      <c r="K148" s="353"/>
      <c r="L148" s="16"/>
    </row>
    <row r="149" spans="1:12" ht="60" customHeight="1">
      <c r="A149" s="16"/>
      <c r="B149" s="350"/>
      <c r="C149" s="593" t="str">
        <f>'5E microtransit'!$C$40</f>
        <v>(1) WSP. 2019. “Draft TDM Off-Model Methodology—March 2019 Revision.” Memo to SANDAG.
(2) Alameda-Contra Costa (AlaCC) Travel Model, Scenario Year 2020, version 2.1, last updated in 2025.</v>
      </c>
      <c r="D149" s="594"/>
      <c r="E149" s="594"/>
      <c r="F149" s="594"/>
      <c r="G149" s="594"/>
      <c r="H149" s="594"/>
      <c r="I149" s="594"/>
      <c r="J149" s="594"/>
      <c r="K149" s="353"/>
      <c r="L149" s="16"/>
    </row>
    <row r="150" spans="1:12">
      <c r="A150" s="16"/>
      <c r="B150" s="350"/>
      <c r="C150" s="351"/>
      <c r="D150" s="351"/>
      <c r="E150" s="351"/>
      <c r="F150" s="351"/>
      <c r="G150" s="351"/>
      <c r="H150" s="351"/>
      <c r="I150" s="351"/>
      <c r="J150" s="351"/>
      <c r="K150" s="353"/>
      <c r="L150" s="16"/>
    </row>
    <row r="151" spans="1:12">
      <c r="A151" s="16"/>
      <c r="B151" s="355"/>
      <c r="C151" s="356"/>
      <c r="D151" s="356"/>
      <c r="E151" s="356"/>
      <c r="F151" s="356"/>
      <c r="G151" s="356"/>
      <c r="H151" s="356"/>
      <c r="I151" s="356"/>
      <c r="J151" s="356"/>
      <c r="K151" s="357"/>
      <c r="L151" s="16"/>
    </row>
    <row r="152" spans="1:12">
      <c r="A152" s="16"/>
      <c r="B152" s="16"/>
      <c r="C152" s="16"/>
      <c r="D152" s="16"/>
      <c r="E152" s="16"/>
      <c r="F152" s="16"/>
      <c r="G152" s="16"/>
      <c r="H152" s="16"/>
      <c r="I152" s="16"/>
      <c r="J152" s="16"/>
      <c r="K152" s="16"/>
      <c r="L152" s="16"/>
    </row>
  </sheetData>
  <sheetProtection algorithmName="SHA-512" hashValue="LszLOOxRgUF/2Jg8ii7K1WShXX2BhWu8lQnaQRqghZL/fpULJqvk2ysllhjvOuOLlZuN/+GCJxC8e1Su8iZ0uQ==" saltValue="3D3cQjw8vTgWFAoKLxQCLw==" spinCount="100000" sheet="1" objects="1" scenarios="1" selectLockedCells="1"/>
  <mergeCells count="33">
    <mergeCell ref="C137:J137"/>
    <mergeCell ref="C140:J140"/>
    <mergeCell ref="C143:J143"/>
    <mergeCell ref="C146:J146"/>
    <mergeCell ref="C149:J149"/>
    <mergeCell ref="C125:J125"/>
    <mergeCell ref="C128:J128"/>
    <mergeCell ref="C131:J131"/>
    <mergeCell ref="C134:J134"/>
    <mergeCell ref="C110:J110"/>
    <mergeCell ref="C68:J68"/>
    <mergeCell ref="C71:J71"/>
    <mergeCell ref="C74:J74"/>
    <mergeCell ref="C77:J77"/>
    <mergeCell ref="C83:J83"/>
    <mergeCell ref="C80:J80"/>
    <mergeCell ref="C86:J86"/>
    <mergeCell ref="C89:J89"/>
    <mergeCell ref="C92:J92"/>
    <mergeCell ref="C95:J95"/>
    <mergeCell ref="C98:J98"/>
    <mergeCell ref="C101:J101"/>
    <mergeCell ref="C107:J107"/>
    <mergeCell ref="C113:J113"/>
    <mergeCell ref="C119:J119"/>
    <mergeCell ref="C122:J122"/>
    <mergeCell ref="C116:J116"/>
    <mergeCell ref="C104:J104"/>
    <mergeCell ref="B6:K6"/>
    <mergeCell ref="B21:K21"/>
    <mergeCell ref="B2:K2"/>
    <mergeCell ref="J4:K4"/>
    <mergeCell ref="B65:K65"/>
  </mergeCells>
  <conditionalFormatting sqref="B4:G4">
    <cfRule type="expression" dxfId="82" priority="6">
      <formula>$B4&lt;&gt;""</formula>
    </cfRule>
  </conditionalFormatting>
  <conditionalFormatting sqref="C38:D38 F38:J38">
    <cfRule type="expression" dxfId="81" priority="3">
      <formula>$H38="Conflict with other strategy"</formula>
    </cfRule>
  </conditionalFormatting>
  <conditionalFormatting sqref="C26:J37 C39:J54">
    <cfRule type="expression" dxfId="80" priority="7">
      <formula>$H26="Conflict with other strategy"</formula>
    </cfRule>
  </conditionalFormatting>
  <conditionalFormatting sqref="D37:E38">
    <cfRule type="expression" dxfId="79" priority="1">
      <formula>$H37="Conflict with other strategy"</formula>
    </cfRule>
  </conditionalFormatting>
  <conditionalFormatting sqref="H20">
    <cfRule type="expression" dxfId="78" priority="5">
      <formula>H20="See Strategy Conflicts"</formula>
    </cfRule>
  </conditionalFormatting>
  <conditionalFormatting sqref="H26:H54">
    <cfRule type="expression" dxfId="77" priority="2">
      <formula>J26="Excluded from total"</formula>
    </cfRule>
  </conditionalFormatting>
  <hyperlinks>
    <hyperlink ref="J4" location="Main!A1" display="Return to Main" xr:uid="{A8E876F7-A22D-43E9-A77B-38631D951F6F}"/>
    <hyperlink ref="D26" location="'1A VCTR program'!A1" display="1A" xr:uid="{3581A845-2320-45C8-BFD9-6E1D73721983}"/>
    <hyperlink ref="D27" location="'1B CTR program'!A1" display="1B" xr:uid="{D22925DB-EB82-4D66-91EE-B31CE972C642}"/>
    <hyperlink ref="D28" location="'1C carpool'!A1" display="1C" xr:uid="{037A293D-396C-4F2B-83B0-DF36A0AAE3F1}"/>
    <hyperlink ref="D31" location="'1E vanpool'!A1" display="1E" xr:uid="{5879CDF8-CFFE-4768-B5C2-C4E39C996EC3}"/>
    <hyperlink ref="D32" location="'1F telecommute'!A1" display="1F" xr:uid="{5D88F02B-40B0-4EF3-8D8C-FD16AB50DADB}"/>
    <hyperlink ref="D33" location="'2A TOD'!A1" display="2A" xr:uid="{36DCA8DE-3BFF-4569-A11A-B8F27937099D}"/>
    <hyperlink ref="D34" location="'2B1 Inc Res Dens'!A1" display="2B1" xr:uid="{7D191C89-70C7-4405-8510-BDB55723F512}"/>
    <hyperlink ref="D35" location="'2B2 Inc Emp Dens'!A1" display="2B2" xr:uid="{01D40D92-6BCA-4449-8D45-FDB93DFF1DCC}"/>
    <hyperlink ref="D36" location="'2C affordable housing'!A1" display="2C" xr:uid="{2037AF51-A78B-4C36-B751-83A0413D43BF}"/>
    <hyperlink ref="D39" location="'3B parking cash-out'!A1" display="3B" xr:uid="{A3787BB4-89AB-4905-AF80-E9ACB97F49B8}"/>
    <hyperlink ref="D40" location="'3C limit parking'!A1" display="3C" xr:uid="{FDC5C8E8-90F9-4479-BB08-B1F38F6AA2A3}"/>
    <hyperlink ref="D42" location="'4A street connect'!A1" display="4A" xr:uid="{1EF73BE7-3554-438B-AC40-8ACA5632CF83}"/>
    <hyperlink ref="D43" location="'4B sidewalks'!A1" display="4B" xr:uid="{F9F6AABF-1CB3-4A37-970D-5358D91B75D6}"/>
    <hyperlink ref="D44" location="'4C bike network'!A1" display="4C" xr:uid="{90110EC1-BF40-4C72-8042-D2009B205F5C}"/>
    <hyperlink ref="D45" location="'4D bike project'!A1" display="4D" xr:uid="{3F30F79F-BAB9-4CE2-8C9B-549AAE51420F}"/>
    <hyperlink ref="D46" location="'4E bikeshare'!A1" display="4E" xr:uid="{4669A8C8-0532-4361-A129-650208A87A5D}"/>
    <hyperlink ref="D47" location="'4F carshare'!A1" display="4F" xr:uid="{180B61ED-3871-439D-8724-3F07445ECE7F}"/>
    <hyperlink ref="D48" location="'4G CBTP'!A1" display="4G" xr:uid="{D2D10F2F-F5C3-4AED-9CA4-E196AA359167}"/>
    <hyperlink ref="D49" location="'4H traffic calming'!A1" display="4H" xr:uid="{1DC93921-9AA9-4A91-8787-EBA86BCA1B64}"/>
    <hyperlink ref="D41" location="'3D bike parking'!A1" display="3D" xr:uid="{5FEDE701-7A17-49C8-912A-C2053811F01C}"/>
    <hyperlink ref="D50" location="'5A T network exp'!A1" display="5A" xr:uid="{9084597A-AFDB-4DF2-B75A-7FD00F1D19B3}"/>
    <hyperlink ref="D54" location="'5E microtransit'!A1" display="5E" xr:uid="{A2A8EEBC-5B28-4A70-88EC-DC8536F33870}"/>
    <hyperlink ref="D53" location="'5D T fare reduction'!A1" display="5D" xr:uid="{22CC88D9-9D18-4DE3-9579-605E81659C29}"/>
    <hyperlink ref="D52" location="'5C T treatments'!A1" display="5C" xr:uid="{C59C5B04-3B51-4696-86C3-51B2A67D1815}"/>
    <hyperlink ref="D51" location="'5B T freq'!A1" display="5B" xr:uid="{BC534D63-3C04-4420-9F22-40F98A12BE70}"/>
    <hyperlink ref="E26" location="'1A VCTR program'!A1" display="'1A VCTR program'!A1" xr:uid="{98EF24D0-BBDE-4436-BC1A-E99965A5C090}"/>
    <hyperlink ref="E27" location="'1B CTR program'!A1" display="'1B CTR program'!A1" xr:uid="{0B98D2DF-8BB0-4E1B-81A8-C6B9980A7065}"/>
    <hyperlink ref="E28" location="'1C carpool'!A1" display="'1C carpool'!A1" xr:uid="{4507700F-ADF7-4C01-9B49-CFAF9D763BDA}"/>
    <hyperlink ref="E31" location="'1E vanpool'!A1" display="'1E vanpool'!A1" xr:uid="{9A2E1146-A9FF-4D91-BD44-589BBC0481F9}"/>
    <hyperlink ref="E32" location="'1F telecommute'!A1" display="'1F telecommute'!A1" xr:uid="{73C2749D-8530-4BC7-9740-973893BD28C2}"/>
    <hyperlink ref="E33" location="'2A TOD'!A1" display="'2A TOD'!A1" xr:uid="{CA1BB0A6-6823-44BB-B80E-F41E5D3EAD36}"/>
    <hyperlink ref="E34" location="'2B1 Inc Res Dens'!A1" display="'2B1 Inc Res Dens'!A1" xr:uid="{E9F8D55F-23CC-4905-BD55-42C1BB3DDD3B}"/>
    <hyperlink ref="E35" location="'2B2 Inc Emp Dens'!A1" display="'2B2 Inc Emp Dens'!A1" xr:uid="{9805AC02-8705-4224-84F1-00253FEA9FCE}"/>
    <hyperlink ref="E36" location="'2C affordable housing'!A1" display="'2C affordable housing'!A1" xr:uid="{8FF158B7-86C5-4911-9A50-B0921B6774C2}"/>
    <hyperlink ref="E39" location="'3B parking cash-out'!A1" display="'3B parking cash-out'!A1" xr:uid="{A286624A-1E99-4AEF-9732-F1D544245178}"/>
    <hyperlink ref="E40" location="'3C limit parking'!A1" display="'3C limit parking'!A1" xr:uid="{21838A3F-9709-422E-BFE3-25B36DA5101A}"/>
    <hyperlink ref="E42" location="'4A street connect'!A1" display="'4A street connect'!A1" xr:uid="{1B284C5C-4326-4366-AAC7-DCE2E2E83FB0}"/>
    <hyperlink ref="E43" location="'4B sidewalks'!A1" display="'4B sidewalks'!A1" xr:uid="{8B83EE94-3EEC-4AA3-B880-6E616C40A200}"/>
    <hyperlink ref="E44" location="'4C bike network'!A1" display="'4C bike network'!A1" xr:uid="{1DCD9BF3-290A-44DC-B007-2FB550441F75}"/>
    <hyperlink ref="E45" location="'4D bike project'!A1" display="'4D bike project'!A1" xr:uid="{CB567610-E20B-4749-B8AE-7D9C32A2BC95}"/>
    <hyperlink ref="E46" location="'4E bikeshare'!A1" display="'4E bikeshare'!A1" xr:uid="{5742CD01-139D-4BE3-BFA9-1C1DC53F7A3D}"/>
    <hyperlink ref="E47" location="'4F carshare'!A1" display="'4F carshare'!A1" xr:uid="{3211489D-694F-4C8C-8097-8400870D9DFA}"/>
    <hyperlink ref="E48" location="'4G CBTP'!A1" display="'4G CBTP'!A1" xr:uid="{D5CEC4BA-50DA-41D1-93F1-702DB17C2DDD}"/>
    <hyperlink ref="E49" location="'4H traffic calming'!A1" display="'4H traffic calming'!A1" xr:uid="{EF967F47-8008-4996-9F5C-20AAC779B58E}"/>
    <hyperlink ref="E41" location="'3D bike parking'!A1" display="'3D bike parking'!A1" xr:uid="{26A2D0EE-31B4-41AF-9AD2-B284B754B81B}"/>
    <hyperlink ref="E50" location="'5A T network exp'!A1" display="'5A T network exp'!A1" xr:uid="{367AA9A3-9BB2-4764-895C-E146CABC5685}"/>
    <hyperlink ref="E51" location="'5B T freq'!A1" display="'5B T freq'!A1" xr:uid="{824747FE-0E7C-4A10-BB08-A73DDBF01FCC}"/>
    <hyperlink ref="E52" location="'5C T treatments'!A1" display="'5C T treatments'!A1" xr:uid="{3EF06E1C-32D0-4C0D-B178-B3FE0F852BED}"/>
    <hyperlink ref="E53" location="'5D T fare reduction'!A1" display="'5D T fare reduction'!A1" xr:uid="{6FB3E2CC-EEC1-4F23-B9AB-C92020A9088F}"/>
    <hyperlink ref="E54" location="'5E microtransit'!A1" display="'5E microtransit'!A1" xr:uid="{EFE669E2-9C92-4FBC-BD3C-05C90EF5589A}"/>
    <hyperlink ref="E29" location="'1D1 transit subsidy (employees)'!A1" display="'1D1 transit subsidy (employees)'!A1" xr:uid="{BC9F60CC-699B-4D6A-A3C9-34AB321095C5}"/>
    <hyperlink ref="D29" location="'1D1 transit subsidy (employees)'!A1" display="1D1" xr:uid="{4D8D5D36-6EE2-45FA-8727-A8206765794F}"/>
    <hyperlink ref="E30" location="'1D2 transit subsidy (residents)'!A1" display="'1D2 transit subsidy (residents)'!A1" xr:uid="{06CE7E66-5D2E-4358-8AC7-BB7E7BB4337E}"/>
    <hyperlink ref="D30" location="'1D2 transit subsidy (residents)'!A1" display="1D2" xr:uid="{DB2B51C2-4012-44FB-A683-AA144A53F848}"/>
    <hyperlink ref="H20" location="'Conflict Info'!A1" display="'Conflict Info'!A1" xr:uid="{B10FF864-741E-4156-BE9A-9D00BF59B044}"/>
    <hyperlink ref="D37" location="'3A1 price emp parking'!A1" display="3A1" xr:uid="{F4C5C9CF-2AF5-4667-97E7-3436B5E89C90}"/>
    <hyperlink ref="E37" location="'3A1 price emp parking'!A1" display="'3A1 price emp parking'!A1" xr:uid="{BAA2DC59-907B-4790-A18A-52DEE0AB4F72}"/>
    <hyperlink ref="D38" location="'3A2 price res parking'!A1" display="3A2" xr:uid="{5E20B5A1-C9FA-4AD2-8254-EC770C479E09}"/>
    <hyperlink ref="E38" location="'3A2 price res parking'!A1" display="'3A2 price res parking'!A1" xr:uid="{40A014D1-1A7B-4E2B-B08E-4BAB4A643D49}"/>
  </hyperlinks>
  <pageMargins left="0.25" right="0.25" top="0.25" bottom="0.25" header="0.3" footer="0.25"/>
  <pageSetup scale="58" fitToHeight="0" orientation="portrait" r:id="rId1"/>
  <rowBreaks count="4" manualBreakCount="4">
    <brk id="63" max="16383" man="1"/>
    <brk id="95" max="16383" man="1"/>
    <brk id="125" max="16383" man="1"/>
    <brk id="143" max="16383"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000099"/>
  </sheetPr>
  <dimension ref="A1:Q41"/>
  <sheetViews>
    <sheetView showGridLines="0" showRowColHeaders="0" topLeftCell="A3" zoomScaleNormal="100" workbookViewId="0">
      <selection activeCell="F12" sqref="F12"/>
    </sheetView>
  </sheetViews>
  <sheetFormatPr defaultColWidth="0" defaultRowHeight="15" zeroHeight="1"/>
  <cols>
    <col min="1" max="1" width="4.42578125" style="87" customWidth="1"/>
    <col min="2" max="2" width="8.85546875" style="87" customWidth="1"/>
    <col min="3" max="3" width="22" style="87" customWidth="1"/>
    <col min="4" max="4" width="49" style="87" customWidth="1"/>
    <col min="5" max="5" width="17.42578125" style="87" customWidth="1"/>
    <col min="6" max="6" width="10.5703125" style="87" customWidth="1"/>
    <col min="7" max="7" width="6" style="87" customWidth="1"/>
    <col min="8" max="8" width="18.5703125" style="88" customWidth="1"/>
    <col min="9" max="9" width="17.5703125" style="87" customWidth="1"/>
    <col min="10" max="10" width="8.85546875" style="87" customWidth="1"/>
    <col min="11" max="11" width="4.5703125" style="87" customWidth="1"/>
    <col min="12" max="13" width="14.5703125" hidden="1" customWidth="1"/>
    <col min="14" max="17" width="0" hidden="1" customWidth="1"/>
    <col min="18" max="16384" width="8.85546875" hidden="1"/>
  </cols>
  <sheetData>
    <row r="1" spans="1:11" hidden="1">
      <c r="A1" s="60"/>
      <c r="B1" s="60"/>
      <c r="C1" s="60"/>
      <c r="D1" s="60"/>
      <c r="E1" s="60"/>
      <c r="F1" s="60"/>
      <c r="G1" s="60"/>
      <c r="H1" s="75"/>
      <c r="I1" s="60"/>
      <c r="J1" s="60"/>
      <c r="K1" s="60"/>
    </row>
    <row r="2" spans="1:11" hidden="1">
      <c r="A2" s="60"/>
      <c r="B2" s="60"/>
      <c r="C2" s="60"/>
      <c r="D2" s="60"/>
      <c r="E2" s="60"/>
      <c r="F2" s="60"/>
      <c r="G2" s="60"/>
      <c r="H2" s="75"/>
      <c r="I2" s="60"/>
      <c r="J2" s="60"/>
      <c r="K2" s="60"/>
    </row>
    <row r="3" spans="1:11" ht="22.35" customHeight="1">
      <c r="A3" s="60"/>
      <c r="B3" s="39"/>
      <c r="C3" s="60"/>
      <c r="D3" s="60"/>
      <c r="E3" s="60"/>
      <c r="F3" s="60"/>
      <c r="G3" s="60"/>
      <c r="H3" s="75"/>
      <c r="I3" s="60"/>
      <c r="J3" s="60"/>
      <c r="K3" s="60"/>
    </row>
    <row r="4" spans="1:11" ht="18.75">
      <c r="A4" s="187" t="s">
        <v>72</v>
      </c>
      <c r="B4" s="655" t="str">
        <f>A4&amp;". "&amp;INDEX(VL_TDM!$E$11:$E$41,MATCH($A$4,VL_TDM!$B$11:$B$41,0),1)</f>
        <v>4E. Bikeshare</v>
      </c>
      <c r="C4" s="600"/>
      <c r="D4" s="600"/>
      <c r="E4" s="600"/>
      <c r="F4" s="600"/>
      <c r="G4" s="600"/>
      <c r="H4" s="600"/>
      <c r="I4" s="600"/>
      <c r="J4" s="601"/>
      <c r="K4" s="60"/>
    </row>
    <row r="5" spans="1:11" ht="15" customHeight="1">
      <c r="A5" s="60"/>
      <c r="B5" s="65"/>
      <c r="C5" s="82"/>
      <c r="D5" s="82"/>
      <c r="E5" s="82"/>
      <c r="F5" s="82"/>
      <c r="G5" s="71"/>
      <c r="H5" s="73"/>
      <c r="I5" s="71"/>
      <c r="J5" s="64"/>
      <c r="K5" s="60"/>
    </row>
    <row r="6" spans="1:11" ht="15" customHeight="1">
      <c r="A6" s="60"/>
      <c r="B6" s="65"/>
      <c r="C6" s="71" t="s">
        <v>723</v>
      </c>
      <c r="D6" s="370" t="str">
        <f>INDEX(VL_TDM!$AC$11:$AC$41,MATCH($A$4,VL_TDM!$B$11:$B$41,0),1)</f>
        <v>Neighborhood/City</v>
      </c>
      <c r="E6" s="73"/>
      <c r="F6" s="73"/>
      <c r="G6" s="73"/>
      <c r="H6" s="73"/>
      <c r="I6" s="500" t="s">
        <v>120</v>
      </c>
      <c r="J6" s="64"/>
      <c r="K6" s="60"/>
    </row>
    <row r="7" spans="1:11" ht="15" customHeight="1">
      <c r="A7" s="60"/>
      <c r="B7" s="65"/>
      <c r="C7" s="81" t="s">
        <v>724</v>
      </c>
      <c r="D7" s="85" t="str">
        <f>INDEX(VL_TDM!$AD$11:$AD$41,MATCH($A$4,VL_TDM!$B$11:$B$41,0),1)</f>
        <v>All neighborhood/city trips</v>
      </c>
      <c r="E7" s="73"/>
      <c r="F7" s="73"/>
      <c r="G7" s="73"/>
      <c r="H7" s="71"/>
      <c r="I7" s="500" t="s">
        <v>153</v>
      </c>
      <c r="J7" s="64"/>
      <c r="K7" s="60"/>
    </row>
    <row r="8" spans="1:11" ht="15" customHeight="1">
      <c r="A8" s="60"/>
      <c r="B8" s="65"/>
      <c r="C8" s="81" t="s">
        <v>725</v>
      </c>
      <c r="D8" s="86">
        <f>INDEX(VL_TDM!$AE$11:$AE$41,MATCH($A$4,VL_TDM!$B$11:$B$41,0),1)</f>
        <v>1E-3</v>
      </c>
      <c r="E8" s="82"/>
      <c r="F8" s="82"/>
      <c r="G8" s="71"/>
      <c r="H8" s="73"/>
      <c r="I8" s="71"/>
      <c r="J8" s="64"/>
      <c r="K8" s="60"/>
    </row>
    <row r="9" spans="1:11" ht="15" customHeight="1">
      <c r="A9" s="60"/>
      <c r="B9" s="65"/>
      <c r="C9" s="71"/>
      <c r="D9" s="71"/>
      <c r="E9" s="71"/>
      <c r="F9" s="71"/>
      <c r="G9" s="71"/>
      <c r="H9" s="73"/>
      <c r="I9" s="71"/>
      <c r="J9" s="64"/>
      <c r="K9" s="60"/>
    </row>
    <row r="10" spans="1:11" ht="90" customHeight="1">
      <c r="A10" s="60"/>
      <c r="B10" s="65"/>
      <c r="C10" s="602" t="str">
        <f>INDEX(VL_TDM!$AF$11:$AF$41,MATCH($A$4,VL_TDM!$B$11:$B$41,0),1)</f>
        <v>This strategy will establish a bikeshare program. Bikeshare programs provide users with on-demand access to bikes for short-term rentals. This encourages a mode shift from vehicles to bicycles, displacing VMT and thus reducing GHG emissions. There are two primary types of pedal bikeshare programs: docked (station-based) and dockless (free-floating). When implementing a bikeshare program, a best practice is to discount bikeshare membership and dedicate bikeshare parking to encourage use of the service.</v>
      </c>
      <c r="D10" s="594"/>
      <c r="E10" s="594"/>
      <c r="F10" s="594"/>
      <c r="G10" s="594"/>
      <c r="H10" s="594"/>
      <c r="I10" s="594"/>
      <c r="J10" s="64"/>
      <c r="K10" s="60"/>
    </row>
    <row r="11" spans="1:11" ht="15" customHeight="1">
      <c r="A11" s="60"/>
      <c r="B11" s="65"/>
      <c r="C11" s="71"/>
      <c r="D11" s="71"/>
      <c r="E11" s="71"/>
      <c r="F11" s="71"/>
      <c r="G11" s="71"/>
      <c r="H11" s="73"/>
      <c r="I11" s="71"/>
      <c r="J11" s="64"/>
      <c r="K11" s="60"/>
    </row>
    <row r="12" spans="1:11" ht="15" customHeight="1">
      <c r="A12" s="60"/>
      <c r="B12" s="65"/>
      <c r="C12" s="76" t="s">
        <v>872</v>
      </c>
      <c r="D12" s="203"/>
      <c r="E12" s="71"/>
      <c r="F12" s="56"/>
      <c r="G12" s="73"/>
      <c r="H12" s="204" t="s">
        <v>17</v>
      </c>
      <c r="I12" s="71"/>
      <c r="J12" s="64"/>
      <c r="K12" s="16"/>
    </row>
    <row r="13" spans="1:11" ht="7.35" customHeight="1">
      <c r="A13" s="60"/>
      <c r="B13" s="65"/>
      <c r="C13" s="76"/>
      <c r="D13" s="203"/>
      <c r="E13" s="71"/>
      <c r="F13" s="71"/>
      <c r="G13" s="73"/>
      <c r="H13" s="205"/>
      <c r="I13" s="71"/>
      <c r="J13" s="64"/>
      <c r="K13" s="60"/>
    </row>
    <row r="14" spans="1:11" ht="15" customHeight="1">
      <c r="A14" s="60"/>
      <c r="B14" s="65"/>
      <c r="C14" s="76" t="s">
        <v>873</v>
      </c>
      <c r="D14" s="204"/>
      <c r="E14" s="373"/>
      <c r="F14" s="56"/>
      <c r="G14" s="73"/>
      <c r="H14" s="204" t="s">
        <v>17</v>
      </c>
      <c r="I14" s="71"/>
      <c r="J14" s="64"/>
      <c r="K14" s="16"/>
    </row>
    <row r="15" spans="1:11" ht="7.35" customHeight="1">
      <c r="A15" s="60"/>
      <c r="B15" s="65"/>
      <c r="C15" s="76"/>
      <c r="D15" s="203"/>
      <c r="E15" s="71"/>
      <c r="F15" s="71"/>
      <c r="G15" s="73"/>
      <c r="H15" s="205"/>
      <c r="I15" s="71"/>
      <c r="J15" s="64"/>
      <c r="K15" s="60"/>
    </row>
    <row r="16" spans="1:11" ht="15" customHeight="1">
      <c r="A16" s="60"/>
      <c r="B16" s="65"/>
      <c r="C16" s="76" t="s">
        <v>874</v>
      </c>
      <c r="D16" s="203"/>
      <c r="E16" s="373"/>
      <c r="F16" s="459">
        <v>2.1000000000000001E-2</v>
      </c>
      <c r="G16" s="73"/>
      <c r="H16" s="204" t="s">
        <v>875</v>
      </c>
      <c r="I16" s="71"/>
      <c r="J16" s="64"/>
      <c r="K16" s="16"/>
    </row>
    <row r="17" spans="1:11" ht="7.35" customHeight="1">
      <c r="A17" s="60"/>
      <c r="B17" s="65"/>
      <c r="C17" s="76"/>
      <c r="D17" s="203"/>
      <c r="E17" s="71"/>
      <c r="F17" s="71"/>
      <c r="G17" s="73"/>
      <c r="H17" s="205"/>
      <c r="I17" s="71"/>
      <c r="J17" s="64"/>
      <c r="K17" s="60"/>
    </row>
    <row r="18" spans="1:11" ht="15" customHeight="1">
      <c r="A18" s="60"/>
      <c r="B18" s="65"/>
      <c r="C18" s="76" t="s">
        <v>876</v>
      </c>
      <c r="D18" s="203"/>
      <c r="E18" s="204"/>
      <c r="F18" s="458">
        <v>2.7</v>
      </c>
      <c r="G18" s="73"/>
      <c r="H18" s="204" t="s">
        <v>877</v>
      </c>
      <c r="I18" s="71"/>
      <c r="J18" s="64"/>
      <c r="K18" s="16"/>
    </row>
    <row r="19" spans="1:11" ht="7.35" customHeight="1">
      <c r="A19" s="60"/>
      <c r="B19" s="65"/>
      <c r="C19" s="76"/>
      <c r="D19" s="203"/>
      <c r="E19" s="204"/>
      <c r="F19" s="460"/>
      <c r="G19" s="73"/>
      <c r="H19" s="81"/>
      <c r="I19" s="71"/>
      <c r="J19" s="64"/>
      <c r="K19" s="60"/>
    </row>
    <row r="20" spans="1:11" ht="15" customHeight="1">
      <c r="A20" s="60"/>
      <c r="B20" s="65"/>
      <c r="C20" s="76" t="s">
        <v>676</v>
      </c>
      <c r="D20" s="203"/>
      <c r="E20" s="204"/>
      <c r="F20" s="458" t="e">
        <f>IF(K20="Use Capcoa 2021",VL_REF!$U$3,INDEX(VL_TAZ!$O$9:$AD$9,1,MATCH($C20,VL_TAZ!$O$10:$AD$10,0)))</f>
        <v>#N/A</v>
      </c>
      <c r="G20" s="73"/>
      <c r="H20" s="71" t="str">
        <f>CONCATENATE("Alameda CTC model",IF(NOT(ISBLANK(F22)),", overridden",""))</f>
        <v>Alameda CTC model</v>
      </c>
      <c r="I20" s="71"/>
      <c r="J20" s="64"/>
      <c r="K20" s="187" t="s">
        <v>760</v>
      </c>
    </row>
    <row r="21" spans="1:11" ht="7.35" customHeight="1">
      <c r="A21" s="60"/>
      <c r="B21" s="65"/>
      <c r="C21" s="76"/>
      <c r="D21" s="203"/>
      <c r="E21" s="204"/>
      <c r="F21" s="71"/>
      <c r="G21" s="73"/>
      <c r="H21" s="205"/>
      <c r="I21" s="71"/>
      <c r="J21" s="64"/>
      <c r="K21" s="187"/>
    </row>
    <row r="22" spans="1:11" ht="15" customHeight="1">
      <c r="A22" s="60"/>
      <c r="B22" s="65"/>
      <c r="C22" s="76" t="s">
        <v>828</v>
      </c>
      <c r="D22" s="71"/>
      <c r="E22" s="204"/>
      <c r="F22" s="50"/>
      <c r="G22" s="73"/>
      <c r="H22" s="207" t="s">
        <v>20</v>
      </c>
      <c r="I22" s="71"/>
      <c r="J22" s="64"/>
      <c r="K22" s="187"/>
    </row>
    <row r="23" spans="1:11" ht="7.35" customHeight="1">
      <c r="A23" s="60"/>
      <c r="B23" s="65"/>
      <c r="C23" s="76"/>
      <c r="D23" s="71"/>
      <c r="E23" s="204"/>
      <c r="F23" s="71"/>
      <c r="G23" s="73"/>
      <c r="H23" s="71"/>
      <c r="I23" s="71"/>
      <c r="J23" s="64"/>
      <c r="K23" s="187"/>
    </row>
    <row r="24" spans="1:11">
      <c r="A24" s="60"/>
      <c r="B24" s="65"/>
      <c r="C24" s="76" t="s">
        <v>829</v>
      </c>
      <c r="D24" s="71"/>
      <c r="E24" s="204"/>
      <c r="F24" s="429" t="e">
        <f>IF(ISBLANK(F22),F20,F22)</f>
        <v>#N/A</v>
      </c>
      <c r="G24" s="73"/>
      <c r="H24" s="81" t="s">
        <v>744</v>
      </c>
      <c r="I24" s="71"/>
      <c r="J24" s="64"/>
      <c r="K24" s="22"/>
    </row>
    <row r="25" spans="1:11" ht="7.35" customHeight="1">
      <c r="A25" s="60"/>
      <c r="B25" s="65"/>
      <c r="C25" s="76"/>
      <c r="D25" s="71"/>
      <c r="E25" s="204"/>
      <c r="F25" s="73"/>
      <c r="G25" s="73"/>
      <c r="H25" s="81"/>
      <c r="I25" s="71"/>
      <c r="J25" s="64"/>
      <c r="K25" s="187"/>
    </row>
    <row r="26" spans="1:11" ht="15" customHeight="1">
      <c r="A26" s="60"/>
      <c r="B26" s="65"/>
      <c r="C26" s="76" t="s">
        <v>675</v>
      </c>
      <c r="D26" s="203"/>
      <c r="E26" s="204"/>
      <c r="F26" s="458" t="e">
        <f>IF(K26="Use Capcoa 2021",1.4,INDEX(VL_TAZ!$O$9:$AD$9,1,MATCH($C26,VL_TAZ!$O$10:$AD$10,0)))</f>
        <v>#N/A</v>
      </c>
      <c r="G26" s="73"/>
      <c r="H26" s="71" t="str">
        <f>CONCATENATE("Alameda CTC model",IF(NOT(ISBLANK(F28)),", overridden",""))</f>
        <v>Alameda CTC model</v>
      </c>
      <c r="I26" s="71"/>
      <c r="J26" s="64"/>
      <c r="K26" s="187" t="s">
        <v>760</v>
      </c>
    </row>
    <row r="27" spans="1:11" ht="7.35" customHeight="1">
      <c r="A27" s="60"/>
      <c r="B27" s="65"/>
      <c r="C27" s="76"/>
      <c r="D27" s="203"/>
      <c r="E27" s="71"/>
      <c r="F27" s="71"/>
      <c r="G27" s="73"/>
      <c r="H27" s="205"/>
      <c r="I27" s="71"/>
      <c r="J27" s="64"/>
      <c r="K27" s="60"/>
    </row>
    <row r="28" spans="1:11" ht="15" customHeight="1">
      <c r="A28" s="60"/>
      <c r="B28" s="65"/>
      <c r="C28" s="76" t="s">
        <v>826</v>
      </c>
      <c r="D28" s="203"/>
      <c r="E28" s="71"/>
      <c r="F28" s="51"/>
      <c r="G28" s="73"/>
      <c r="H28" s="207" t="s">
        <v>20</v>
      </c>
      <c r="I28" s="71"/>
      <c r="J28" s="64"/>
      <c r="K28" s="60"/>
    </row>
    <row r="29" spans="1:11" ht="7.35" customHeight="1">
      <c r="A29" s="60"/>
      <c r="B29" s="65"/>
      <c r="C29" s="76"/>
      <c r="D29" s="203"/>
      <c r="E29" s="71"/>
      <c r="F29" s="71"/>
      <c r="G29" s="73"/>
      <c r="H29" s="71"/>
      <c r="I29" s="71"/>
      <c r="J29" s="64"/>
      <c r="K29" s="60"/>
    </row>
    <row r="30" spans="1:11" ht="15" customHeight="1">
      <c r="A30" s="60"/>
      <c r="B30" s="65"/>
      <c r="C30" s="76" t="s">
        <v>827</v>
      </c>
      <c r="D30" s="203"/>
      <c r="E30" s="71"/>
      <c r="F30" s="429" t="e">
        <f>IF(ISBLANK(F28),F26,F28)</f>
        <v>#N/A</v>
      </c>
      <c r="G30" s="71"/>
      <c r="H30" s="81" t="s">
        <v>744</v>
      </c>
      <c r="I30" s="71"/>
      <c r="J30" s="64"/>
      <c r="K30" s="16"/>
    </row>
    <row r="31" spans="1:11" ht="15" customHeight="1">
      <c r="A31" s="60"/>
      <c r="B31" s="65"/>
      <c r="C31" s="76"/>
      <c r="D31" s="203"/>
      <c r="E31" s="71"/>
      <c r="F31" s="71"/>
      <c r="G31" s="73"/>
      <c r="H31" s="205"/>
      <c r="I31" s="71"/>
      <c r="J31" s="64"/>
      <c r="K31" s="60"/>
    </row>
    <row r="32" spans="1:11" ht="15" customHeight="1">
      <c r="A32" s="60"/>
      <c r="B32" s="65"/>
      <c r="C32" s="76" t="s">
        <v>878</v>
      </c>
      <c r="D32" s="203"/>
      <c r="E32" s="71"/>
      <c r="F32" s="461">
        <v>50</v>
      </c>
      <c r="G32" s="73"/>
      <c r="H32" s="204" t="s">
        <v>731</v>
      </c>
      <c r="I32" s="71"/>
      <c r="J32" s="64"/>
      <c r="K32" s="16"/>
    </row>
    <row r="33" spans="1:17" ht="26.25" customHeight="1">
      <c r="A33" s="60"/>
      <c r="B33" s="65"/>
      <c r="C33" s="76"/>
      <c r="D33" s="203"/>
      <c r="E33" s="71"/>
      <c r="F33" s="71"/>
      <c r="G33" s="73"/>
      <c r="H33" s="205"/>
      <c r="I33" s="71"/>
      <c r="J33" s="64"/>
      <c r="K33" s="60"/>
    </row>
    <row r="34" spans="1:17" ht="15" customHeight="1">
      <c r="A34" s="60"/>
      <c r="B34" s="65"/>
      <c r="C34" s="76" t="s">
        <v>147</v>
      </c>
      <c r="D34" s="203"/>
      <c r="E34" s="204"/>
      <c r="F34" s="98" t="str">
        <f>IF(OR(F12="",F14=""),"",IFERROR(MAX(-D8,-1*(((F14-F12)*F16*F32*F30)/(F18*F24))),""))</f>
        <v/>
      </c>
      <c r="G34" s="378"/>
      <c r="H34" s="41" t="b">
        <v>0</v>
      </c>
      <c r="I34" s="170" t="str">
        <f>IF(OR(H34=TRUE,F34=""),"Not Active","Active")</f>
        <v>Not Active</v>
      </c>
      <c r="J34" s="64"/>
      <c r="K34" s="60"/>
    </row>
    <row r="35" spans="1:17" ht="15" customHeight="1">
      <c r="A35" s="60"/>
      <c r="B35" s="65"/>
      <c r="C35" s="71"/>
      <c r="D35" s="71"/>
      <c r="E35" s="71"/>
      <c r="F35" s="71"/>
      <c r="G35" s="71"/>
      <c r="H35" s="73"/>
      <c r="I35" s="71"/>
      <c r="J35" s="64"/>
      <c r="K35" s="60"/>
    </row>
    <row r="36" spans="1:17" ht="51.95" customHeight="1">
      <c r="A36" s="60"/>
      <c r="B36" s="65"/>
      <c r="C36" s="633" t="str">
        <f>"Formula:  % Change in VMT =  " &amp; SUBSTITUTE("-1*((( " &amp; C14 &amp; " - " &amp; C12 &amp; " )* " &amp; C16 &amp; " * " &amp; C32 &amp; " * " &amp; C30 &amp; " )/( " &amp; C18 &amp; " * " &amp; C24 &amp; " ))"," used for calculation","")</f>
        <v>Formula:  % Change in VMT =  -1*((( % of residences in neighborhood/city with access to bikeshare system with strategy - % of residences in neighborhood/city with access to bikeshare system without strategy )* Daily bikeshare trips per person * Vehicle to bikeshare substitution rate * One-way bicycle trip length (miles) )/( Daily vehicle trips per person * One-way vehicle trip length in neighborhood/city (miles) ))</v>
      </c>
      <c r="D36" s="659"/>
      <c r="E36" s="659"/>
      <c r="F36" s="659"/>
      <c r="G36" s="659"/>
      <c r="H36" s="659"/>
      <c r="I36" s="660"/>
      <c r="J36" s="64"/>
      <c r="K36" s="60"/>
    </row>
    <row r="37" spans="1:17" ht="15" customHeight="1">
      <c r="A37" s="60"/>
      <c r="B37" s="65"/>
      <c r="C37" s="71"/>
      <c r="D37" s="71"/>
      <c r="E37" s="71"/>
      <c r="F37" s="71"/>
      <c r="G37" s="71"/>
      <c r="H37" s="73"/>
      <c r="I37" s="71"/>
      <c r="J37" s="64"/>
      <c r="K37" s="60"/>
    </row>
    <row r="38" spans="1:17" ht="15" customHeight="1">
      <c r="A38" s="60"/>
      <c r="B38" s="65"/>
      <c r="C38" s="71" t="s">
        <v>732</v>
      </c>
      <c r="D38" s="71"/>
      <c r="E38" s="71"/>
      <c r="F38" s="71"/>
      <c r="G38" s="71"/>
      <c r="H38" s="73"/>
      <c r="I38" s="71"/>
      <c r="J38" s="64"/>
      <c r="K38" s="60"/>
    </row>
    <row r="39" spans="1:17" ht="270" customHeight="1">
      <c r="A39" s="60"/>
      <c r="B39" s="65"/>
      <c r="C39" s="620" t="str">
        <f>INDEX(VL_TDM!$AG$11:$AG$41,MATCH($A$4,VL_TDM!$B$11:$B$41,0),1)</f>
        <v>(1) California Air Resources Board (CARB). 2020a. Revisiting Average Trip Length Defaults and Adjustment Factors for Quantifying VMT Reductions from Car Share, Bike Share, and Scooter Share Services. May. Available: https://ww2.arb.ca.gov/sites/default/files/classic//cc/capandtrade/auctionproceeds/sharedm obility_technical_052920.pdf. Accessed: January 2021. 
(2) Federal Highway Administration (FHWA). 2017. National Household Travel Survey – 2017 Table Designer. Travel Day PT by TRPTRANS by HH_CBSA. Available: https://nhts.ornl.gov/. Accessed: January 2021. 
(3) Federal Highway Administration (FHWA). 2018. Summary of Travel Trends 2017 – National Household Travel Survey. July. Available: https://www.fhwa.dot.gov/policyinformation/documents/2017_nhts_summary_travel_trends.p df. Accessed: January 2021. 
(4) Lazarus, J., Pourquier, J., Feng, F., Hammel, H., Shaheen, S. 2019. Bikesharing Evolution and Expansion: Understanding How Docked and Dockless Models Complement and Compete – A Case Study of San Francisco. Paper No. 19-02761. Annual Meeting of the Transportation Research Board: Washington, D.C. Available: https://trid.trb.org/view/1572878. Accessed: January 2021. 
(5) Metropolitan Transportation Commission (MTC). 2017. Plan Bay Area 2040 Final Supplemental Report – Travel Modeling Report. July. Available: http://2040.planbayarea.org/files/2020- 02/Travel_Modeling_PBA2040_Supplemental%20Report_7-2017.pdf. Accessed: January 2021.</v>
      </c>
      <c r="D39" s="597"/>
      <c r="E39" s="597"/>
      <c r="F39" s="597"/>
      <c r="G39" s="597"/>
      <c r="H39" s="597"/>
      <c r="I39" s="597"/>
      <c r="J39" s="64"/>
      <c r="K39" s="60"/>
    </row>
    <row r="40" spans="1:17" ht="15" customHeight="1">
      <c r="A40" s="60"/>
      <c r="B40" s="74"/>
      <c r="C40" s="462"/>
      <c r="D40" s="462"/>
      <c r="E40" s="462"/>
      <c r="F40" s="462"/>
      <c r="G40" s="463"/>
      <c r="H40" s="463"/>
      <c r="I40" s="463"/>
      <c r="J40" s="380"/>
      <c r="K40" s="60"/>
    </row>
    <row r="41" spans="1:17" ht="22.35" customHeight="1">
      <c r="A41" s="60"/>
      <c r="B41" s="60"/>
      <c r="C41" s="60"/>
      <c r="D41" s="60"/>
      <c r="E41" s="60"/>
      <c r="F41" s="60"/>
      <c r="G41" s="60"/>
      <c r="H41" s="75"/>
      <c r="I41" s="60"/>
      <c r="J41" s="60"/>
      <c r="K41" s="60"/>
      <c r="Q41" s="464"/>
    </row>
  </sheetData>
  <sheetProtection algorithmName="SHA-512" hashValue="KjuU+Im+jFScmtkVBcZovnCARx8Dl7288G+Zy7eq4S5cTa+1LOzD+sUKzB6b8DIpFrq7plf51KQ6prKvjzVR+A==" saltValue="/lKOKNyVMi/MNfJwS5IHzw==" spinCount="100000" sheet="1" objects="1" scenarios="1" selectLockedCells="1"/>
  <mergeCells count="4">
    <mergeCell ref="B4:J4"/>
    <mergeCell ref="C10:I10"/>
    <mergeCell ref="C36:I36"/>
    <mergeCell ref="C39:I39"/>
  </mergeCells>
  <conditionalFormatting sqref="F34">
    <cfRule type="expression" dxfId="17" priority="20">
      <formula>-ROUND($D$8,3)=ROUND($F$34,3)</formula>
    </cfRule>
    <cfRule type="expression" dxfId="16" priority="24">
      <formula>AND(F34&lt;&gt;"",F34&gt;0)</formula>
    </cfRule>
  </conditionalFormatting>
  <dataValidations count="3">
    <dataValidation type="decimal" allowBlank="1" showErrorMessage="1" errorTitle="Restriction" error="Value must be between 0% and 100%_x000a_" promptTitle="Restriction" prompt="Value must be between 0% and 100%_x000a_" sqref="F14 F12" xr:uid="{00000000-0002-0000-1200-000000000000}">
      <formula1>0</formula1>
      <formula2>1</formula2>
    </dataValidation>
    <dataValidation type="decimal" operator="greaterThanOrEqual" allowBlank="1" showErrorMessage="1" errorTitle="Restriction" error="Value must not be negative" promptTitle="Option" prompt="The user may override the above default community SOV mode share in this cell. Leave blank otherwise." sqref="F22" xr:uid="{00000000-0002-0000-1200-000001000000}">
      <formula1>0</formula1>
    </dataValidation>
    <dataValidation type="decimal" operator="greaterThanOrEqual" allowBlank="1" showErrorMessage="1" errorTitle="Restriction" error="Value must not be negative_x000a_" promptTitle="Option" prompt="The user may override the above default community SOV mode share in this cell. Leave blank otherwise." sqref="F28" xr:uid="{844046A6-63DE-4C26-84F9-DEF5AE30348C}">
      <formula1>0</formula1>
    </dataValidation>
  </dataValidations>
  <hyperlinks>
    <hyperlink ref="I7" location="Results!A1" display="Results Summary" xr:uid="{00000000-0004-0000-1200-000001000000}"/>
    <hyperlink ref="I6" location="Main!L65" display="Return to Main É" xr:uid="{00000000-0004-0000-1200-000002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949" r:id="rId4" name="Check Box 5">
              <controlPr defaultSize="0" autoFill="0" autoLine="0" autoPict="0" altText="Exclude From Results Summary">
                <anchor moveWithCells="1">
                  <from>
                    <xdr:col>7</xdr:col>
                    <xdr:colOff>0</xdr:colOff>
                    <xdr:row>32</xdr:row>
                    <xdr:rowOff>333375</xdr:rowOff>
                  </from>
                  <to>
                    <xdr:col>8</xdr:col>
                    <xdr:colOff>28575</xdr:colOff>
                    <xdr:row>34</xdr:row>
                    <xdr:rowOff>28575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rgb="FF000099"/>
  </sheetPr>
  <dimension ref="A1:M30"/>
  <sheetViews>
    <sheetView showGridLines="0" showRowColHeaders="0" topLeftCell="A3" zoomScaleNormal="100" workbookViewId="0">
      <selection activeCell="F13" sqref="F13"/>
    </sheetView>
  </sheetViews>
  <sheetFormatPr defaultColWidth="0" defaultRowHeight="15" zeroHeight="1"/>
  <cols>
    <col min="1" max="1" width="4.42578125" style="87" customWidth="1"/>
    <col min="2" max="2" width="8.85546875" style="87" customWidth="1"/>
    <col min="3" max="3" width="20" style="87" customWidth="1"/>
    <col min="4" max="4" width="22" style="87" customWidth="1"/>
    <col min="5" max="5" width="37.5703125" style="87" customWidth="1"/>
    <col min="6" max="6" width="10.5703125" style="87" customWidth="1"/>
    <col min="7" max="7" width="5.5703125" style="87" customWidth="1"/>
    <col min="8" max="8" width="20.42578125" style="88" customWidth="1"/>
    <col min="9" max="9" width="17.5703125" style="87" customWidth="1"/>
    <col min="10" max="10" width="8.85546875" style="87" customWidth="1"/>
    <col min="11" max="11" width="4.5703125" style="87" customWidth="1"/>
    <col min="12" max="13" width="39.42578125" hidden="1" customWidth="1"/>
    <col min="14" max="16384" width="8.85546875" hidden="1"/>
  </cols>
  <sheetData>
    <row r="1" spans="1:11" hidden="1">
      <c r="A1" s="60"/>
      <c r="B1" s="60"/>
      <c r="C1" s="60"/>
      <c r="D1" s="60"/>
      <c r="E1" s="60"/>
      <c r="F1" s="60"/>
      <c r="G1" s="60"/>
      <c r="H1" s="75"/>
      <c r="I1" s="60"/>
      <c r="J1" s="60"/>
      <c r="K1" s="60"/>
    </row>
    <row r="2" spans="1:11" hidden="1">
      <c r="A2" s="60"/>
      <c r="B2" s="60"/>
      <c r="C2" s="60"/>
      <c r="D2" s="60"/>
      <c r="E2" s="60"/>
      <c r="F2" s="60"/>
      <c r="G2" s="60"/>
      <c r="H2" s="75"/>
      <c r="I2" s="60"/>
      <c r="J2" s="60"/>
      <c r="K2" s="60"/>
    </row>
    <row r="3" spans="1:11" ht="22.35" customHeight="1">
      <c r="A3" s="60"/>
      <c r="B3" s="39"/>
      <c r="C3" s="60"/>
      <c r="D3" s="60"/>
      <c r="E3" s="60"/>
      <c r="F3" s="60"/>
      <c r="G3" s="60"/>
      <c r="H3" s="75"/>
      <c r="I3" s="60"/>
      <c r="J3" s="60"/>
      <c r="K3" s="60"/>
    </row>
    <row r="4" spans="1:11" ht="18.75">
      <c r="A4" s="187" t="s">
        <v>76</v>
      </c>
      <c r="B4" s="655" t="str">
        <f>A4&amp;". "&amp;INDEX(VL_TDM!$E$11:$E$41,MATCH($A$4,VL_TDM!$B$11:$B$41,0),1)</f>
        <v>4F. Carshare</v>
      </c>
      <c r="C4" s="600"/>
      <c r="D4" s="600"/>
      <c r="E4" s="600"/>
      <c r="F4" s="600"/>
      <c r="G4" s="600"/>
      <c r="H4" s="600"/>
      <c r="I4" s="600"/>
      <c r="J4" s="601"/>
    </row>
    <row r="5" spans="1:11" ht="15" customHeight="1">
      <c r="A5" s="60"/>
      <c r="B5" s="65"/>
      <c r="C5" s="82"/>
      <c r="D5" s="82"/>
      <c r="E5" s="82"/>
      <c r="F5" s="82"/>
      <c r="G5" s="71"/>
      <c r="H5" s="73"/>
      <c r="I5" s="71"/>
      <c r="J5" s="64"/>
      <c r="K5" s="60"/>
    </row>
    <row r="6" spans="1:11" ht="15" customHeight="1">
      <c r="A6" s="60"/>
      <c r="B6" s="65"/>
      <c r="C6" s="71" t="s">
        <v>723</v>
      </c>
      <c r="D6" s="370" t="str">
        <f>INDEX(VL_TDM!$AC$11:$AC$41,MATCH($A$4,VL_TDM!$B$11:$B$41,0),1)</f>
        <v>Neighborhood/City</v>
      </c>
      <c r="E6" s="73"/>
      <c r="F6" s="73"/>
      <c r="G6" s="73"/>
      <c r="H6" s="73"/>
      <c r="I6" s="500" t="s">
        <v>120</v>
      </c>
      <c r="J6" s="64"/>
      <c r="K6" s="60"/>
    </row>
    <row r="7" spans="1:11" ht="15" customHeight="1">
      <c r="A7" s="60"/>
      <c r="B7" s="65"/>
      <c r="C7" s="81" t="s">
        <v>724</v>
      </c>
      <c r="D7" s="85" t="str">
        <f>INDEX(VL_TDM!$AD$11:$AD$41,MATCH($A$4,VL_TDM!$B$11:$B$41,0),1)</f>
        <v>All neighborhood/city trips</v>
      </c>
      <c r="E7" s="73"/>
      <c r="F7" s="73"/>
      <c r="G7" s="73"/>
      <c r="H7" s="71"/>
      <c r="I7" s="500" t="s">
        <v>153</v>
      </c>
      <c r="J7" s="64"/>
      <c r="K7" s="60"/>
    </row>
    <row r="8" spans="1:11" ht="15" customHeight="1">
      <c r="A8" s="60"/>
      <c r="B8" s="65"/>
      <c r="C8" s="81" t="s">
        <v>725</v>
      </c>
      <c r="D8" s="86">
        <f>INDEX(VL_TDM!$AE$11:$AE$41,MATCH($A$4,VL_TDM!$B$11:$B$41,0),1)</f>
        <v>7.0000000000000001E-3</v>
      </c>
      <c r="E8" s="82"/>
      <c r="F8" s="82"/>
      <c r="G8" s="71"/>
      <c r="H8" s="73"/>
      <c r="I8" s="71"/>
      <c r="J8" s="64"/>
      <c r="K8" s="60"/>
    </row>
    <row r="9" spans="1:11" ht="15" customHeight="1">
      <c r="A9" s="60"/>
      <c r="B9" s="65"/>
      <c r="C9" s="71"/>
      <c r="D9" s="71"/>
      <c r="E9" s="71"/>
      <c r="F9" s="71"/>
      <c r="G9" s="71"/>
      <c r="H9" s="73"/>
      <c r="I9" s="71"/>
      <c r="J9" s="64"/>
      <c r="K9" s="60"/>
    </row>
    <row r="10" spans="1:11" ht="80.099999999999994" customHeight="1">
      <c r="A10" s="60"/>
      <c r="B10" s="65"/>
      <c r="C10" s="602" t="str">
        <f>INDEX(VL_TDM!$AF$11:$AF$41,MATCH($A$4,VL_TDM!$B$11:$B$41,0),1)</f>
        <v>This strategy will increase carshare access in the user’s neighborhood/city by deploying carshare vehicles. Carsharing offers people convenient access to a vehicle for personal or commuting purposes. This helps encourage transportation alternatives by reducing vehicle ownership, thereby avoiding VMT and associated GHG emissions. When implementing a carshare program, best practice is to discount carshare membership and provide priority parking for carshare vehicles to encourage use of the service.</v>
      </c>
      <c r="D10" s="594"/>
      <c r="E10" s="594"/>
      <c r="F10" s="594"/>
      <c r="G10" s="594"/>
      <c r="H10" s="594"/>
      <c r="I10" s="594"/>
      <c r="J10" s="64"/>
      <c r="K10" s="60"/>
    </row>
    <row r="11" spans="1:11" ht="15" customHeight="1">
      <c r="A11" s="60"/>
      <c r="B11" s="65"/>
      <c r="C11" s="76"/>
      <c r="D11" s="76"/>
      <c r="E11" s="76"/>
      <c r="F11" s="76"/>
      <c r="G11" s="76"/>
      <c r="H11" s="76"/>
      <c r="I11" s="71"/>
      <c r="J11" s="64"/>
      <c r="K11" s="60"/>
    </row>
    <row r="12" spans="1:11" ht="7.35" customHeight="1">
      <c r="A12" s="60"/>
      <c r="B12" s="65"/>
      <c r="C12" s="454"/>
      <c r="D12" s="81"/>
      <c r="E12" s="71"/>
      <c r="F12" s="71"/>
      <c r="G12" s="73"/>
      <c r="H12" s="205"/>
      <c r="I12" s="71"/>
      <c r="J12" s="64"/>
      <c r="K12" s="60"/>
    </row>
    <row r="13" spans="1:11" ht="15" customHeight="1">
      <c r="A13" s="60"/>
      <c r="B13" s="65"/>
      <c r="C13" s="76" t="str">
        <f>CONCATENATE("% adults in ",jurisdiction," with existing carshare access")</f>
        <v>% adults in  with existing carshare access</v>
      </c>
      <c r="D13" s="70"/>
      <c r="E13" s="465"/>
      <c r="F13" s="53"/>
      <c r="G13" s="73"/>
      <c r="H13" s="466" t="s">
        <v>17</v>
      </c>
      <c r="I13" s="71"/>
      <c r="J13" s="64"/>
      <c r="K13" s="16"/>
    </row>
    <row r="14" spans="1:11" ht="7.35" customHeight="1">
      <c r="A14" s="60"/>
      <c r="B14" s="65"/>
      <c r="C14" s="77"/>
      <c r="D14" s="81"/>
      <c r="E14" s="71"/>
      <c r="F14" s="71"/>
      <c r="G14" s="73"/>
      <c r="H14" s="205"/>
      <c r="I14" s="71"/>
      <c r="J14" s="64"/>
      <c r="K14" s="60"/>
    </row>
    <row r="15" spans="1:11" ht="15" customHeight="1">
      <c r="A15" s="60"/>
      <c r="B15" s="65"/>
      <c r="C15" s="76" t="str">
        <f>CONCATENATE("% adults in ",jurisdiction," with carshare access with strategy")</f>
        <v>% adults in  with carshare access with strategy</v>
      </c>
      <c r="D15" s="70"/>
      <c r="E15" s="465"/>
      <c r="F15" s="53"/>
      <c r="G15" s="73"/>
      <c r="H15" s="80" t="s">
        <v>17</v>
      </c>
      <c r="I15" s="71"/>
      <c r="J15" s="64"/>
      <c r="K15" s="16"/>
    </row>
    <row r="16" spans="1:11" ht="7.35" customHeight="1">
      <c r="A16" s="60"/>
      <c r="B16" s="65"/>
      <c r="C16" s="81"/>
      <c r="D16" s="81"/>
      <c r="E16" s="71"/>
      <c r="F16" s="71"/>
      <c r="G16" s="73"/>
      <c r="H16" s="205"/>
      <c r="I16" s="71"/>
      <c r="J16" s="64"/>
      <c r="K16" s="60"/>
    </row>
    <row r="17" spans="1:11" ht="15" customHeight="1">
      <c r="A17" s="60"/>
      <c r="B17" s="65"/>
      <c r="C17" s="76" t="s">
        <v>879</v>
      </c>
      <c r="D17" s="203"/>
      <c r="E17" s="373"/>
      <c r="F17" s="422" t="str">
        <f>IF(OR(ISBLANK(F13),ISBLANK(F15)),"",(F15-F13))</f>
        <v/>
      </c>
      <c r="G17" s="73"/>
      <c r="H17" s="80" t="s">
        <v>744</v>
      </c>
      <c r="I17" s="71"/>
      <c r="J17" s="64"/>
      <c r="K17" s="60"/>
    </row>
    <row r="18" spans="1:11" ht="7.35" customHeight="1">
      <c r="A18" s="60"/>
      <c r="B18" s="65"/>
      <c r="C18" s="77"/>
      <c r="D18" s="81"/>
      <c r="E18" s="71"/>
      <c r="F18" s="71"/>
      <c r="G18" s="73"/>
      <c r="H18" s="205"/>
      <c r="I18" s="71"/>
      <c r="J18" s="64"/>
      <c r="K18" s="60"/>
    </row>
    <row r="19" spans="1:11" ht="15" customHeight="1">
      <c r="A19" s="60"/>
      <c r="B19" s="65"/>
      <c r="C19" s="76" t="s">
        <v>880</v>
      </c>
      <c r="D19" s="203"/>
      <c r="E19" s="373"/>
      <c r="F19" s="467">
        <v>0.02</v>
      </c>
      <c r="G19" s="73"/>
      <c r="H19" s="80" t="s">
        <v>812</v>
      </c>
      <c r="I19" s="71"/>
      <c r="J19" s="64"/>
      <c r="K19" s="16"/>
    </row>
    <row r="20" spans="1:11" ht="7.35" customHeight="1">
      <c r="A20" s="60"/>
      <c r="B20" s="65"/>
      <c r="C20" s="77"/>
      <c r="D20" s="81"/>
      <c r="E20" s="71"/>
      <c r="F20" s="71"/>
      <c r="G20" s="73"/>
      <c r="H20" s="205"/>
      <c r="I20" s="71"/>
      <c r="J20" s="64"/>
      <c r="K20" s="60"/>
    </row>
    <row r="21" spans="1:11" ht="15" customHeight="1">
      <c r="A21" s="60"/>
      <c r="B21" s="65"/>
      <c r="C21" s="76" t="s">
        <v>881</v>
      </c>
      <c r="D21" s="203"/>
      <c r="E21" s="373"/>
      <c r="F21" s="208">
        <v>0.32900000000000001</v>
      </c>
      <c r="G21" s="73"/>
      <c r="H21" s="80" t="s">
        <v>847</v>
      </c>
      <c r="I21" s="71"/>
      <c r="J21" s="64"/>
      <c r="K21" s="16"/>
    </row>
    <row r="22" spans="1:11" ht="7.35" customHeight="1">
      <c r="A22" s="60"/>
      <c r="B22" s="65"/>
      <c r="C22" s="76"/>
      <c r="D22" s="71"/>
      <c r="E22" s="204"/>
      <c r="F22" s="73"/>
      <c r="G22" s="73"/>
      <c r="H22" s="81"/>
      <c r="I22" s="71"/>
      <c r="J22" s="64"/>
      <c r="K22" s="60"/>
    </row>
    <row r="23" spans="1:11" ht="15" customHeight="1">
      <c r="A23" s="60"/>
      <c r="B23" s="65"/>
      <c r="C23" s="76" t="s">
        <v>147</v>
      </c>
      <c r="D23" s="203"/>
      <c r="E23" s="204"/>
      <c r="F23" s="98" t="str">
        <f>IF(OR(F13="",F15=""),"",IFERROR(MAX(-D8,-(F15-F13)*F19*F21),""))</f>
        <v/>
      </c>
      <c r="G23" s="378"/>
      <c r="H23" s="41" t="b">
        <v>0</v>
      </c>
      <c r="I23" s="170" t="str">
        <f>IF(OR(H23=TRUE,F23=""),"Not Active","Active")</f>
        <v>Not Active</v>
      </c>
      <c r="J23" s="64"/>
      <c r="K23" s="60"/>
    </row>
    <row r="24" spans="1:11" ht="15" customHeight="1">
      <c r="A24" s="60"/>
      <c r="B24" s="65"/>
      <c r="C24" s="71"/>
      <c r="D24" s="71"/>
      <c r="E24" s="3"/>
      <c r="F24" s="71"/>
      <c r="G24" s="71"/>
      <c r="H24" s="73"/>
      <c r="I24" s="71"/>
      <c r="J24" s="64"/>
      <c r="K24" s="95"/>
    </row>
    <row r="25" spans="1:11" ht="35.1" customHeight="1">
      <c r="A25" s="60"/>
      <c r="B25" s="65"/>
      <c r="C25" s="633" t="str">
        <f>"Formula:  % Change in VMT =  " &amp; SUBSTITUTE("-( " &amp; C15 &amp; " - " &amp; C13 &amp; " )* " &amp; C19 &amp; " * " &amp; C21 &amp; " "," used for calculation","")</f>
        <v xml:space="preserve">Formula:  % Change in VMT =  -( % adults in  with carshare access with strategy - % adults in  with existing carshare access )* % of adults with carshare access who become members * Percent VMT reduction by carshare members </v>
      </c>
      <c r="D25" s="659"/>
      <c r="E25" s="659"/>
      <c r="F25" s="659"/>
      <c r="G25" s="659"/>
      <c r="H25" s="659"/>
      <c r="I25" s="660"/>
      <c r="J25" s="64"/>
      <c r="K25" s="95"/>
    </row>
    <row r="26" spans="1:11" ht="15" customHeight="1">
      <c r="A26" s="60"/>
      <c r="B26" s="65"/>
      <c r="C26" s="71"/>
      <c r="D26" s="71"/>
      <c r="E26" s="71"/>
      <c r="F26" s="71"/>
      <c r="G26" s="71"/>
      <c r="H26" s="73"/>
      <c r="I26" s="71"/>
      <c r="J26" s="64"/>
      <c r="K26" s="95"/>
    </row>
    <row r="27" spans="1:11" ht="15" customHeight="1">
      <c r="A27" s="60"/>
      <c r="B27" s="65"/>
      <c r="C27" s="71" t="s">
        <v>732</v>
      </c>
      <c r="D27" s="71"/>
      <c r="E27" s="71"/>
      <c r="F27" s="71"/>
      <c r="G27" s="71"/>
      <c r="H27" s="73"/>
      <c r="I27" s="71"/>
      <c r="J27" s="64"/>
      <c r="K27" s="60"/>
    </row>
    <row r="28" spans="1:11" ht="150" customHeight="1">
      <c r="A28" s="60"/>
      <c r="B28" s="65"/>
      <c r="C28" s="551" t="str">
        <f>INDEX(VL_TDM!$AG$11:$AG$41,MATCH($A$4,VL_TDM!$B$11:$B$41,0),1)</f>
        <v>(1) Cervero, R., Golub, A., Nee, B. 2007. San Francisco City CarShare: Longer-Term Travel-Demand and Car Ownership Impacts. January. Available: https://iurd.berkeley.edu/wp/2006-07.pdf. Accessed: January 2021. 
(2) Lovejoy, K., Handy, S., Boarnet, M. 2013. Impacts of Carsharing on Passenger Vehicle Use and Greenhouse Gas Emissions Policy Brief. October. Available: https://ww2.arb.ca.gov/sites/default/files/2020- 06/Impacts_of_Carsharing_on_Passenger_Vehicle_Use_and_Greenhouse_Gas_Emissions_Policy_B rief.pdf. Accessed: January 2021. 
(3) San Diego Association of Governments (SANDAG). 2017. San Diego Regional Transportation Study. Volume 1: Technical Report. Available: https://www.sandag.org/uploads/publicationid/publicationid_2145_23025.pdf. Accessed: January 2021.</v>
      </c>
      <c r="D28" s="594"/>
      <c r="E28" s="594"/>
      <c r="F28" s="594"/>
      <c r="G28" s="594"/>
      <c r="H28" s="594"/>
      <c r="I28" s="594"/>
      <c r="J28" s="64"/>
      <c r="K28" s="60"/>
    </row>
    <row r="29" spans="1:11" ht="15" customHeight="1">
      <c r="A29" s="60"/>
      <c r="B29" s="74"/>
      <c r="C29" s="177"/>
      <c r="D29" s="177"/>
      <c r="E29" s="177"/>
      <c r="F29" s="177"/>
      <c r="G29" s="177"/>
      <c r="H29" s="379"/>
      <c r="I29" s="177"/>
      <c r="J29" s="380"/>
      <c r="K29" s="60"/>
    </row>
    <row r="30" spans="1:11" ht="22.35" customHeight="1">
      <c r="A30" s="60"/>
      <c r="B30" s="60"/>
      <c r="C30" s="60"/>
      <c r="D30" s="60"/>
      <c r="E30" s="60"/>
      <c r="F30" s="60"/>
      <c r="G30" s="60"/>
      <c r="H30" s="75"/>
      <c r="I30" s="60"/>
      <c r="J30" s="60"/>
      <c r="K30" s="60"/>
    </row>
  </sheetData>
  <sheetProtection algorithmName="SHA-512" hashValue="hHn8QG+FhuQdikAZRQHSmnwD9LW9l4DOmx6l6CfjEhk9zsVRvJiVM3JnsWGqraKd+/Xm5rUhzOGde4iIqkuZLA==" saltValue="PpqILm4q/48ockBk4Guibg==" spinCount="100000" sheet="1" objects="1" scenarios="1" selectLockedCells="1"/>
  <mergeCells count="4">
    <mergeCell ref="B4:J4"/>
    <mergeCell ref="C10:I10"/>
    <mergeCell ref="C25:I25"/>
    <mergeCell ref="C28:I28"/>
  </mergeCells>
  <conditionalFormatting sqref="F23">
    <cfRule type="expression" dxfId="15" priority="12">
      <formula>AND(F23&lt;&gt;"",F23&gt;0)</formula>
    </cfRule>
    <cfRule type="expression" dxfId="14" priority="15">
      <formula>-ROUND($D$8,3)=ROUND($F$23,3)</formula>
    </cfRule>
  </conditionalFormatting>
  <dataValidations count="1">
    <dataValidation type="decimal" allowBlank="1" showErrorMessage="1" errorTitle="Restriction" error="Value must be between 0% and 100%_x000a_" promptTitle="Restriction" prompt="Value must be between 0% and 100%_x000a_" sqref="F15 F13" xr:uid="{00000000-0002-0000-1300-000000000000}">
      <formula1>0</formula1>
      <formula2>1</formula2>
    </dataValidation>
  </dataValidations>
  <hyperlinks>
    <hyperlink ref="I7" location="Results!A1" display="Results Summary" xr:uid="{00000000-0004-0000-1300-000000000000}"/>
    <hyperlink ref="I6" location="Main!L65" display="Return to Main É" xr:uid="{00000000-0004-0000-13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Check Box 1">
              <controlPr defaultSize="0" autoFill="0" autoLine="0" autoPict="0" altText="Exclude From Results Summary">
                <anchor moveWithCells="1">
                  <from>
                    <xdr:col>6</xdr:col>
                    <xdr:colOff>342900</xdr:colOff>
                    <xdr:row>22</xdr:row>
                    <xdr:rowOff>9525</xdr:rowOff>
                  </from>
                  <to>
                    <xdr:col>8</xdr:col>
                    <xdr:colOff>9525</xdr:colOff>
                    <xdr:row>23</xdr:row>
                    <xdr:rowOff>47625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0099"/>
  </sheetPr>
  <dimension ref="A1:U38"/>
  <sheetViews>
    <sheetView showGridLines="0" showRowColHeaders="0" topLeftCell="A3" zoomScaleNormal="100" workbookViewId="0">
      <selection activeCell="E14" sqref="E14"/>
    </sheetView>
  </sheetViews>
  <sheetFormatPr defaultColWidth="0" defaultRowHeight="15" zeroHeight="1"/>
  <cols>
    <col min="1" max="1" width="4.42578125" customWidth="1"/>
    <col min="2" max="2" width="8.85546875" customWidth="1"/>
    <col min="3" max="3" width="20" customWidth="1"/>
    <col min="4" max="4" width="48.5703125" customWidth="1"/>
    <col min="5" max="5" width="10.5703125" customWidth="1"/>
    <col min="6" max="6" width="5.5703125" customWidth="1"/>
    <col min="7" max="7" width="21" style="1" customWidth="1"/>
    <col min="8" max="8" width="17.5703125" customWidth="1"/>
    <col min="9" max="9" width="8.85546875" customWidth="1"/>
    <col min="10" max="10" width="4.5703125" customWidth="1"/>
    <col min="11" max="12" width="53" hidden="1" customWidth="1"/>
    <col min="13" max="16384" width="8.85546875" hidden="1"/>
  </cols>
  <sheetData>
    <row r="1" spans="1:21" hidden="1">
      <c r="A1" s="16"/>
      <c r="B1" s="16"/>
      <c r="C1" s="16"/>
      <c r="D1" s="16"/>
      <c r="E1" s="16"/>
      <c r="F1" s="16"/>
      <c r="G1" s="17"/>
      <c r="H1" s="16"/>
      <c r="I1" s="16"/>
      <c r="J1" s="16"/>
    </row>
    <row r="2" spans="1:21" hidden="1">
      <c r="A2" s="16"/>
      <c r="B2" s="16"/>
      <c r="C2" s="16"/>
      <c r="D2" s="16"/>
      <c r="E2" s="16"/>
      <c r="F2" s="16"/>
      <c r="G2" s="17"/>
      <c r="H2" s="16"/>
      <c r="I2" s="16"/>
      <c r="J2" s="16"/>
    </row>
    <row r="3" spans="1:21" ht="22.35" customHeight="1">
      <c r="A3" s="16"/>
      <c r="B3" s="29"/>
      <c r="C3" s="16"/>
      <c r="D3" s="16"/>
      <c r="E3" s="16"/>
      <c r="F3" s="16"/>
      <c r="G3" s="17"/>
      <c r="H3" s="16"/>
      <c r="I3" s="16"/>
      <c r="J3" s="16"/>
    </row>
    <row r="4" spans="1:21" ht="21.6" customHeight="1">
      <c r="A4" s="22" t="s">
        <v>80</v>
      </c>
      <c r="B4" s="655" t="str">
        <f>A4&amp;". "&amp;INDEX(VL_TDM!$E$11:$E$41,MATCH($A$4,VL_TDM!$B$11:$B$41,0),1)</f>
        <v>4G. Community-Based Travel Planning</v>
      </c>
      <c r="C4" s="600"/>
      <c r="D4" s="600"/>
      <c r="E4" s="600"/>
      <c r="F4" s="600"/>
      <c r="G4" s="600"/>
      <c r="H4" s="600"/>
      <c r="I4" s="601"/>
      <c r="J4" s="16"/>
    </row>
    <row r="5" spans="1:21" ht="15" customHeight="1">
      <c r="A5" s="16"/>
      <c r="B5" s="11"/>
      <c r="C5" s="10"/>
      <c r="D5" s="10"/>
      <c r="E5" s="10"/>
      <c r="F5" s="3"/>
      <c r="G5" s="4"/>
      <c r="H5" s="3"/>
      <c r="I5" s="5"/>
      <c r="J5" s="16"/>
    </row>
    <row r="6" spans="1:21" ht="15" customHeight="1">
      <c r="A6" s="16"/>
      <c r="B6" s="11"/>
      <c r="C6" s="3" t="s">
        <v>723</v>
      </c>
      <c r="D6" s="19" t="str">
        <f>INDEX(VL_TDM!$AC$11:$AC$41,MATCH($A$4,VL_TDM!$B$11:$B$41,0),1)</f>
        <v>Neighborhood/City</v>
      </c>
      <c r="E6" s="4"/>
      <c r="F6" s="4"/>
      <c r="G6" s="4"/>
      <c r="H6" s="497" t="s">
        <v>120</v>
      </c>
      <c r="I6" s="5"/>
      <c r="J6" s="16"/>
    </row>
    <row r="7" spans="1:21" ht="15" customHeight="1">
      <c r="A7" s="16"/>
      <c r="B7" s="11"/>
      <c r="C7" s="8" t="s">
        <v>724</v>
      </c>
      <c r="D7" s="362" t="str">
        <f>INDEX(VL_TDM!$AD$11:$AD$41,MATCH($A$4,VL_TDM!$B$11:$B$41,0),1)</f>
        <v>All neighborhood/city trips</v>
      </c>
      <c r="E7" s="4"/>
      <c r="F7" s="4"/>
      <c r="G7" s="3"/>
      <c r="H7" s="497" t="s">
        <v>153</v>
      </c>
      <c r="I7" s="5"/>
      <c r="J7" s="16"/>
    </row>
    <row r="8" spans="1:21" ht="15" customHeight="1">
      <c r="A8" s="16"/>
      <c r="B8" s="11"/>
      <c r="C8" s="8" t="s">
        <v>725</v>
      </c>
      <c r="D8" s="37">
        <f>INDEX(VL_TDM!$AE$11:$AE$41,MATCH($A$4,VL_TDM!$B$11:$B$41,0),1)</f>
        <v>2.3E-2</v>
      </c>
      <c r="E8" s="10"/>
      <c r="F8" s="3"/>
      <c r="G8" s="4"/>
      <c r="H8" s="3"/>
      <c r="I8" s="5"/>
      <c r="J8" s="16"/>
    </row>
    <row r="9" spans="1:21" ht="15" customHeight="1">
      <c r="A9" s="16"/>
      <c r="B9" s="11"/>
      <c r="C9" s="3"/>
      <c r="D9" s="3"/>
      <c r="E9" s="3"/>
      <c r="F9" s="3"/>
      <c r="G9" s="4"/>
      <c r="H9" s="3"/>
      <c r="I9" s="5"/>
      <c r="J9" s="16"/>
    </row>
    <row r="10" spans="1:21" ht="99.95" customHeight="1">
      <c r="A10" s="16"/>
      <c r="B10" s="11"/>
      <c r="C10" s="602" t="str">
        <f>INDEX(VL_TDM!$AF$11:$AF$41,MATCH($A$4,VL_TDM!$B$11:$B$41,0),1)</f>
        <v>This strategy will target residences in the neighborhood/city with community-based travel planning (CBTP). CBTP is a residential-based approach to outreach that provides households with customized information, incentives, and support to encourage the use of transportation alternatives in place of single occupancy vehicles, thereby reducing VMT and associated GHG emissions. CBTP involves teams of trained travel advisors visiting all households within a targeted geographic area, having tailored conversations about residents’ travel needs, and educating residents about the various transportation options available to them. Due to the personalized outreach method, communities are typically targeted in phases.</v>
      </c>
      <c r="D10" s="594"/>
      <c r="E10" s="594"/>
      <c r="F10" s="594"/>
      <c r="G10" s="594"/>
      <c r="H10" s="594"/>
      <c r="I10" s="5"/>
      <c r="J10" s="16"/>
    </row>
    <row r="11" spans="1:21" ht="15" customHeight="1">
      <c r="A11" s="16"/>
      <c r="B11" s="11"/>
      <c r="C11" s="3"/>
      <c r="D11" s="3"/>
      <c r="E11" s="3"/>
      <c r="F11" s="3"/>
      <c r="G11" s="4"/>
      <c r="H11" s="3"/>
      <c r="I11" s="5"/>
      <c r="J11" s="16"/>
    </row>
    <row r="12" spans="1:21" ht="15" customHeight="1">
      <c r="A12" s="16"/>
      <c r="B12" s="11"/>
      <c r="C12" s="7" t="s">
        <v>680</v>
      </c>
      <c r="D12" s="3"/>
      <c r="E12" s="468" t="str">
        <f>IF(ISBLANK(Location),"",INDEX(VL_TAZ!$O$9:$AD$9,1,MATCH($C12,VL_TAZ!$O$10:$AD$10,0)))</f>
        <v/>
      </c>
      <c r="F12" s="4"/>
      <c r="G12" s="204" t="s">
        <v>736</v>
      </c>
      <c r="H12" s="3"/>
      <c r="I12" s="5"/>
      <c r="J12" s="16"/>
      <c r="K12" s="25"/>
      <c r="L12" s="25"/>
      <c r="M12" s="25"/>
      <c r="N12" s="25"/>
      <c r="O12" s="25"/>
      <c r="P12" s="25"/>
      <c r="Q12" s="25"/>
      <c r="R12" s="25"/>
      <c r="S12" s="25"/>
      <c r="T12" s="25"/>
      <c r="U12" s="25"/>
    </row>
    <row r="13" spans="1:21" ht="7.35" customHeight="1">
      <c r="A13" s="16"/>
      <c r="B13" s="11"/>
      <c r="C13" s="7"/>
      <c r="D13" s="3"/>
      <c r="E13" s="3"/>
      <c r="F13" s="4"/>
      <c r="G13" s="3"/>
      <c r="H13" s="3"/>
      <c r="I13" s="5"/>
      <c r="J13" s="16"/>
      <c r="K13" s="25"/>
      <c r="L13" s="25"/>
      <c r="M13" s="25"/>
      <c r="N13" s="25"/>
      <c r="O13" s="25"/>
      <c r="P13" s="25"/>
      <c r="Q13" s="25"/>
      <c r="R13" s="25"/>
      <c r="S13" s="25"/>
      <c r="T13" s="25"/>
      <c r="U13" s="25"/>
    </row>
    <row r="14" spans="1:21" ht="15" customHeight="1">
      <c r="A14" s="16"/>
      <c r="B14" s="11"/>
      <c r="C14" s="7" t="s">
        <v>882</v>
      </c>
      <c r="D14" s="3"/>
      <c r="E14" s="472"/>
      <c r="F14" s="4"/>
      <c r="G14" s="3" t="s">
        <v>17</v>
      </c>
      <c r="H14" s="3"/>
      <c r="I14" s="5"/>
      <c r="J14" s="16"/>
      <c r="K14" s="25"/>
      <c r="L14" s="25"/>
      <c r="M14" s="25"/>
      <c r="N14" s="25"/>
      <c r="O14" s="25"/>
      <c r="P14" s="25"/>
      <c r="Q14" s="25"/>
      <c r="R14" s="25"/>
      <c r="S14" s="25"/>
      <c r="T14" s="25"/>
      <c r="U14" s="25"/>
    </row>
    <row r="15" spans="1:21" ht="7.35" customHeight="1">
      <c r="A15" s="16"/>
      <c r="B15" s="11"/>
      <c r="C15" s="7"/>
      <c r="D15" s="3"/>
      <c r="E15" s="3"/>
      <c r="F15" s="4"/>
      <c r="G15" s="3"/>
      <c r="H15" s="3"/>
      <c r="I15" s="5"/>
      <c r="J15" s="96"/>
      <c r="K15" s="25"/>
      <c r="L15" s="25"/>
      <c r="M15" s="25"/>
      <c r="N15" s="25"/>
      <c r="O15" s="25"/>
      <c r="P15" s="25"/>
      <c r="Q15" s="25"/>
      <c r="R15" s="25"/>
      <c r="S15" s="25"/>
      <c r="T15" s="25"/>
      <c r="U15" s="25"/>
    </row>
    <row r="16" spans="1:21" ht="15" customHeight="1">
      <c r="A16" s="16"/>
      <c r="B16" s="11"/>
      <c r="C16" s="7" t="s">
        <v>883</v>
      </c>
      <c r="D16" s="239"/>
      <c r="E16" s="469">
        <v>0.19</v>
      </c>
      <c r="F16" s="4"/>
      <c r="G16" s="3" t="s">
        <v>731</v>
      </c>
      <c r="H16" s="3"/>
      <c r="I16" s="5"/>
      <c r="J16" s="16"/>
      <c r="K16" s="25"/>
      <c r="L16" s="25"/>
      <c r="M16" s="25"/>
      <c r="N16" s="25"/>
      <c r="O16" s="25"/>
      <c r="P16" s="25"/>
      <c r="Q16" s="25"/>
      <c r="R16" s="25"/>
      <c r="S16" s="25"/>
      <c r="T16" s="25"/>
      <c r="U16" s="25"/>
    </row>
    <row r="17" spans="1:21" ht="7.35" customHeight="1">
      <c r="A17" s="16"/>
      <c r="B17" s="11"/>
      <c r="C17" s="7"/>
      <c r="D17" s="3"/>
      <c r="E17" s="3"/>
      <c r="F17" s="4"/>
      <c r="G17" s="9"/>
      <c r="H17" s="3"/>
      <c r="I17" s="5"/>
      <c r="J17" s="16"/>
    </row>
    <row r="18" spans="1:21" ht="15" customHeight="1">
      <c r="A18" s="16"/>
      <c r="B18" s="11"/>
      <c r="C18" s="7" t="s">
        <v>884</v>
      </c>
      <c r="D18" s="239"/>
      <c r="E18" s="470">
        <v>0.12</v>
      </c>
      <c r="F18" s="401"/>
      <c r="G18" s="444" t="s">
        <v>804</v>
      </c>
      <c r="H18" s="3"/>
      <c r="I18" s="5"/>
      <c r="J18" s="16"/>
      <c r="K18" s="25"/>
      <c r="L18" s="25"/>
      <c r="M18" s="25"/>
      <c r="N18" s="25"/>
      <c r="O18" s="25"/>
      <c r="P18" s="25"/>
      <c r="Q18" s="25"/>
      <c r="R18" s="25"/>
      <c r="S18" s="25"/>
      <c r="T18" s="25"/>
      <c r="U18" s="25"/>
    </row>
    <row r="19" spans="1:21" ht="7.35" customHeight="1">
      <c r="A19" s="16"/>
      <c r="B19" s="11"/>
      <c r="C19" s="7"/>
      <c r="D19" s="3"/>
      <c r="E19" s="3"/>
      <c r="F19" s="4"/>
      <c r="G19" s="9"/>
      <c r="H19" s="3"/>
      <c r="I19" s="5"/>
      <c r="J19" s="16"/>
    </row>
    <row r="20" spans="1:21" ht="15" customHeight="1">
      <c r="A20" s="16"/>
      <c r="B20" s="11"/>
      <c r="C20" s="7" t="s">
        <v>814</v>
      </c>
      <c r="D20" s="3"/>
      <c r="E20" s="471">
        <v>1</v>
      </c>
      <c r="F20" s="401"/>
      <c r="G20" s="440" t="s">
        <v>750</v>
      </c>
      <c r="H20" s="3"/>
      <c r="I20" s="5"/>
      <c r="J20" s="16"/>
    </row>
    <row r="21" spans="1:21" ht="7.35" customHeight="1">
      <c r="A21" s="16"/>
      <c r="B21" s="11"/>
      <c r="C21" s="7"/>
      <c r="D21" s="3"/>
      <c r="E21" s="3"/>
      <c r="F21" s="4"/>
      <c r="G21" s="9"/>
      <c r="H21" s="3"/>
      <c r="I21" s="5"/>
      <c r="J21" s="16"/>
    </row>
    <row r="22" spans="1:21" ht="15" customHeight="1">
      <c r="A22" s="16"/>
      <c r="B22" s="11"/>
      <c r="C22" s="6" t="s">
        <v>147</v>
      </c>
      <c r="D22" s="363"/>
      <c r="E22" s="35" t="str">
        <f>IF(E12=0,0,IF(ISBLANK(E14),"",IFERROR(MAX(-D8,-(E14/E12)*E16*E18*E20),"")))</f>
        <v/>
      </c>
      <c r="F22" s="20"/>
      <c r="G22" s="14" t="b">
        <v>0</v>
      </c>
      <c r="H22" s="170" t="str">
        <f>IF(OR(G22=TRUE,E22=""),"Not Active","Active")</f>
        <v>Not Active</v>
      </c>
      <c r="I22" s="5"/>
      <c r="J22" s="16"/>
    </row>
    <row r="23" spans="1:21" ht="15" customHeight="1">
      <c r="A23" s="16"/>
      <c r="B23" s="11"/>
      <c r="C23" s="3"/>
      <c r="D23" s="3"/>
      <c r="E23" s="3"/>
      <c r="F23" s="3"/>
      <c r="G23" s="4"/>
      <c r="H23" s="3"/>
      <c r="I23" s="5"/>
      <c r="J23" s="16"/>
    </row>
    <row r="24" spans="1:21" ht="35.1" customHeight="1">
      <c r="A24" s="16"/>
      <c r="B24" s="11"/>
      <c r="C24" s="669" t="str">
        <f>"Formula:  % Change in VMT =  " &amp; SUBSTITUTE("-( " &amp; C14 &amp; " / " &amp; C12 &amp; " )* " &amp; C16 &amp; " * " &amp; C18 &amp; " * " &amp; C20 &amp; " "," used for calculation","")</f>
        <v xml:space="preserve">Formula:  % Change in VMT =  -( Households in neighborhood/city targeted with CBTP / Households in neighborhood/city )* % of targeted households that participate * % vehicle trip reduction by participating residences * Adjustment factor from vehicle trips to VMT </v>
      </c>
      <c r="D24" s="670"/>
      <c r="E24" s="670"/>
      <c r="F24" s="670"/>
      <c r="G24" s="670"/>
      <c r="H24" s="671"/>
      <c r="I24" s="5"/>
      <c r="J24" s="16"/>
    </row>
    <row r="25" spans="1:21" ht="15" customHeight="1">
      <c r="A25" s="16"/>
      <c r="B25" s="11"/>
      <c r="C25" s="3"/>
      <c r="D25" s="3"/>
      <c r="E25" s="3"/>
      <c r="F25" s="3"/>
      <c r="G25" s="4"/>
      <c r="H25" s="3"/>
      <c r="I25" s="5"/>
      <c r="J25" s="16"/>
    </row>
    <row r="26" spans="1:21" ht="15" customHeight="1">
      <c r="A26" s="16"/>
      <c r="B26" s="11"/>
      <c r="C26" s="3" t="s">
        <v>732</v>
      </c>
      <c r="D26" s="3"/>
      <c r="E26" s="3"/>
      <c r="F26" s="3"/>
      <c r="G26" s="4"/>
      <c r="H26" s="3"/>
      <c r="I26" s="5"/>
      <c r="J26" s="16"/>
    </row>
    <row r="27" spans="1:21" ht="30" customHeight="1">
      <c r="A27" s="16"/>
      <c r="B27" s="11"/>
      <c r="C27" s="672" t="str">
        <f>INDEX(VL_TDM!$AG$11:$AG$41,MATCH($A$4,VL_TDM!$B$11:$B$41,0),1)</f>
        <v>(1) Metropolitan Transportation Commission (MTC). 2021. Plan Bay Area 2050, Supplemental Report. (forthcoming)</v>
      </c>
      <c r="D27" s="597"/>
      <c r="E27" s="597"/>
      <c r="F27" s="597"/>
      <c r="G27" s="597"/>
      <c r="H27" s="597"/>
      <c r="I27" s="5"/>
      <c r="J27" s="16"/>
    </row>
    <row r="28" spans="1:21" ht="15" customHeight="1">
      <c r="A28" s="16"/>
      <c r="B28" s="15"/>
      <c r="C28" s="12"/>
      <c r="D28" s="12"/>
      <c r="E28" s="12"/>
      <c r="F28" s="12"/>
      <c r="G28" s="367"/>
      <c r="H28" s="12"/>
      <c r="I28" s="13"/>
      <c r="J28" s="16"/>
    </row>
    <row r="29" spans="1:21" ht="22.35" customHeight="1">
      <c r="A29" s="16"/>
      <c r="B29" s="16"/>
      <c r="C29" s="16"/>
      <c r="D29" s="16"/>
      <c r="E29" s="16"/>
      <c r="F29" s="16"/>
      <c r="G29" s="17"/>
      <c r="H29" s="16"/>
      <c r="I29" s="16"/>
      <c r="J29" s="16"/>
    </row>
    <row r="38" spans="3:3" hidden="1">
      <c r="C38" t="e">
        <f>CONCATENATE("(4). ",cite_ABM)</f>
        <v>#NAME?</v>
      </c>
    </row>
  </sheetData>
  <sheetProtection algorithmName="SHA-512" hashValue="AEWj9DxCcl968QHaMKjT1depKKdIRyrLLJyT7nm9ghyl485+h5yhkbDYqaH5sI2kj1/oVBaD2KlGZOeeYOhXPQ==" saltValue="QBNlAYfIx5zLxynqlyx58g==" spinCount="100000" sheet="1" objects="1" scenarios="1" selectLockedCells="1"/>
  <mergeCells count="4">
    <mergeCell ref="C10:H10"/>
    <mergeCell ref="C24:H24"/>
    <mergeCell ref="B4:I4"/>
    <mergeCell ref="C27:H27"/>
  </mergeCells>
  <conditionalFormatting sqref="E22">
    <cfRule type="expression" dxfId="13" priority="11">
      <formula>-ROUND($D$8,3)=ROUND($E$22,3)</formula>
    </cfRule>
    <cfRule type="expression" dxfId="12" priority="12">
      <formula>AND(E22&lt;&gt;"",E22&gt;0)</formula>
    </cfRule>
  </conditionalFormatting>
  <dataValidations count="1">
    <dataValidation type="decimal" showErrorMessage="1" errorTitle="Restriction" error="Value must be between 0 and the number of households in the city/CPA." promptTitle="Restriction" prompt="Value must be between 0 and number of households in community._x000a_" sqref="E14" xr:uid="{00000000-0002-0000-1400-000001000000}">
      <formula1>0</formula1>
      <formula2>E12</formula2>
    </dataValidation>
  </dataValidations>
  <hyperlinks>
    <hyperlink ref="H7" location="Results!A1" display="Results Summary" xr:uid="{00000000-0004-0000-1400-000000000000}"/>
    <hyperlink ref="H6" location="Main!L65" display="Return to Main É" xr:uid="{00000000-0004-0000-14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Check Box 1">
              <controlPr defaultSize="0" autoFill="0" autoLine="0" autoPict="0" altText="Exclude From Results Summary">
                <anchor moveWithCells="1">
                  <from>
                    <xdr:col>6</xdr:col>
                    <xdr:colOff>9525</xdr:colOff>
                    <xdr:row>20</xdr:row>
                    <xdr:rowOff>76200</xdr:rowOff>
                  </from>
                  <to>
                    <xdr:col>7</xdr:col>
                    <xdr:colOff>0</xdr:colOff>
                    <xdr:row>22</xdr:row>
                    <xdr:rowOff>9525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F9FA6-FC40-4650-909A-7DDE1A172B24}">
  <sheetPr codeName="Sheet34">
    <tabColor rgb="FF000099"/>
  </sheetPr>
  <dimension ref="A1:M52"/>
  <sheetViews>
    <sheetView showGridLines="0" showRowColHeaders="0" topLeftCell="A3" zoomScaleNormal="100" workbookViewId="0">
      <selection activeCell="F12" sqref="F12"/>
    </sheetView>
  </sheetViews>
  <sheetFormatPr defaultColWidth="0" defaultRowHeight="15" customHeight="1" zeroHeight="1"/>
  <cols>
    <col min="1" max="1" width="4.42578125" style="87" customWidth="1"/>
    <col min="2" max="2" width="8.85546875" style="87" customWidth="1"/>
    <col min="3" max="3" width="20" style="87" customWidth="1"/>
    <col min="4" max="4" width="22" style="87" customWidth="1"/>
    <col min="5" max="5" width="37.5703125" style="87" customWidth="1"/>
    <col min="6" max="6" width="10.5703125" style="87" customWidth="1"/>
    <col min="7" max="7" width="6" style="87" customWidth="1"/>
    <col min="8" max="8" width="20" style="88" customWidth="1"/>
    <col min="9" max="9" width="17.5703125" style="87" customWidth="1"/>
    <col min="10" max="10" width="8.85546875" style="87" customWidth="1"/>
    <col min="11" max="11" width="4.5703125" style="87" customWidth="1"/>
    <col min="12" max="13" width="39.42578125" hidden="1" customWidth="1"/>
    <col min="14" max="16384" width="8.85546875" hidden="1"/>
  </cols>
  <sheetData>
    <row r="1" spans="1:11" hidden="1">
      <c r="A1" s="60"/>
      <c r="B1" s="60"/>
      <c r="C1" s="60"/>
      <c r="D1" s="60"/>
      <c r="E1" s="60"/>
      <c r="F1" s="60"/>
      <c r="G1" s="60"/>
      <c r="H1" s="75"/>
      <c r="I1" s="60"/>
      <c r="J1" s="60"/>
      <c r="K1" s="60"/>
    </row>
    <row r="2" spans="1:11" hidden="1">
      <c r="A2" s="60"/>
      <c r="B2" s="60"/>
      <c r="C2" s="60"/>
      <c r="D2" s="60"/>
      <c r="E2" s="60"/>
      <c r="F2" s="60"/>
      <c r="G2" s="60"/>
      <c r="H2" s="75"/>
      <c r="I2" s="60"/>
      <c r="J2" s="60"/>
      <c r="K2" s="60"/>
    </row>
    <row r="3" spans="1:11" ht="22.35" customHeight="1">
      <c r="A3" s="60"/>
      <c r="B3" s="39"/>
      <c r="C3" s="60"/>
      <c r="D3" s="60"/>
      <c r="E3" s="60"/>
      <c r="F3" s="60"/>
      <c r="G3" s="60"/>
      <c r="H3" s="75"/>
      <c r="I3" s="60"/>
      <c r="J3" s="60"/>
      <c r="K3" s="60"/>
    </row>
    <row r="4" spans="1:11" ht="18.75">
      <c r="A4" s="187" t="s">
        <v>82</v>
      </c>
      <c r="B4" s="655" t="str">
        <f>A4&amp;". "&amp;INDEX(VL_TDM!$E$11:$E$41,MATCH($A$4,VL_TDM!$B$11:$B$41,0),1)</f>
        <v>4H. Provide Neighborhood Traffic Calming Measures</v>
      </c>
      <c r="C4" s="600"/>
      <c r="D4" s="600"/>
      <c r="E4" s="600"/>
      <c r="F4" s="600"/>
      <c r="G4" s="600"/>
      <c r="H4" s="600"/>
      <c r="I4" s="600"/>
      <c r="J4" s="601"/>
    </row>
    <row r="5" spans="1:11" ht="15" customHeight="1">
      <c r="A5" s="60"/>
      <c r="B5" s="65"/>
      <c r="C5" s="82"/>
      <c r="D5" s="82"/>
      <c r="E5" s="82"/>
      <c r="F5" s="82"/>
      <c r="G5" s="71"/>
      <c r="H5" s="73"/>
      <c r="I5" s="71"/>
      <c r="J5" s="64"/>
      <c r="K5" s="60"/>
    </row>
    <row r="6" spans="1:11" ht="15" customHeight="1">
      <c r="A6" s="60"/>
      <c r="B6" s="65"/>
      <c r="C6" s="71" t="s">
        <v>723</v>
      </c>
      <c r="D6" s="370" t="str">
        <f>INDEX(VL_TDM!$AC$11:$AC$41,MATCH($A$4,VL_TDM!$B$11:$B$41,0),1)</f>
        <v>Neighborhood/City</v>
      </c>
      <c r="E6" s="73"/>
      <c r="F6" s="73"/>
      <c r="G6" s="73"/>
      <c r="H6" s="73"/>
      <c r="I6" s="500" t="s">
        <v>120</v>
      </c>
      <c r="J6" s="64"/>
      <c r="K6" s="60"/>
    </row>
    <row r="7" spans="1:11" ht="15" customHeight="1">
      <c r="A7" s="60"/>
      <c r="B7" s="65"/>
      <c r="C7" s="81" t="s">
        <v>724</v>
      </c>
      <c r="D7" s="85" t="str">
        <f>INDEX(VL_TDM!$AD$11:$AD$41,MATCH($A$4,VL_TDM!$B$11:$B$41,0),1)</f>
        <v>All neighborhood/city trips</v>
      </c>
      <c r="E7" s="73"/>
      <c r="F7" s="73"/>
      <c r="G7" s="73"/>
      <c r="H7" s="71"/>
      <c r="I7" s="500" t="s">
        <v>153</v>
      </c>
      <c r="J7" s="64"/>
      <c r="K7" s="60"/>
    </row>
    <row r="8" spans="1:11" ht="15" customHeight="1">
      <c r="A8" s="60"/>
      <c r="B8" s="65"/>
      <c r="C8" s="81" t="s">
        <v>725</v>
      </c>
      <c r="D8" s="86">
        <f>INDEX(VL_TDM!$AE$11:$AE$41,MATCH($A$4,VL_TDM!$B$11:$B$41,0),1)</f>
        <v>0.01</v>
      </c>
      <c r="E8" s="82"/>
      <c r="F8" s="82"/>
      <c r="G8" s="71"/>
      <c r="H8" s="73"/>
      <c r="I8" s="71"/>
      <c r="J8" s="64"/>
      <c r="K8" s="60"/>
    </row>
    <row r="9" spans="1:11" ht="15" customHeight="1">
      <c r="A9" s="60"/>
      <c r="B9" s="65"/>
      <c r="C9" s="71"/>
      <c r="D9" s="71"/>
      <c r="E9" s="71"/>
      <c r="F9" s="71"/>
      <c r="G9" s="71"/>
      <c r="H9" s="73"/>
      <c r="I9" s="71"/>
      <c r="J9" s="64"/>
      <c r="K9" s="60"/>
    </row>
    <row r="10" spans="1:11" ht="99.95" customHeight="1">
      <c r="A10" s="60"/>
      <c r="B10" s="65"/>
      <c r="C10" s="602" t="str">
        <f>INDEX(VL_TDM!$AF$11:$AF$41,MATCH($A$4,VL_TDM!$B$11:$B$41,0),1)</f>
        <v>Providing traffic calming measures encourages people to walk or bike instead of using a vehicle. This mode shift will result in a decrease in VMT. Project design will include pedestrian/bicycle safety and traffic calming measures in excess of jurisdiction requirements. Roadways will be designed to reduce motor vehicle speeds and encourage pedestrian and bicycle trips with traffic calming features. Traffic calming features may include: marked crosswalks, count-down signal timers, curb extensions, speed tables, raised crosswalks, raised intersections, median islands, tight corner radii, roundabouts or mini-circles, on-street parking, planter strips with street trees, chicanes/chokers, and others.</v>
      </c>
      <c r="D10" s="594"/>
      <c r="E10" s="594"/>
      <c r="F10" s="594"/>
      <c r="G10" s="594"/>
      <c r="H10" s="594"/>
      <c r="I10" s="594"/>
      <c r="J10" s="64"/>
      <c r="K10" s="60"/>
    </row>
    <row r="11" spans="1:11" ht="7.35" customHeight="1">
      <c r="A11" s="60"/>
      <c r="B11" s="65"/>
      <c r="C11" s="454"/>
      <c r="D11" s="81"/>
      <c r="E11" s="71"/>
      <c r="F11" s="71"/>
      <c r="G11" s="73"/>
      <c r="H11" s="205"/>
      <c r="I11" s="71"/>
      <c r="J11" s="64"/>
      <c r="K11" s="60"/>
    </row>
    <row r="12" spans="1:11" ht="15" customHeight="1">
      <c r="A12" s="60"/>
      <c r="B12" s="65"/>
      <c r="C12" s="76" t="s">
        <v>885</v>
      </c>
      <c r="D12" s="70"/>
      <c r="E12" s="465"/>
      <c r="F12" s="53"/>
      <c r="G12" s="73"/>
      <c r="H12" s="80" t="s">
        <v>17</v>
      </c>
      <c r="I12" s="71"/>
      <c r="J12" s="64"/>
      <c r="K12" s="16"/>
    </row>
    <row r="13" spans="1:11" ht="7.35" customHeight="1">
      <c r="A13" s="60"/>
      <c r="B13" s="65"/>
      <c r="C13" s="77"/>
      <c r="D13" s="81"/>
      <c r="E13" s="71"/>
      <c r="F13" s="71"/>
      <c r="G13" s="73"/>
      <c r="H13" s="205"/>
      <c r="I13" s="71"/>
      <c r="J13" s="64"/>
      <c r="K13" s="60"/>
    </row>
    <row r="14" spans="1:11" ht="15" customHeight="1">
      <c r="A14" s="60"/>
      <c r="B14" s="65"/>
      <c r="C14" s="76" t="s">
        <v>886</v>
      </c>
      <c r="D14" s="70"/>
      <c r="E14" s="465"/>
      <c r="F14" s="53"/>
      <c r="G14" s="73"/>
      <c r="H14" s="80" t="s">
        <v>17</v>
      </c>
      <c r="I14" s="71"/>
      <c r="J14" s="64"/>
      <c r="K14" s="16"/>
    </row>
    <row r="15" spans="1:11" ht="7.35" customHeight="1">
      <c r="A15" s="60"/>
      <c r="B15" s="65"/>
      <c r="C15" s="76"/>
      <c r="D15" s="71"/>
      <c r="E15" s="204"/>
      <c r="F15" s="73"/>
      <c r="G15" s="73"/>
      <c r="H15" s="81"/>
      <c r="I15" s="71"/>
      <c r="J15" s="64"/>
      <c r="K15" s="60"/>
    </row>
    <row r="16" spans="1:11" ht="15" customHeight="1">
      <c r="A16" s="60"/>
      <c r="B16" s="65"/>
      <c r="C16" s="76" t="s">
        <v>147</v>
      </c>
      <c r="D16" s="203"/>
      <c r="E16" s="204"/>
      <c r="F16" s="473" t="str">
        <f>IF(SUM(F12,F14)=0,"",IFERROR(MAX(-D8,-VL_REF!BE3),""))</f>
        <v/>
      </c>
      <c r="G16" s="378"/>
      <c r="H16" s="41" t="b">
        <v>0</v>
      </c>
      <c r="I16" s="170" t="str">
        <f>IF(OR(H16=TRUE,F16=""),"Not Active","Active")</f>
        <v>Not Active</v>
      </c>
      <c r="J16" s="64"/>
      <c r="K16" s="60"/>
    </row>
    <row r="17" spans="1:11" ht="15" customHeight="1">
      <c r="A17" s="60"/>
      <c r="B17" s="65"/>
      <c r="C17" s="71"/>
      <c r="D17" s="71"/>
      <c r="E17" s="71"/>
      <c r="F17" s="71"/>
      <c r="G17" s="71"/>
      <c r="H17" s="73"/>
      <c r="I17" s="71"/>
      <c r="J17" s="64"/>
      <c r="K17" s="95"/>
    </row>
    <row r="18" spans="1:11" ht="35.1" customHeight="1">
      <c r="A18" s="60"/>
      <c r="B18" s="65"/>
      <c r="C18" s="633" t="str">
        <f>"Formula:  % Change in VMT = % VMT Reduction based on matrix cross reference"</f>
        <v>Formula:  % Change in VMT = % VMT Reduction based on matrix cross reference</v>
      </c>
      <c r="D18" s="659"/>
      <c r="E18" s="659"/>
      <c r="F18" s="659"/>
      <c r="G18" s="659"/>
      <c r="H18" s="659"/>
      <c r="I18" s="660"/>
      <c r="J18" s="64"/>
      <c r="K18" s="95"/>
    </row>
    <row r="19" spans="1:11" ht="15" customHeight="1">
      <c r="A19" s="60"/>
      <c r="B19" s="65"/>
      <c r="C19" s="71"/>
      <c r="D19" s="71"/>
      <c r="E19" s="71"/>
      <c r="F19" s="71"/>
      <c r="G19" s="71"/>
      <c r="H19" s="73"/>
      <c r="I19" s="71"/>
      <c r="J19" s="64"/>
      <c r="K19" s="95"/>
    </row>
    <row r="20" spans="1:11" ht="15" customHeight="1">
      <c r="A20" s="60"/>
      <c r="B20" s="65"/>
      <c r="C20" s="71" t="s">
        <v>732</v>
      </c>
      <c r="D20" s="71"/>
      <c r="E20" s="71"/>
      <c r="F20" s="71"/>
      <c r="G20" s="71"/>
      <c r="H20" s="73"/>
      <c r="I20" s="71"/>
      <c r="J20" s="64"/>
      <c r="K20" s="60"/>
    </row>
    <row r="21" spans="1:11" ht="80.099999999999994" customHeight="1">
      <c r="A21" s="60"/>
      <c r="B21" s="65"/>
      <c r="C21" s="551" t="str">
        <f>INDEX(VL_TDM!$AG$11:$AG$41,MATCH($A$4,VL_TDM!$B$11:$B$41,0),1)</f>
        <v>(1) Cambridge Systematics. Moving Cooler: An Analysis of Transportation Strategies for Reducing Greenhouse Gas Emissions.(p. B-25) http://www.movingcooler.info/Library/Documents/Moving%20Cooler_Appendices _Complete_102209.pdf 
(2) Sacramento Metropolitan Air Quality Management District (SMAQMD) Recommended Guidance for Land Use Emission Reductions. (p.13) http://www.airquality.org/ceqa/GuidanceLUEmissionReductions.pdf</v>
      </c>
      <c r="D21" s="594"/>
      <c r="E21" s="594"/>
      <c r="F21" s="594"/>
      <c r="G21" s="594"/>
      <c r="H21" s="594"/>
      <c r="I21" s="594"/>
      <c r="J21" s="64"/>
      <c r="K21" s="60"/>
    </row>
    <row r="22" spans="1:11" ht="15" customHeight="1">
      <c r="A22" s="60"/>
      <c r="B22" s="74"/>
      <c r="C22" s="177"/>
      <c r="D22" s="177"/>
      <c r="E22" s="177"/>
      <c r="F22" s="177"/>
      <c r="G22" s="177"/>
      <c r="H22" s="379"/>
      <c r="I22" s="177"/>
      <c r="J22" s="380"/>
      <c r="K22" s="60"/>
    </row>
    <row r="23" spans="1:11" ht="22.35" customHeight="1">
      <c r="A23" s="60"/>
      <c r="B23" s="16"/>
      <c r="C23" s="60"/>
      <c r="D23" s="60"/>
      <c r="E23" s="60"/>
      <c r="F23" s="60"/>
      <c r="G23" s="60"/>
      <c r="H23" s="75"/>
      <c r="I23" s="60"/>
      <c r="J23" s="60"/>
      <c r="K23" s="60"/>
    </row>
    <row r="24" spans="1:11" hidden="1">
      <c r="B24"/>
      <c r="C24"/>
    </row>
    <row r="25" spans="1:11" hidden="1">
      <c r="D25" s="123"/>
      <c r="E25" s="123"/>
      <c r="F25" s="123"/>
      <c r="G25" s="123"/>
    </row>
    <row r="26" spans="1:11" hidden="1">
      <c r="C26" s="123"/>
      <c r="D26" s="116"/>
      <c r="E26" s="116"/>
      <c r="F26" s="116"/>
      <c r="G26" s="116"/>
    </row>
    <row r="27" spans="1:11" hidden="1">
      <c r="C27" s="123"/>
      <c r="D27" s="116"/>
      <c r="E27" s="116"/>
      <c r="F27" s="116"/>
      <c r="G27" s="116"/>
    </row>
    <row r="28" spans="1:11" hidden="1">
      <c r="C28" s="123"/>
      <c r="D28" s="116"/>
      <c r="E28" s="116"/>
      <c r="F28" s="116"/>
      <c r="G28" s="116"/>
    </row>
    <row r="29" spans="1:11" hidden="1">
      <c r="C29" s="123"/>
      <c r="D29" s="116"/>
      <c r="E29" s="116"/>
      <c r="F29" s="116"/>
      <c r="G29" s="123"/>
    </row>
    <row r="38" spans="2:13" s="87" customFormat="1" hidden="1">
      <c r="H38" s="88"/>
      <c r="L38"/>
      <c r="M38"/>
    </row>
    <row r="39" spans="2:13" s="87" customFormat="1" hidden="1">
      <c r="H39" s="88"/>
      <c r="L39"/>
      <c r="M39"/>
    </row>
    <row r="40" spans="2:13" s="87" customFormat="1" hidden="1">
      <c r="H40" s="88"/>
      <c r="L40"/>
      <c r="M40"/>
    </row>
    <row r="41" spans="2:13" s="87" customFormat="1" hidden="1">
      <c r="H41" s="88"/>
      <c r="L41"/>
      <c r="M41"/>
    </row>
    <row r="42" spans="2:13" s="87" customFormat="1" hidden="1">
      <c r="H42" s="88"/>
      <c r="L42"/>
      <c r="M42"/>
    </row>
    <row r="43" spans="2:13" s="87" customFormat="1" hidden="1">
      <c r="H43" s="88"/>
      <c r="L43"/>
      <c r="M43"/>
    </row>
    <row r="44" spans="2:13" s="87" customFormat="1" hidden="1">
      <c r="H44" s="88"/>
      <c r="L44"/>
      <c r="M44"/>
    </row>
    <row r="45" spans="2:13" s="87" customFormat="1" hidden="1">
      <c r="H45" s="88"/>
      <c r="L45"/>
      <c r="M45"/>
    </row>
    <row r="46" spans="2:13" s="87" customFormat="1" hidden="1">
      <c r="H46" s="88"/>
      <c r="L46"/>
      <c r="M46"/>
    </row>
    <row r="47" spans="2:13" ht="15" hidden="1" customHeight="1">
      <c r="B47"/>
      <c r="C47"/>
    </row>
    <row r="48" spans="2:13" ht="15" hidden="1" customHeight="1">
      <c r="C48"/>
      <c r="D48"/>
      <c r="E48"/>
      <c r="F48"/>
      <c r="G48"/>
    </row>
    <row r="49" spans="3:7" ht="15" hidden="1" customHeight="1">
      <c r="C49"/>
      <c r="D49"/>
      <c r="E49"/>
      <c r="F49"/>
      <c r="G49"/>
    </row>
    <row r="50" spans="3:7" ht="15" hidden="1" customHeight="1">
      <c r="C50"/>
      <c r="D50"/>
      <c r="E50"/>
      <c r="F50"/>
      <c r="G50"/>
    </row>
    <row r="51" spans="3:7" ht="15" hidden="1" customHeight="1">
      <c r="C51"/>
      <c r="D51"/>
      <c r="E51"/>
      <c r="F51"/>
      <c r="G51"/>
    </row>
    <row r="52" spans="3:7" ht="15" hidden="1" customHeight="1">
      <c r="C52"/>
      <c r="D52"/>
      <c r="E52"/>
      <c r="F52"/>
      <c r="G52"/>
    </row>
  </sheetData>
  <sheetProtection algorithmName="SHA-512" hashValue="6cNzAbiS39F3LE8mxFyn1KuXUNfkPbopFIHY5XVa2ysayIVs3PTTp4jb6P1WxcjegvwDfLZD+9MqzHpAFLjnUA==" saltValue="JUgWcRbmx+JM6mLR5oZ1LA==" spinCount="100000" sheet="1" objects="1" scenarios="1" selectLockedCells="1"/>
  <mergeCells count="4">
    <mergeCell ref="B4:J4"/>
    <mergeCell ref="C10:I10"/>
    <mergeCell ref="C18:I18"/>
    <mergeCell ref="C21:I21"/>
  </mergeCells>
  <conditionalFormatting sqref="F16">
    <cfRule type="expression" dxfId="11" priority="4">
      <formula>AND(F16&lt;&gt;"",F16&gt;0)</formula>
    </cfRule>
    <cfRule type="expression" dxfId="10" priority="5">
      <formula>-ROUND($D$8,3)=ROUND($F$16,3)</formula>
    </cfRule>
  </conditionalFormatting>
  <dataValidations count="1">
    <dataValidation type="list" allowBlank="1" showErrorMessage="1" errorTitle="Restriction" error="Value must be between 0% and 100%_x000a_" promptTitle="Restriction" prompt="Value must be between 0% and 100%_x000a_" sqref="F12 F14" xr:uid="{18D74F05-356C-4F4B-A40E-29CD190026B4}">
      <formula1>"0%,25%,50%,75%,100%"</formula1>
    </dataValidation>
  </dataValidations>
  <hyperlinks>
    <hyperlink ref="I7" location="Results!A1" display="Results Summary" xr:uid="{2B31FA14-9195-4B2E-A024-20B5B5838E35}"/>
    <hyperlink ref="I6" location="Main!L65" display="Return to Main É" xr:uid="{052B0980-CC00-401F-98D7-78753C92166D}"/>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0641" r:id="rId4" name="Check Box 1">
              <controlPr defaultSize="0" autoFill="0" autoLine="0" autoPict="0" altText="Exclude From Results Summary">
                <anchor moveWithCells="1">
                  <from>
                    <xdr:col>6</xdr:col>
                    <xdr:colOff>342900</xdr:colOff>
                    <xdr:row>14</xdr:row>
                    <xdr:rowOff>66675</xdr:rowOff>
                  </from>
                  <to>
                    <xdr:col>8</xdr:col>
                    <xdr:colOff>0</xdr:colOff>
                    <xdr:row>16</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rgb="FF996600"/>
  </sheetPr>
  <dimension ref="A1:M61"/>
  <sheetViews>
    <sheetView showGridLines="0" showRowColHeaders="0" topLeftCell="A3" zoomScaleNormal="100" workbookViewId="0">
      <selection activeCell="E12" sqref="E12"/>
    </sheetView>
  </sheetViews>
  <sheetFormatPr defaultColWidth="0" defaultRowHeight="15" zeroHeight="1"/>
  <cols>
    <col min="1" max="1" width="3.42578125" style="87" customWidth="1"/>
    <col min="2" max="2" width="8.85546875" style="87" customWidth="1"/>
    <col min="3" max="3" width="20" style="87" customWidth="1"/>
    <col min="4" max="4" width="62.5703125" style="87" customWidth="1"/>
    <col min="5" max="5" width="10.5703125" style="87" customWidth="1"/>
    <col min="6" max="6" width="5.5703125" style="87" customWidth="1"/>
    <col min="7" max="7" width="19.85546875" style="88" customWidth="1"/>
    <col min="8" max="8" width="17.5703125" style="87" customWidth="1"/>
    <col min="9" max="9" width="8.85546875" style="87" customWidth="1"/>
    <col min="10" max="10" width="4.5703125" style="87" customWidth="1"/>
    <col min="11" max="13" width="0" hidden="1" customWidth="1"/>
    <col min="14" max="16384" width="8.85546875" hidden="1"/>
  </cols>
  <sheetData>
    <row r="1" spans="1:10" hidden="1">
      <c r="A1" s="60"/>
      <c r="B1" s="60"/>
      <c r="C1" s="60"/>
      <c r="D1" s="60"/>
      <c r="E1" s="60"/>
      <c r="F1" s="60"/>
      <c r="G1" s="75"/>
      <c r="H1" s="60"/>
      <c r="I1" s="60"/>
      <c r="J1" s="60"/>
    </row>
    <row r="2" spans="1:10" hidden="1">
      <c r="A2" s="60"/>
      <c r="B2" s="60"/>
      <c r="C2" s="60"/>
      <c r="D2" s="60"/>
      <c r="E2" s="60"/>
      <c r="F2" s="60"/>
      <c r="G2" s="75"/>
      <c r="H2" s="60"/>
      <c r="I2" s="60"/>
      <c r="J2" s="60"/>
    </row>
    <row r="3" spans="1:10" ht="22.35" customHeight="1">
      <c r="A3" s="60"/>
      <c r="B3" s="39"/>
      <c r="C3" s="60"/>
      <c r="D3" s="60"/>
      <c r="E3" s="60"/>
      <c r="F3" s="60"/>
      <c r="G3" s="75"/>
      <c r="H3" s="60"/>
      <c r="I3" s="60"/>
      <c r="J3" s="60"/>
    </row>
    <row r="4" spans="1:10" ht="18.75">
      <c r="A4" s="187" t="s">
        <v>94</v>
      </c>
      <c r="B4" s="673" t="str">
        <f>A4&amp;". "&amp;INDEX(VL_TDM!$E$11:$E$41,MATCH($A$4,VL_TDM!$B$11:$B$41,0),1)</f>
        <v>5A. Transit Service Expansion</v>
      </c>
      <c r="C4" s="600"/>
      <c r="D4" s="600"/>
      <c r="E4" s="600"/>
      <c r="F4" s="600"/>
      <c r="G4" s="600"/>
      <c r="H4" s="600"/>
      <c r="I4" s="601"/>
      <c r="J4" s="60"/>
    </row>
    <row r="5" spans="1:10" ht="15" customHeight="1">
      <c r="A5" s="60"/>
      <c r="B5" s="65"/>
      <c r="C5" s="82"/>
      <c r="D5" s="82"/>
      <c r="E5" s="82"/>
      <c r="F5" s="71"/>
      <c r="G5" s="73"/>
      <c r="H5" s="71"/>
      <c r="I5" s="64"/>
      <c r="J5" s="60"/>
    </row>
    <row r="6" spans="1:10" ht="15" customHeight="1">
      <c r="A6" s="60"/>
      <c r="B6" s="65"/>
      <c r="C6" s="71" t="s">
        <v>723</v>
      </c>
      <c r="D6" s="370" t="str">
        <f>INDEX(VL_TDM!$AC$11:$AC$41,MATCH($A$4,VL_TDM!$B$11:$B$41,0),1)</f>
        <v>Neighborhood/City</v>
      </c>
      <c r="E6" s="73"/>
      <c r="F6" s="73"/>
      <c r="G6" s="73"/>
      <c r="H6" s="500" t="s">
        <v>120</v>
      </c>
      <c r="I6" s="64"/>
      <c r="J6" s="60"/>
    </row>
    <row r="7" spans="1:10" ht="15" customHeight="1">
      <c r="A7" s="60"/>
      <c r="B7" s="65"/>
      <c r="C7" s="81" t="s">
        <v>724</v>
      </c>
      <c r="D7" s="85" t="str">
        <f>INDEX(VL_TDM!$AD$11:$AD$41,MATCH($A$4,VL_TDM!$B$11:$B$41,0),1)</f>
        <v>All neighborhood/city trips</v>
      </c>
      <c r="E7" s="73"/>
      <c r="F7" s="73"/>
      <c r="G7" s="71"/>
      <c r="H7" s="500" t="s">
        <v>153</v>
      </c>
      <c r="I7" s="64"/>
      <c r="J7" s="60"/>
    </row>
    <row r="8" spans="1:10" ht="15" customHeight="1">
      <c r="A8" s="60"/>
      <c r="B8" s="65"/>
      <c r="C8" s="81" t="s">
        <v>725</v>
      </c>
      <c r="D8" s="86">
        <f>INDEX(VL_TDM!$AE$11:$AE$41,MATCH($A$4,VL_TDM!$B$11:$B$41,0),1)</f>
        <v>4.5999999999999999E-2</v>
      </c>
      <c r="E8" s="82"/>
      <c r="F8" s="71"/>
      <c r="G8" s="73"/>
      <c r="H8" s="71"/>
      <c r="I8" s="64"/>
      <c r="J8" s="60"/>
    </row>
    <row r="9" spans="1:10" ht="15" customHeight="1">
      <c r="A9" s="60"/>
      <c r="B9" s="65"/>
      <c r="C9" s="71"/>
      <c r="D9" s="71"/>
      <c r="E9" s="71"/>
      <c r="F9" s="71"/>
      <c r="G9" s="73"/>
      <c r="H9" s="71"/>
      <c r="I9" s="64"/>
      <c r="J9" s="60"/>
    </row>
    <row r="10" spans="1:10" ht="110.1" customHeight="1">
      <c r="A10" s="60"/>
      <c r="B10" s="65"/>
      <c r="C10" s="602" t="str">
        <f>INDEX(VL_TDM!$AF$11:$AF$41,MATCH($A$4,VL_TDM!$B$11:$B$41,0),1)</f>
        <v>This strategy will expand the local transit network by adding or modifying existing transit service to enhance the service near the project site. This will encourage the use of transit and therefore reduce VMT and associated GHG emissions. 
There are two primary means of expanding the transit network: by increasing the frequency of service, thereby reducing average wait times and increasing convenience, or by expanding new service to cover areas previously outside the network’s service area. This strategy is focused on providing additional transit network coverage, with no changes to transit frequency. Coverage can also be applied to extending hours of service. Strategy 5B is focused on increasing transit service frequency.</v>
      </c>
      <c r="D10" s="594"/>
      <c r="E10" s="594"/>
      <c r="F10" s="594"/>
      <c r="G10" s="594"/>
      <c r="H10" s="594"/>
      <c r="I10" s="64"/>
      <c r="J10" s="60"/>
    </row>
    <row r="11" spans="1:10" ht="15" customHeight="1">
      <c r="A11" s="60"/>
      <c r="B11" s="65"/>
      <c r="C11" s="71"/>
      <c r="D11" s="71"/>
      <c r="E11" s="71"/>
      <c r="F11" s="71"/>
      <c r="G11" s="73"/>
      <c r="H11" s="71"/>
      <c r="I11" s="64"/>
      <c r="J11" s="60"/>
    </row>
    <row r="12" spans="1:10" ht="15" customHeight="1">
      <c r="A12" s="60"/>
      <c r="B12" s="65"/>
      <c r="C12" s="76" t="s">
        <v>887</v>
      </c>
      <c r="D12" s="204"/>
      <c r="E12" s="47"/>
      <c r="F12" s="73"/>
      <c r="G12" s="204" t="s">
        <v>17</v>
      </c>
      <c r="H12" s="71"/>
      <c r="I12" s="64"/>
      <c r="J12" s="16"/>
    </row>
    <row r="13" spans="1:10" ht="4.3499999999999996" customHeight="1">
      <c r="A13" s="60"/>
      <c r="B13" s="65"/>
      <c r="C13" s="76"/>
      <c r="D13" s="71"/>
      <c r="E13" s="372"/>
      <c r="F13" s="73"/>
      <c r="G13" s="205"/>
      <c r="H13" s="71"/>
      <c r="I13" s="64"/>
      <c r="J13" s="60"/>
    </row>
    <row r="14" spans="1:10" ht="15" customHeight="1">
      <c r="A14" s="60"/>
      <c r="B14" s="65"/>
      <c r="C14" s="76" t="s">
        <v>888</v>
      </c>
      <c r="D14" s="204"/>
      <c r="E14" s="47"/>
      <c r="F14" s="73"/>
      <c r="G14" s="204" t="s">
        <v>17</v>
      </c>
      <c r="H14" s="71"/>
      <c r="I14" s="64"/>
      <c r="J14" s="16"/>
    </row>
    <row r="15" spans="1:10" ht="4.3499999999999996" customHeight="1">
      <c r="A15" s="60"/>
      <c r="B15" s="65"/>
      <c r="C15" s="76"/>
      <c r="D15" s="71"/>
      <c r="E15" s="71"/>
      <c r="F15" s="73"/>
      <c r="G15" s="205"/>
      <c r="H15" s="71"/>
      <c r="I15" s="64"/>
      <c r="J15" s="60"/>
    </row>
    <row r="16" spans="1:10" ht="15" customHeight="1">
      <c r="A16" s="60"/>
      <c r="B16" s="65"/>
      <c r="C16" s="76" t="s">
        <v>889</v>
      </c>
      <c r="D16" s="373"/>
      <c r="E16" s="474" t="str">
        <f>IF(OR(ISBLANK(E14),ISBLANK(E12)),"",IFERROR(MIN((E14-E12)/E12,100%),""))</f>
        <v/>
      </c>
      <c r="F16" s="73"/>
      <c r="G16" s="207" t="s">
        <v>744</v>
      </c>
      <c r="H16" s="71"/>
      <c r="I16" s="64"/>
      <c r="J16" s="60"/>
    </row>
    <row r="17" spans="1:10" ht="4.3499999999999996" customHeight="1">
      <c r="A17" s="60"/>
      <c r="B17" s="65"/>
      <c r="C17" s="76"/>
      <c r="D17" s="71"/>
      <c r="E17" s="71"/>
      <c r="F17" s="73"/>
      <c r="G17" s="205"/>
      <c r="H17" s="71"/>
      <c r="I17" s="64"/>
      <c r="J17" s="60"/>
    </row>
    <row r="18" spans="1:10" ht="15" customHeight="1">
      <c r="A18" s="60"/>
      <c r="B18" s="65"/>
      <c r="C18" s="76" t="s">
        <v>672</v>
      </c>
      <c r="D18" s="373"/>
      <c r="E18" s="208" t="e">
        <f>IF(J18="Use Capcoa 2021",VL_REF!$G$3,INDEX(VL_TAZ!$O$9:$AD$9,1,MATCH($C18,VL_TAZ!$O$10:$AD$10,0)))</f>
        <v>#N/A</v>
      </c>
      <c r="F18" s="73"/>
      <c r="G18" s="71" t="str">
        <f>CONCATENATE("Alameda CTC model",IF(NOT(ISBLANK(E20)),", overridden",""))</f>
        <v>Alameda CTC model</v>
      </c>
      <c r="H18" s="71"/>
      <c r="I18" s="64"/>
      <c r="J18" s="187" t="s">
        <v>760</v>
      </c>
    </row>
    <row r="19" spans="1:10" ht="4.3499999999999996" customHeight="1">
      <c r="A19" s="60"/>
      <c r="B19" s="65"/>
      <c r="C19" s="76"/>
      <c r="D19" s="71"/>
      <c r="E19" s="71"/>
      <c r="F19" s="73"/>
      <c r="G19" s="205"/>
      <c r="H19" s="71"/>
      <c r="I19" s="64"/>
      <c r="J19" s="60"/>
    </row>
    <row r="20" spans="1:10" ht="15" customHeight="1">
      <c r="A20" s="60"/>
      <c r="B20" s="65"/>
      <c r="C20" s="76" t="s">
        <v>754</v>
      </c>
      <c r="D20" s="373"/>
      <c r="E20" s="58"/>
      <c r="F20" s="73"/>
      <c r="G20" s="207" t="s">
        <v>20</v>
      </c>
      <c r="H20" s="71"/>
      <c r="I20" s="64"/>
      <c r="J20" s="60"/>
    </row>
    <row r="21" spans="1:10" ht="4.3499999999999996" customHeight="1">
      <c r="A21" s="60"/>
      <c r="B21" s="65"/>
      <c r="C21" s="206"/>
      <c r="D21" s="373"/>
      <c r="E21" s="374"/>
      <c r="F21" s="73"/>
      <c r="G21" s="204"/>
      <c r="H21" s="71"/>
      <c r="I21" s="64"/>
      <c r="J21" s="60"/>
    </row>
    <row r="22" spans="1:10">
      <c r="A22" s="60"/>
      <c r="B22" s="65"/>
      <c r="C22" s="76" t="s">
        <v>777</v>
      </c>
      <c r="D22" s="373"/>
      <c r="E22" s="375" t="str">
        <f>IFERROR(IF(ISBLANK(E20),E18,IF(E20&gt;25%,E18,IF(E20&lt;=25%,E20,E18))),"")</f>
        <v/>
      </c>
      <c r="F22" s="73"/>
      <c r="G22" s="204" t="s">
        <v>744</v>
      </c>
      <c r="H22" s="71"/>
      <c r="I22" s="64"/>
      <c r="J22" s="16"/>
    </row>
    <row r="23" spans="1:10" ht="4.3499999999999996" customHeight="1">
      <c r="A23" s="60"/>
      <c r="B23" s="65"/>
      <c r="C23" s="76"/>
      <c r="D23" s="71"/>
      <c r="E23" s="71"/>
      <c r="F23" s="73"/>
      <c r="G23" s="205"/>
      <c r="H23" s="71"/>
      <c r="I23" s="64"/>
      <c r="J23" s="60"/>
    </row>
    <row r="24" spans="1:10" ht="15" customHeight="1">
      <c r="A24" s="60"/>
      <c r="B24" s="65"/>
      <c r="C24" s="76" t="s">
        <v>890</v>
      </c>
      <c r="D24" s="373"/>
      <c r="E24" s="376">
        <v>0.7</v>
      </c>
      <c r="F24" s="73"/>
      <c r="G24" s="80" t="s">
        <v>804</v>
      </c>
      <c r="H24" s="71"/>
      <c r="I24" s="64"/>
      <c r="J24" s="16"/>
    </row>
    <row r="25" spans="1:10" ht="4.3499999999999996" customHeight="1">
      <c r="A25" s="60"/>
      <c r="B25" s="65"/>
      <c r="C25" s="76"/>
      <c r="D25" s="71"/>
      <c r="E25" s="71"/>
      <c r="F25" s="73"/>
      <c r="G25" s="205"/>
      <c r="H25" s="71"/>
      <c r="I25" s="64"/>
      <c r="J25" s="60"/>
    </row>
    <row r="26" spans="1:10" ht="15" customHeight="1">
      <c r="A26" s="60"/>
      <c r="B26" s="65"/>
      <c r="C26" s="76" t="s">
        <v>891</v>
      </c>
      <c r="D26" s="204"/>
      <c r="E26" s="475">
        <v>0.57799999999999996</v>
      </c>
      <c r="F26" s="73"/>
      <c r="G26" s="80" t="s">
        <v>748</v>
      </c>
      <c r="H26" s="71"/>
      <c r="I26" s="64"/>
      <c r="J26" s="16"/>
    </row>
    <row r="27" spans="1:10" ht="4.3499999999999996" customHeight="1">
      <c r="A27" s="60"/>
      <c r="B27" s="65"/>
      <c r="C27" s="76"/>
      <c r="D27" s="71"/>
      <c r="E27" s="71"/>
      <c r="F27" s="73"/>
      <c r="G27" s="205"/>
      <c r="H27" s="71"/>
      <c r="I27" s="64"/>
      <c r="J27" s="60"/>
    </row>
    <row r="28" spans="1:10" ht="15" customHeight="1">
      <c r="A28" s="60"/>
      <c r="B28" s="65"/>
      <c r="C28" s="76" t="s">
        <v>805</v>
      </c>
      <c r="D28" s="71"/>
      <c r="E28" s="376">
        <v>1</v>
      </c>
      <c r="F28" s="73"/>
      <c r="G28" s="80" t="s">
        <v>750</v>
      </c>
      <c r="H28" s="71"/>
      <c r="I28" s="64"/>
      <c r="J28" s="16"/>
    </row>
    <row r="29" spans="1:10" ht="4.3499999999999996" customHeight="1">
      <c r="A29" s="60"/>
      <c r="B29" s="65"/>
      <c r="C29" s="76"/>
      <c r="D29" s="71"/>
      <c r="E29" s="71"/>
      <c r="F29" s="73"/>
      <c r="G29" s="205"/>
      <c r="H29" s="71"/>
      <c r="I29" s="64"/>
      <c r="J29" s="60"/>
    </row>
    <row r="30" spans="1:10" ht="15" customHeight="1">
      <c r="A30" s="60"/>
      <c r="B30" s="65"/>
      <c r="C30" s="76" t="s">
        <v>147</v>
      </c>
      <c r="D30" s="204"/>
      <c r="E30" s="98" t="str">
        <f>IF(OR(ISBLANK(E12),ISBLANK(E14)),"",IFERROR(MAX(-D8,-1*E16*E22*E24*E26*E28),""))</f>
        <v/>
      </c>
      <c r="F30" s="378"/>
      <c r="G30" s="41" t="b">
        <v>0</v>
      </c>
      <c r="H30" s="170" t="str">
        <f>IF(OR(G30=TRUE,E30=""),"Not Active","Active")</f>
        <v>Not Active</v>
      </c>
      <c r="I30" s="64"/>
      <c r="J30" s="60"/>
    </row>
    <row r="31" spans="1:10" ht="15" customHeight="1">
      <c r="A31" s="60"/>
      <c r="B31" s="65"/>
      <c r="C31" s="71"/>
      <c r="D31" s="71"/>
      <c r="E31" s="71"/>
      <c r="F31" s="71"/>
      <c r="G31" s="73"/>
      <c r="H31" s="71"/>
      <c r="I31" s="64"/>
      <c r="J31" s="60"/>
    </row>
    <row r="32" spans="1:10" ht="51.95" customHeight="1">
      <c r="A32" s="60"/>
      <c r="B32" s="65"/>
      <c r="C32" s="674" t="str">
        <f>"Formula:  % Change in VMT =  " &amp; SUBSTITUTE("-1* " &amp; C16 &amp; " * " &amp; C22 &amp; " * " &amp; C24 &amp; " * " &amp; C26 &amp; " * " &amp; C28 &amp; " "," used for calculation","")</f>
        <v xml:space="preserve">Formula:  % Change in VMT =  -1* % change in bus network coverage * Transit mode share * Elasticity of transit demand with respect to service miles * Statewide mode shift factor * Ratio of vehicle trip reduction to VMT </v>
      </c>
      <c r="D32" s="675"/>
      <c r="E32" s="675"/>
      <c r="F32" s="675"/>
      <c r="G32" s="675"/>
      <c r="H32" s="676"/>
      <c r="I32" s="64"/>
      <c r="J32" s="60"/>
    </row>
    <row r="33" spans="1:10" ht="15" customHeight="1">
      <c r="A33" s="60"/>
      <c r="B33" s="65"/>
      <c r="C33" s="476"/>
      <c r="D33" s="551" t="s">
        <v>892</v>
      </c>
      <c r="E33" s="551"/>
      <c r="F33" s="551"/>
      <c r="G33" s="551"/>
      <c r="H33" s="477"/>
      <c r="I33" s="64"/>
      <c r="J33" s="60"/>
    </row>
    <row r="34" spans="1:10" ht="15" customHeight="1">
      <c r="A34" s="60"/>
      <c r="B34" s="65"/>
      <c r="C34" s="478"/>
      <c r="D34" s="177" t="s">
        <v>893</v>
      </c>
      <c r="E34" s="177"/>
      <c r="F34" s="177"/>
      <c r="G34" s="177"/>
      <c r="H34" s="479"/>
      <c r="I34" s="64"/>
      <c r="J34" s="60"/>
    </row>
    <row r="35" spans="1:10" ht="15" customHeight="1">
      <c r="A35" s="60"/>
      <c r="B35" s="65"/>
      <c r="C35" s="432"/>
      <c r="D35" s="199"/>
      <c r="E35" s="199"/>
      <c r="F35" s="199"/>
      <c r="G35" s="199"/>
      <c r="H35" s="199"/>
      <c r="I35" s="64"/>
      <c r="J35" s="60"/>
    </row>
    <row r="36" spans="1:10" ht="15" customHeight="1">
      <c r="A36" s="60"/>
      <c r="B36" s="65"/>
      <c r="C36" s="71" t="s">
        <v>732</v>
      </c>
      <c r="D36" s="71"/>
      <c r="E36" s="71"/>
      <c r="F36" s="71"/>
      <c r="G36" s="73"/>
      <c r="H36" s="71"/>
      <c r="I36" s="64"/>
      <c r="J36" s="60"/>
    </row>
    <row r="37" spans="1:10" ht="99.95" customHeight="1">
      <c r="A37" s="60"/>
      <c r="B37" s="65"/>
      <c r="C37" s="551" t="str">
        <f>INDEX(VL_TDM!$AG$11:$AG$41,MATCH($A$4,VL_TDM!$B$11:$B$41,0),1)</f>
        <v>(1)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(2) Federal Highway Administration (FHWA). 2017. National Household Travel Survey – 2017 Table Designer. Average Vehicle Occupancy by HHSTFIPS. Available: https://nhts.ornl.gov/. Accessed: January 2021.</v>
      </c>
      <c r="D37" s="594"/>
      <c r="E37" s="594"/>
      <c r="F37" s="594"/>
      <c r="G37" s="594"/>
      <c r="H37" s="594"/>
      <c r="I37" s="480"/>
      <c r="J37" s="60"/>
    </row>
    <row r="38" spans="1:10" ht="15" customHeight="1">
      <c r="A38" s="60"/>
      <c r="B38" s="74"/>
      <c r="C38" s="177"/>
      <c r="D38" s="177"/>
      <c r="E38" s="177"/>
      <c r="F38" s="177"/>
      <c r="G38" s="379"/>
      <c r="H38" s="177"/>
      <c r="I38" s="380"/>
      <c r="J38" s="60"/>
    </row>
    <row r="39" spans="1:10" ht="22.35" customHeight="1">
      <c r="A39" s="60"/>
      <c r="B39" s="60"/>
      <c r="C39" s="60"/>
      <c r="D39" s="60"/>
      <c r="E39" s="60"/>
      <c r="F39" s="60"/>
      <c r="G39" s="75"/>
      <c r="H39" s="60"/>
      <c r="I39" s="60"/>
      <c r="J39" s="60"/>
    </row>
    <row r="61" spans="13:13" hidden="1">
      <c r="M61" s="392"/>
    </row>
  </sheetData>
  <sheetProtection algorithmName="SHA-512" hashValue="4Lur6jUrf6DSqZAKU6UYCZQIS7nQxtME5x8P3hzZmKV6KEv/kVJIfD8UaFdvWwEA7WPoy+30m06/oRUp6/cSXA==" saltValue="ILtC4/QTwA9PQa6OsPzOQQ==" spinCount="100000" sheet="1" objects="1" scenarios="1" selectLockedCells="1"/>
  <mergeCells count="5">
    <mergeCell ref="B4:I4"/>
    <mergeCell ref="C10:H10"/>
    <mergeCell ref="C32:H32"/>
    <mergeCell ref="D33:G33"/>
    <mergeCell ref="C37:H37"/>
  </mergeCells>
  <conditionalFormatting sqref="E30">
    <cfRule type="expression" dxfId="9" priority="13">
      <formula>-ROUND($D$8,3)=ROUND($E$30,3)</formula>
    </cfRule>
    <cfRule type="expression" dxfId="8" priority="16">
      <formula>AND(E30&lt;&gt;"",E30&gt;0)</formula>
    </cfRule>
  </conditionalFormatting>
  <dataValidations count="4">
    <dataValidation allowBlank="1" showErrorMessage="1" promptTitle="Default" prompt="User can override this default value in below cell._x000a_" sqref="E24" xr:uid="{00000000-0002-0000-1500-000000000000}"/>
    <dataValidation allowBlank="1" showErrorMessage="1" promptTitle="Restriction" prompt="Value must not exceed 100% (1)._x000a_" sqref="E16" xr:uid="{00000000-0002-0000-1500-000001000000}"/>
    <dataValidation type="decimal" allowBlank="1" showErrorMessage="1" errorTitle="Restriction" error="Value must be between 0% and 100%_x000a_" promptTitle="Restriction" prompt="If value exceeds maximum of 25%, default value will be used below." sqref="E20" xr:uid="{00000000-0002-0000-1500-000003000000}">
      <formula1>0</formula1>
      <formula2>1</formula2>
    </dataValidation>
    <dataValidation type="decimal" operator="greaterThanOrEqual" allowBlank="1" showInputMessage="1" showErrorMessage="1" error="Value must not be negative" sqref="E14 E12" xr:uid="{00000000-0002-0000-1500-000004000000}">
      <formula1>0</formula1>
    </dataValidation>
  </dataValidations>
  <hyperlinks>
    <hyperlink ref="H7" location="Results!A1" display="Results Summary" xr:uid="{00000000-0004-0000-1500-000000000000}"/>
    <hyperlink ref="H6" location="Main!A1" display="Return to Main" xr:uid="{00000000-0004-0000-15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7826" r:id="rId4" name="Check Box 2">
              <controlPr defaultSize="0" autoFill="0" autoLine="0" autoPict="0" altText="Exclude From Results Summary">
                <anchor moveWithCells="1">
                  <from>
                    <xdr:col>6</xdr:col>
                    <xdr:colOff>0</xdr:colOff>
                    <xdr:row>28</xdr:row>
                    <xdr:rowOff>38100</xdr:rowOff>
                  </from>
                  <to>
                    <xdr:col>7</xdr:col>
                    <xdr:colOff>28575</xdr:colOff>
                    <xdr:row>30</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tabColor rgb="FF996600"/>
  </sheetPr>
  <dimension ref="A1:N46"/>
  <sheetViews>
    <sheetView showGridLines="0" showRowColHeaders="0" topLeftCell="A3" zoomScaleNormal="100" workbookViewId="0">
      <selection activeCell="E13" sqref="E13"/>
    </sheetView>
  </sheetViews>
  <sheetFormatPr defaultColWidth="0" defaultRowHeight="15" zeroHeight="1"/>
  <cols>
    <col min="1" max="1" width="4.42578125" style="87" customWidth="1"/>
    <col min="2" max="2" width="8.85546875" style="87" customWidth="1"/>
    <col min="3" max="3" width="22.42578125" style="87" customWidth="1"/>
    <col min="4" max="4" width="53.42578125" style="87" customWidth="1"/>
    <col min="5" max="5" width="10.5703125" style="87" customWidth="1"/>
    <col min="6" max="6" width="5.5703125" style="87" customWidth="1"/>
    <col min="7" max="7" width="18.85546875" style="88" customWidth="1"/>
    <col min="8" max="8" width="15.85546875" style="87" customWidth="1"/>
    <col min="9" max="9" width="8.85546875" style="87" customWidth="1"/>
    <col min="10" max="10" width="4.5703125" style="87" customWidth="1"/>
    <col min="11" max="12" width="0" style="87" hidden="1" customWidth="1"/>
    <col min="13" max="14" width="29.5703125" style="87" hidden="1" customWidth="1"/>
    <col min="15" max="16384" width="8.85546875" style="87" hidden="1"/>
  </cols>
  <sheetData>
    <row r="1" spans="1:11" hidden="1">
      <c r="A1" s="60"/>
      <c r="B1" s="60"/>
      <c r="C1" s="60"/>
      <c r="D1" s="60"/>
      <c r="E1" s="60"/>
      <c r="F1" s="60"/>
      <c r="G1" s="75"/>
      <c r="H1" s="60"/>
      <c r="I1" s="60"/>
      <c r="J1" s="60"/>
    </row>
    <row r="2" spans="1:11" hidden="1">
      <c r="A2" s="60"/>
      <c r="B2" s="60"/>
      <c r="C2" s="60"/>
      <c r="D2" s="60"/>
      <c r="E2" s="60"/>
      <c r="F2" s="60"/>
      <c r="G2" s="75"/>
      <c r="H2" s="60"/>
      <c r="I2" s="60"/>
      <c r="J2" s="60"/>
    </row>
    <row r="3" spans="1:11" ht="18.75">
      <c r="A3" s="60"/>
      <c r="B3" s="39"/>
      <c r="C3" s="60"/>
      <c r="D3" s="60"/>
      <c r="E3" s="60"/>
      <c r="F3" s="60"/>
      <c r="G3" s="75"/>
      <c r="H3" s="60"/>
      <c r="I3" s="60"/>
      <c r="J3" s="60"/>
    </row>
    <row r="4" spans="1:11" ht="18.75">
      <c r="A4" s="187" t="s">
        <v>98</v>
      </c>
      <c r="B4" s="673" t="str">
        <f>A4&amp;". "&amp;INDEX(VL_TDM!$E$11:$E$41,MATCH($A$4,VL_TDM!$B$11:$B$41,0),1)</f>
        <v>5B. Transit Frequency Improvements</v>
      </c>
      <c r="C4" s="600"/>
      <c r="D4" s="600"/>
      <c r="E4" s="600"/>
      <c r="F4" s="600"/>
      <c r="G4" s="600"/>
      <c r="H4" s="600"/>
      <c r="I4" s="601"/>
      <c r="J4" s="60"/>
    </row>
    <row r="5" spans="1:11" ht="6" customHeight="1">
      <c r="A5" s="60"/>
      <c r="B5" s="481"/>
      <c r="C5" s="482"/>
      <c r="D5" s="483"/>
      <c r="E5" s="484"/>
      <c r="F5" s="483"/>
      <c r="G5" s="483"/>
      <c r="H5" s="483"/>
      <c r="I5" s="64"/>
      <c r="J5" s="60"/>
      <c r="K5" s="60"/>
    </row>
    <row r="6" spans="1:11">
      <c r="A6" s="60"/>
      <c r="B6" s="65"/>
      <c r="C6" s="82"/>
      <c r="D6" s="82"/>
      <c r="E6" s="82"/>
      <c r="F6" s="71"/>
      <c r="G6" s="73"/>
      <c r="H6" s="71"/>
      <c r="I6" s="64"/>
      <c r="J6" s="60"/>
    </row>
    <row r="7" spans="1:11">
      <c r="A7" s="60"/>
      <c r="B7" s="65"/>
      <c r="C7" s="71" t="s">
        <v>723</v>
      </c>
      <c r="D7" s="370" t="str">
        <f>INDEX(VL_TDM!$AC$11:$AC$41,MATCH($A$4,VL_TDM!$B$11:$B$41,0),1)</f>
        <v>Neighborhood/City</v>
      </c>
      <c r="E7" s="73"/>
      <c r="F7" s="73"/>
      <c r="G7" s="73"/>
      <c r="H7" s="500" t="s">
        <v>120</v>
      </c>
      <c r="I7" s="64"/>
      <c r="J7" s="60"/>
    </row>
    <row r="8" spans="1:11">
      <c r="A8" s="60"/>
      <c r="B8" s="65"/>
      <c r="C8" s="81" t="s">
        <v>724</v>
      </c>
      <c r="D8" s="85" t="str">
        <f>INDEX(VL_TDM!$AD$11:$AD$41,MATCH($A$4,VL_TDM!$B$11:$B$41,0),1)</f>
        <v>All neighborhood/city trips</v>
      </c>
      <c r="E8" s="73"/>
      <c r="F8" s="73"/>
      <c r="G8" s="71"/>
      <c r="H8" s="500" t="s">
        <v>153</v>
      </c>
      <c r="I8" s="64"/>
      <c r="J8" s="60"/>
    </row>
    <row r="9" spans="1:11">
      <c r="A9" s="60"/>
      <c r="B9" s="65"/>
      <c r="C9" s="81" t="s">
        <v>725</v>
      </c>
      <c r="D9" s="86">
        <f>INDEX(VL_TDM!$AE$11:$AE$41,MATCH($A$4,VL_TDM!$B$11:$B$41,0),1)</f>
        <v>0.113</v>
      </c>
      <c r="E9" s="82"/>
      <c r="F9" s="71"/>
      <c r="G9" s="73"/>
      <c r="H9" s="71"/>
      <c r="I9" s="64"/>
      <c r="J9" s="60"/>
    </row>
    <row r="10" spans="1:11">
      <c r="A10" s="60"/>
      <c r="B10" s="65"/>
      <c r="C10" s="71"/>
      <c r="D10" s="71"/>
      <c r="E10" s="71"/>
      <c r="F10" s="71"/>
      <c r="G10" s="73"/>
      <c r="H10" s="71"/>
      <c r="I10" s="64"/>
      <c r="J10" s="60"/>
    </row>
    <row r="11" spans="1:11" ht="50.1" customHeight="1">
      <c r="A11" s="60"/>
      <c r="B11" s="65"/>
      <c r="C11" s="602" t="str">
        <f>INDEX(VL_TDM!$AF$11:$AF$41,MATCH($A$4,VL_TDM!$B$11:$B$41,0),1)</f>
        <v>This strategy will increase transit frequency on one or more transit lines serving the neighborhood/city. Increased transit frequency reduces waiting and overall travel times, which improves the user experience and increases the attractiveness of transit service. This results in a mode shift from single occupancy vehicles to transit, which reduces VMT and associated GHG emissions.</v>
      </c>
      <c r="D11" s="594"/>
      <c r="E11" s="594"/>
      <c r="F11" s="594"/>
      <c r="G11" s="594"/>
      <c r="H11" s="594"/>
      <c r="I11" s="64"/>
      <c r="J11" s="60"/>
    </row>
    <row r="12" spans="1:11">
      <c r="A12" s="60"/>
      <c r="B12" s="65"/>
      <c r="C12" s="71"/>
      <c r="D12" s="71"/>
      <c r="E12" s="71"/>
      <c r="F12" s="71"/>
      <c r="G12" s="73"/>
      <c r="H12" s="71"/>
      <c r="I12" s="64"/>
      <c r="J12" s="60"/>
    </row>
    <row r="13" spans="1:11">
      <c r="A13" s="60"/>
      <c r="B13" s="65"/>
      <c r="C13" s="76" t="s">
        <v>894</v>
      </c>
      <c r="D13" s="204"/>
      <c r="E13" s="47"/>
      <c r="F13" s="73"/>
      <c r="G13" s="207" t="s">
        <v>17</v>
      </c>
      <c r="H13" s="71"/>
      <c r="I13" s="64"/>
      <c r="J13" s="60"/>
    </row>
    <row r="14" spans="1:11" ht="4.3499999999999996" customHeight="1">
      <c r="A14" s="60"/>
      <c r="B14" s="65"/>
      <c r="C14" s="76"/>
      <c r="D14" s="71"/>
      <c r="E14" s="71"/>
      <c r="F14" s="73"/>
      <c r="G14" s="205"/>
      <c r="H14" s="71"/>
      <c r="I14" s="64"/>
      <c r="J14" s="60"/>
    </row>
    <row r="15" spans="1:11">
      <c r="A15" s="60"/>
      <c r="B15" s="65"/>
      <c r="C15" s="76" t="s">
        <v>895</v>
      </c>
      <c r="D15" s="204"/>
      <c r="E15" s="47"/>
      <c r="F15" s="73"/>
      <c r="G15" s="204" t="s">
        <v>17</v>
      </c>
      <c r="H15" s="71"/>
      <c r="I15" s="64"/>
      <c r="J15" s="60"/>
    </row>
    <row r="16" spans="1:11" ht="4.3499999999999996" customHeight="1">
      <c r="A16" s="60"/>
      <c r="B16" s="65"/>
      <c r="C16" s="76"/>
      <c r="D16" s="71"/>
      <c r="E16" s="71"/>
      <c r="F16" s="73"/>
      <c r="G16" s="205"/>
      <c r="H16" s="71"/>
      <c r="I16" s="64"/>
      <c r="J16" s="60"/>
    </row>
    <row r="17" spans="1:10">
      <c r="A17" s="60"/>
      <c r="B17" s="65"/>
      <c r="C17" s="76" t="s">
        <v>896</v>
      </c>
      <c r="D17" s="373"/>
      <c r="E17" s="422" t="str">
        <f>IF(OR(E13=0,E15=0),"",IF((-1*((1/E13)-(1/E15))/(1/E13))&gt;=300%,300%,IF((-1*((1/E13)-(1/E15))/(1/E13))&lt;=-75%,-75%,(-1*((1/E13)-(1/E15))/(1/E13)))))</f>
        <v/>
      </c>
      <c r="F17" s="73"/>
      <c r="G17" s="204" t="s">
        <v>897</v>
      </c>
      <c r="H17" s="71"/>
      <c r="I17" s="64"/>
      <c r="J17" s="16"/>
    </row>
    <row r="18" spans="1:10" ht="4.3499999999999996" customHeight="1">
      <c r="A18" s="60"/>
      <c r="B18" s="65"/>
      <c r="C18" s="76"/>
      <c r="D18" s="71"/>
      <c r="E18" s="71"/>
      <c r="F18" s="73"/>
      <c r="G18" s="205"/>
      <c r="H18" s="71"/>
      <c r="I18" s="64"/>
      <c r="J18" s="60"/>
    </row>
    <row r="19" spans="1:10">
      <c r="A19" s="60"/>
      <c r="B19" s="65"/>
      <c r="C19" s="76" t="s">
        <v>898</v>
      </c>
      <c r="D19" s="204"/>
      <c r="E19" s="56"/>
      <c r="F19" s="73"/>
      <c r="G19" s="207" t="s">
        <v>17</v>
      </c>
      <c r="H19" s="71"/>
      <c r="I19" s="64"/>
      <c r="J19" s="16"/>
    </row>
    <row r="20" spans="1:10" ht="4.3499999999999996" customHeight="1">
      <c r="A20" s="60"/>
      <c r="B20" s="65"/>
      <c r="C20" s="76"/>
      <c r="D20" s="71"/>
      <c r="E20" s="71"/>
      <c r="F20" s="73"/>
      <c r="G20" s="205"/>
      <c r="H20" s="71"/>
      <c r="I20" s="64"/>
      <c r="J20" s="60"/>
    </row>
    <row r="21" spans="1:10">
      <c r="A21" s="60"/>
      <c r="B21" s="65"/>
      <c r="C21" s="76" t="s">
        <v>672</v>
      </c>
      <c r="D21" s="373"/>
      <c r="E21" s="208" t="e">
        <f>IF(J21="Use Capcoa 2021",VL_REF!$G$3,INDEX(VL_TAZ!$O$9:$AD$9,1,MATCH($C21,VL_TAZ!$O$10:$AD$10,0)))</f>
        <v>#N/A</v>
      </c>
      <c r="F21" s="73"/>
      <c r="G21" s="71" t="str">
        <f>CONCATENATE("Alameda CTC model",IF(NOT(ISBLANK(E23)),", overridden",""))</f>
        <v>Alameda CTC model</v>
      </c>
      <c r="H21" s="71"/>
      <c r="I21" s="64"/>
      <c r="J21" s="187" t="s">
        <v>760</v>
      </c>
    </row>
    <row r="22" spans="1:10" ht="4.3499999999999996" customHeight="1">
      <c r="A22" s="60"/>
      <c r="B22" s="65"/>
      <c r="C22" s="76"/>
      <c r="D22" s="71"/>
      <c r="E22" s="71"/>
      <c r="F22" s="73"/>
      <c r="G22" s="205"/>
      <c r="H22" s="71"/>
      <c r="I22" s="64"/>
      <c r="J22" s="187"/>
    </row>
    <row r="23" spans="1:10">
      <c r="A23" s="60"/>
      <c r="B23" s="65"/>
      <c r="C23" s="76" t="s">
        <v>754</v>
      </c>
      <c r="D23" s="373"/>
      <c r="E23" s="58"/>
      <c r="F23" s="73"/>
      <c r="G23" s="207" t="s">
        <v>20</v>
      </c>
      <c r="H23" s="71"/>
      <c r="I23" s="64"/>
      <c r="J23" s="187"/>
    </row>
    <row r="24" spans="1:10" ht="4.3499999999999996" customHeight="1">
      <c r="A24" s="60"/>
      <c r="B24" s="65"/>
      <c r="C24" s="206"/>
      <c r="D24" s="373"/>
      <c r="E24" s="374"/>
      <c r="F24" s="73"/>
      <c r="G24" s="204"/>
      <c r="H24" s="71"/>
      <c r="I24" s="64"/>
      <c r="J24" s="187"/>
    </row>
    <row r="25" spans="1:10">
      <c r="A25" s="60"/>
      <c r="B25" s="65"/>
      <c r="C25" s="76" t="s">
        <v>777</v>
      </c>
      <c r="D25" s="373"/>
      <c r="E25" s="375" t="str">
        <f>IFERROR(IF(ISBLANK(E23),E21,IF(E23&gt;25%,E21,IF(E23&lt;=25%,E23,E21))),"")</f>
        <v/>
      </c>
      <c r="F25" s="73"/>
      <c r="G25" s="204" t="s">
        <v>744</v>
      </c>
      <c r="H25" s="71"/>
      <c r="I25" s="64"/>
      <c r="J25" s="22"/>
    </row>
    <row r="26" spans="1:10" ht="4.3499999999999996" customHeight="1">
      <c r="A26" s="60"/>
      <c r="B26" s="65"/>
      <c r="C26" s="76"/>
      <c r="D26" s="71"/>
      <c r="E26" s="71"/>
      <c r="F26" s="73"/>
      <c r="G26" s="205"/>
      <c r="H26" s="71"/>
      <c r="I26" s="64"/>
      <c r="J26" s="187"/>
    </row>
    <row r="27" spans="1:10" ht="14.45" customHeight="1">
      <c r="A27" s="60"/>
      <c r="B27" s="65"/>
      <c r="C27" s="76" t="s">
        <v>674</v>
      </c>
      <c r="D27" s="71"/>
      <c r="E27" s="208" t="e">
        <f>IF(J27="Use Capcoa 2021",VL_REF!$H$3,INDEX(VL_TAZ!$O$9:$AD$9,1,MATCH($C27,VL_TAZ!$O$10:$AD$10,0)))</f>
        <v>#N/A</v>
      </c>
      <c r="F27" s="73"/>
      <c r="G27" s="71" t="str">
        <f>CONCATENATE("Alameda CTC model",IF(NOT(ISBLANK(E29)),", overridden",""))</f>
        <v>Alameda CTC model</v>
      </c>
      <c r="H27" s="71"/>
      <c r="I27" s="64"/>
      <c r="J27" s="187" t="s">
        <v>760</v>
      </c>
    </row>
    <row r="28" spans="1:10" ht="4.3499999999999996" customHeight="1">
      <c r="A28" s="60"/>
      <c r="B28" s="65"/>
      <c r="C28" s="76"/>
      <c r="D28" s="71"/>
      <c r="E28" s="71"/>
      <c r="F28" s="73"/>
      <c r="G28" s="205"/>
      <c r="H28" s="71"/>
      <c r="I28" s="64"/>
      <c r="J28" s="60"/>
    </row>
    <row r="29" spans="1:10">
      <c r="A29" s="60"/>
      <c r="B29" s="65"/>
      <c r="C29" s="76" t="s">
        <v>852</v>
      </c>
      <c r="D29" s="373"/>
      <c r="E29" s="58"/>
      <c r="F29" s="73"/>
      <c r="G29" s="207" t="s">
        <v>20</v>
      </c>
      <c r="H29" s="71"/>
      <c r="I29" s="64"/>
      <c r="J29" s="60"/>
    </row>
    <row r="30" spans="1:10" ht="4.3499999999999996" customHeight="1">
      <c r="A30" s="60"/>
      <c r="B30" s="65"/>
      <c r="C30" s="206"/>
      <c r="D30" s="373"/>
      <c r="E30" s="97"/>
      <c r="F30" s="73"/>
      <c r="G30" s="204"/>
      <c r="H30" s="71"/>
      <c r="I30" s="64"/>
      <c r="J30" s="60"/>
    </row>
    <row r="31" spans="1:10">
      <c r="A31" s="60"/>
      <c r="B31" s="65"/>
      <c r="C31" s="76" t="s">
        <v>853</v>
      </c>
      <c r="D31" s="373"/>
      <c r="E31" s="375" t="str">
        <f>IFERROR(IF(ISBLANK(E29),E27,IF(E29&lt;50%,E27,IF(E29&gt;=50%,E29,E27))),"")</f>
        <v/>
      </c>
      <c r="F31" s="73"/>
      <c r="G31" s="204" t="s">
        <v>744</v>
      </c>
      <c r="H31" s="71"/>
      <c r="I31" s="64"/>
      <c r="J31" s="16"/>
    </row>
    <row r="32" spans="1:10" ht="4.3499999999999996" customHeight="1">
      <c r="A32" s="60"/>
      <c r="B32" s="65"/>
      <c r="C32" s="76"/>
      <c r="D32" s="71"/>
      <c r="E32" s="71"/>
      <c r="F32" s="73"/>
      <c r="G32" s="205"/>
      <c r="H32" s="71"/>
      <c r="I32" s="64"/>
      <c r="J32" s="60"/>
    </row>
    <row r="33" spans="1:10">
      <c r="A33" s="60"/>
      <c r="B33" s="65"/>
      <c r="C33" s="76" t="s">
        <v>899</v>
      </c>
      <c r="D33" s="373"/>
      <c r="E33" s="376">
        <v>0.5</v>
      </c>
      <c r="F33" s="73"/>
      <c r="G33" s="80" t="s">
        <v>812</v>
      </c>
      <c r="H33" s="71"/>
      <c r="I33" s="64"/>
      <c r="J33" s="16"/>
    </row>
    <row r="34" spans="1:10" ht="4.3499999999999996" customHeight="1">
      <c r="A34" s="60"/>
      <c r="B34" s="65"/>
      <c r="C34" s="76"/>
      <c r="D34" s="71"/>
      <c r="E34" s="71"/>
      <c r="F34" s="73"/>
      <c r="G34" s="205"/>
      <c r="H34" s="71"/>
      <c r="I34" s="64"/>
      <c r="J34" s="60"/>
    </row>
    <row r="35" spans="1:10">
      <c r="A35" s="60"/>
      <c r="B35" s="65"/>
      <c r="C35" s="76" t="s">
        <v>891</v>
      </c>
      <c r="D35" s="204"/>
      <c r="E35" s="475">
        <v>0.57799999999999996</v>
      </c>
      <c r="F35" s="73"/>
      <c r="G35" s="80" t="s">
        <v>748</v>
      </c>
      <c r="H35" s="71"/>
      <c r="I35" s="64"/>
      <c r="J35" s="16"/>
    </row>
    <row r="36" spans="1:10" ht="4.3499999999999996" customHeight="1">
      <c r="A36" s="60"/>
      <c r="B36" s="65"/>
      <c r="C36" s="76"/>
      <c r="D36" s="71"/>
      <c r="E36" s="71"/>
      <c r="F36" s="73"/>
      <c r="G36" s="205"/>
      <c r="H36" s="71"/>
      <c r="I36" s="64"/>
      <c r="J36" s="60"/>
    </row>
    <row r="37" spans="1:10">
      <c r="A37" s="60"/>
      <c r="B37" s="65"/>
      <c r="C37" s="76" t="s">
        <v>147</v>
      </c>
      <c r="D37" s="204"/>
      <c r="E37" s="98" t="str">
        <f>IF(OR(ISBLANK(E13),ISBLANK(E15)),"",IFERROR(MAX(-D9,-E19*((E17*E25*E33*E35)/E31)),""))</f>
        <v/>
      </c>
      <c r="F37" s="378"/>
      <c r="G37" s="41" t="b">
        <v>0</v>
      </c>
      <c r="H37" s="170" t="str">
        <f>IF(OR(G37=TRUE,E37=""),"Not Active","Active")</f>
        <v>Not Active</v>
      </c>
      <c r="I37" s="64"/>
      <c r="J37" s="60"/>
    </row>
    <row r="38" spans="1:10">
      <c r="A38" s="60"/>
      <c r="B38" s="65"/>
      <c r="C38" s="71"/>
      <c r="D38" s="71"/>
      <c r="E38" s="71"/>
      <c r="F38" s="71"/>
      <c r="G38" s="73"/>
      <c r="H38" s="71"/>
      <c r="I38" s="64"/>
      <c r="J38" s="60"/>
    </row>
    <row r="39" spans="1:10" ht="35.1" customHeight="1">
      <c r="A39" s="60"/>
      <c r="B39" s="65"/>
      <c r="C39" s="669" t="str">
        <f>"Formula:  % Change in VMT =  " &amp; SUBSTITUTE("- " &amp; C19 &amp; " *(( " &amp; C17 &amp; " * " &amp; C25 &amp; " * " &amp; C33 &amp; " * " &amp; C35 &amp; " )/ " &amp; C31 &amp; " )"," used for calculation","")</f>
        <v>Formula:  % Change in VMT =  - Level of implementation *(( % change in transit frequency (arrivals per hour) * Transit mode share * Elasticity of transit ridership with respect to frequency of service * Statewide mode shift factor )/ Vehicle mode share )</v>
      </c>
      <c r="D39" s="670"/>
      <c r="E39" s="670"/>
      <c r="F39" s="670"/>
      <c r="G39" s="670"/>
      <c r="H39" s="671"/>
      <c r="I39" s="64"/>
      <c r="J39" s="60"/>
    </row>
    <row r="40" spans="1:10" ht="16.350000000000001" customHeight="1">
      <c r="A40" s="60"/>
      <c r="B40" s="65"/>
      <c r="C40" s="485"/>
      <c r="D40" s="486" t="s">
        <v>900</v>
      </c>
      <c r="E40" s="486"/>
      <c r="F40" s="486"/>
      <c r="G40" s="486"/>
      <c r="H40" s="487"/>
      <c r="I40" s="64"/>
      <c r="J40" s="60"/>
    </row>
    <row r="41" spans="1:10" ht="15" customHeight="1">
      <c r="A41" s="60"/>
      <c r="B41" s="65"/>
      <c r="C41" s="476"/>
      <c r="D41" s="71" t="s">
        <v>893</v>
      </c>
      <c r="E41" s="71"/>
      <c r="F41" s="71"/>
      <c r="G41" s="71"/>
      <c r="H41" s="64"/>
      <c r="I41" s="64"/>
      <c r="J41" s="60"/>
    </row>
    <row r="42" spans="1:10" ht="15" customHeight="1">
      <c r="A42" s="60"/>
      <c r="B42" s="65"/>
      <c r="C42" s="478"/>
      <c r="D42" s="177" t="s">
        <v>901</v>
      </c>
      <c r="E42" s="177"/>
      <c r="F42" s="177"/>
      <c r="G42" s="177"/>
      <c r="H42" s="380"/>
      <c r="I42" s="64"/>
      <c r="J42" s="60"/>
    </row>
    <row r="43" spans="1:10">
      <c r="A43" s="60"/>
      <c r="B43" s="65"/>
      <c r="C43" s="71" t="s">
        <v>732</v>
      </c>
      <c r="D43" s="71"/>
      <c r="E43" s="71"/>
      <c r="F43" s="71"/>
      <c r="G43" s="73"/>
      <c r="H43" s="71"/>
      <c r="I43" s="64"/>
      <c r="J43" s="60"/>
    </row>
    <row r="44" spans="1:10" ht="219.95" customHeight="1">
      <c r="A44" s="60"/>
      <c r="B44" s="65"/>
      <c r="C44" s="551" t="str">
        <f>INDEX(VL_TDM!$AG$11:$AG$41,MATCH($A$4,VL_TDM!$B$11:$B$41,0),1)</f>
        <v>(1)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(4) San Diego Association of Governments (SANDAG). 2019. Mobility Management VMT Reduction Calculator Tool – Design Document. June. Available: https://www.icommutesd.com/docs/default-source/planning/tool-design-document_final_7- 17-19.pdf?sfvrsn=ec39eb3b_2. Accessed: January 2021.</v>
      </c>
      <c r="D44" s="594"/>
      <c r="E44" s="594"/>
      <c r="F44" s="594"/>
      <c r="G44" s="594"/>
      <c r="H44" s="594"/>
      <c r="I44" s="480"/>
      <c r="J44" s="60"/>
    </row>
    <row r="45" spans="1:10">
      <c r="A45" s="60"/>
      <c r="B45" s="74"/>
      <c r="C45" s="177"/>
      <c r="D45" s="177"/>
      <c r="E45" s="177"/>
      <c r="F45" s="177"/>
      <c r="G45" s="379"/>
      <c r="H45" s="177"/>
      <c r="I45" s="380"/>
      <c r="J45" s="60"/>
    </row>
    <row r="46" spans="1:10">
      <c r="A46" s="60"/>
      <c r="B46" s="60"/>
      <c r="C46" s="60"/>
      <c r="D46" s="60"/>
      <c r="E46" s="60"/>
      <c r="F46" s="60"/>
      <c r="G46" s="75"/>
      <c r="H46" s="60"/>
      <c r="I46" s="60"/>
      <c r="J46" s="60"/>
    </row>
  </sheetData>
  <sheetProtection algorithmName="SHA-512" hashValue="+UdZ4qd1UtzN97B+qJ5l/4FAs3uLStC9jAKWMAsDrys5ebO2Q68wKAipSB4hOR+rG9ysCEJeqs6cmjah4ZkSAg==" saltValue="DT5qtA8OM9mFV4C0lzHp4Q==" spinCount="100000" sheet="1" objects="1" scenarios="1" selectLockedCells="1"/>
  <mergeCells count="4">
    <mergeCell ref="B4:I4"/>
    <mergeCell ref="C11:H11"/>
    <mergeCell ref="C39:H39"/>
    <mergeCell ref="C44:H44"/>
  </mergeCells>
  <conditionalFormatting sqref="E37">
    <cfRule type="expression" dxfId="7" priority="16">
      <formula>-ROUND($D$9,3)=ROUND($E$37,3)</formula>
    </cfRule>
    <cfRule type="expression" dxfId="6" priority="19">
      <formula>AND(E37&lt;&gt;"",E37&gt;0)</formula>
    </cfRule>
  </conditionalFormatting>
  <dataValidations count="6">
    <dataValidation type="decimal" operator="greaterThanOrEqual" allowBlank="1" showErrorMessage="1" error="Value must not be negative" promptTitle="Definition" prompt="Headway is the amount of time that elapses between two buses servicing a given route and given line. Headway is the inverse of frequency (headway = 1/frequency), where frequency is the nubmer of arrivals over a given time period (e.g., buses per hour)." sqref="E13" xr:uid="{00000000-0002-0000-1600-000000000000}">
      <formula1>0</formula1>
    </dataValidation>
    <dataValidation allowBlank="1" showErrorMessage="1" promptTitle="Restriction" prompt="Based on user input values of current headway and headway with project, reasonable ranges are between 15% - 80% (1)." sqref="E17" xr:uid="{00000000-0002-0000-1600-000001000000}"/>
    <dataValidation allowBlank="1" showErrorMessage="1" promptTitle="Default" prompt="User can override this default value in below cell._x000a_" sqref="E33" xr:uid="{00000000-0002-0000-1600-000002000000}"/>
    <dataValidation type="decimal" allowBlank="1" showErrorMessage="1" errorTitle="Restriction" error="Value must be between 0% and 100%_x000a_" promptTitle="Restriction" prompt="If value falls below minimum of 50%, default value will be used below." sqref="E29" xr:uid="{00000000-0002-0000-1600-000003000000}">
      <formula1>0</formula1>
      <formula2>1</formula2>
    </dataValidation>
    <dataValidation type="decimal" allowBlank="1" showErrorMessage="1" errorTitle="Restriction" error="Value must be between 0% and 100%_x000a_" promptTitle="Restriction" prompt="If value exceeds maximum of 25%, default value will be used below." sqref="E23" xr:uid="{00000000-0002-0000-1600-000004000000}">
      <formula1>0</formula1>
      <formula2>1</formula2>
    </dataValidation>
    <dataValidation type="decimal" operator="greaterThanOrEqual" allowBlank="1" showInputMessage="1" showErrorMessage="1" error="Value must not be negative" sqref="E15" xr:uid="{00000000-0002-0000-1600-000005000000}">
      <formula1>0</formula1>
    </dataValidation>
  </dataValidations>
  <hyperlinks>
    <hyperlink ref="H8" location="Results!A1" display="Results Summary" xr:uid="{00000000-0004-0000-1600-000000000000}"/>
    <hyperlink ref="H7" location="Main!L65" display="Return to Main É" xr:uid="{00000000-0004-0000-16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51" r:id="rId4" name="Check Box 3">
              <controlPr defaultSize="0" autoFill="0" autoLine="0" autoPict="0" altText="Exclude From Results Summary">
                <anchor moveWithCells="1">
                  <from>
                    <xdr:col>6</xdr:col>
                    <xdr:colOff>9525</xdr:colOff>
                    <xdr:row>36</xdr:row>
                    <xdr:rowOff>0</xdr:rowOff>
                  </from>
                  <to>
                    <xdr:col>6</xdr:col>
                    <xdr:colOff>1247775</xdr:colOff>
                    <xdr:row>37</xdr:row>
                    <xdr:rowOff>28575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tabColor rgb="FF996600"/>
  </sheetPr>
  <dimension ref="A1:L47"/>
  <sheetViews>
    <sheetView showGridLines="0" showRowColHeaders="0" topLeftCell="A3" zoomScaleNormal="100" workbookViewId="0">
      <selection activeCell="E12" sqref="E12"/>
    </sheetView>
  </sheetViews>
  <sheetFormatPr defaultColWidth="0" defaultRowHeight="15" zeroHeight="1"/>
  <cols>
    <col min="1" max="1" width="4.42578125" style="87" customWidth="1"/>
    <col min="2" max="2" width="8.85546875" style="87" customWidth="1"/>
    <col min="3" max="3" width="22" style="87" customWidth="1"/>
    <col min="4" max="4" width="53.42578125" style="87" customWidth="1"/>
    <col min="5" max="5" width="10.5703125" style="87" customWidth="1"/>
    <col min="6" max="6" width="5.5703125" style="87" customWidth="1"/>
    <col min="7" max="7" width="20.5703125" style="88" customWidth="1"/>
    <col min="8" max="8" width="15.5703125" style="87" customWidth="1"/>
    <col min="9" max="9" width="8.85546875" style="87" customWidth="1"/>
    <col min="10" max="10" width="4.5703125" style="87" customWidth="1"/>
    <col min="11" max="12" width="25" style="87" hidden="1" customWidth="1"/>
    <col min="13" max="16384" width="8.85546875" style="87" hidden="1"/>
  </cols>
  <sheetData>
    <row r="1" spans="1:10" hidden="1">
      <c r="A1" s="60"/>
      <c r="B1" s="60"/>
      <c r="C1" s="60"/>
      <c r="D1" s="60"/>
      <c r="E1" s="60"/>
      <c r="F1" s="60"/>
      <c r="G1" s="75"/>
      <c r="H1" s="60"/>
      <c r="I1" s="60"/>
      <c r="J1" s="60"/>
    </row>
    <row r="2" spans="1:10" hidden="1">
      <c r="A2" s="60"/>
      <c r="B2" s="60"/>
      <c r="C2" s="60"/>
      <c r="D2" s="60"/>
      <c r="E2" s="60"/>
      <c r="F2" s="60"/>
      <c r="G2" s="75"/>
      <c r="H2" s="60"/>
      <c r="I2" s="60"/>
      <c r="J2" s="60"/>
    </row>
    <row r="3" spans="1:10" ht="22.35" customHeight="1">
      <c r="A3" s="60"/>
      <c r="B3" s="39"/>
      <c r="C3" s="60"/>
      <c r="D3" s="60"/>
      <c r="E3" s="60"/>
      <c r="F3" s="60"/>
      <c r="G3" s="75"/>
      <c r="H3" s="60"/>
      <c r="I3" s="60"/>
      <c r="J3" s="60"/>
    </row>
    <row r="4" spans="1:10" ht="18.75">
      <c r="A4" s="187" t="s">
        <v>100</v>
      </c>
      <c r="B4" s="673" t="str">
        <f>A4&amp;". "&amp;INDEX(VL_TDM!$E$11:$E$41,MATCH($A$4,VL_TDM!$B$11:$B$41,0),1)</f>
        <v>5C. Transit-Supportive Treatments</v>
      </c>
      <c r="C4" s="600"/>
      <c r="D4" s="600"/>
      <c r="E4" s="600"/>
      <c r="F4" s="600"/>
      <c r="G4" s="600"/>
      <c r="H4" s="600"/>
      <c r="I4" s="601"/>
      <c r="J4" s="60"/>
    </row>
    <row r="5" spans="1:10" ht="15" customHeight="1">
      <c r="A5" s="60"/>
      <c r="B5" s="65"/>
      <c r="C5" s="82"/>
      <c r="D5" s="82"/>
      <c r="E5" s="82"/>
      <c r="F5" s="71"/>
      <c r="G5" s="73"/>
      <c r="H5" s="71"/>
      <c r="I5" s="64"/>
      <c r="J5" s="60"/>
    </row>
    <row r="6" spans="1:10" ht="15" customHeight="1">
      <c r="A6" s="60"/>
      <c r="B6" s="65"/>
      <c r="C6" s="71" t="s">
        <v>723</v>
      </c>
      <c r="D6" s="370" t="str">
        <f>INDEX(VL_TDM!$AC$11:$AC$41,MATCH($A$4,VL_TDM!$B$11:$B$41,0),1)</f>
        <v>Neighborhood/City</v>
      </c>
      <c r="E6" s="73"/>
      <c r="F6" s="73"/>
      <c r="G6" s="73"/>
      <c r="H6" s="500" t="s">
        <v>120</v>
      </c>
      <c r="I6" s="64"/>
      <c r="J6" s="60"/>
    </row>
    <row r="7" spans="1:10" ht="15" customHeight="1">
      <c r="A7" s="60"/>
      <c r="B7" s="65"/>
      <c r="C7" s="81" t="s">
        <v>724</v>
      </c>
      <c r="D7" s="85" t="str">
        <f>INDEX(VL_TDM!$AD$11:$AD$41,MATCH($A$4,VL_TDM!$B$11:$B$41,0),1)</f>
        <v>All neighborhood/city trips</v>
      </c>
      <c r="E7" s="73"/>
      <c r="F7" s="73"/>
      <c r="G7" s="71"/>
      <c r="H7" s="500" t="s">
        <v>153</v>
      </c>
      <c r="I7" s="64"/>
      <c r="J7" s="60"/>
    </row>
    <row r="8" spans="1:10" ht="15" customHeight="1">
      <c r="A8" s="60"/>
      <c r="B8" s="65"/>
      <c r="C8" s="81" t="s">
        <v>725</v>
      </c>
      <c r="D8" s="86">
        <f>INDEX(VL_TDM!$AE$11:$AE$41,MATCH($A$4,VL_TDM!$B$11:$B$41,0),1)</f>
        <v>6.0000000000000001E-3</v>
      </c>
      <c r="E8" s="82"/>
      <c r="F8" s="71"/>
      <c r="G8" s="73"/>
      <c r="H8" s="71"/>
      <c r="I8" s="64"/>
      <c r="J8" s="60"/>
    </row>
    <row r="9" spans="1:10" ht="15" customHeight="1">
      <c r="A9" s="60"/>
      <c r="B9" s="65"/>
      <c r="C9" s="71"/>
      <c r="D9" s="71"/>
      <c r="E9" s="71"/>
      <c r="F9" s="71"/>
      <c r="G9" s="73"/>
      <c r="H9" s="71"/>
      <c r="I9" s="64"/>
      <c r="J9" s="60"/>
    </row>
    <row r="10" spans="1:10" ht="69.95" customHeight="1">
      <c r="A10" s="60"/>
      <c r="B10" s="65"/>
      <c r="C10" s="602" t="str">
        <f>INDEX(VL_TDM!$AF$11:$AF$41,MATCH($A$4,VL_TDM!$B$11:$B$41,0),1)</f>
        <v>This strategy will implement transit-supportive treatments on the transit routes serving the neighborhood/city. Transit-supportive treatments incorporate a mix of roadway infrastructure improvements and/or traffic signal modifications to improve transit travel times and reliability. This results in a mode shift from single occupancy vehicles to transit, which reduces VMT and the associated GHG emissions. Treatments can include transit signal priority, bus-only signal phases, queue jumps, curb extensions to speed passenger loading, and dedicated bus lanes.</v>
      </c>
      <c r="D10" s="594"/>
      <c r="E10" s="594"/>
      <c r="F10" s="594"/>
      <c r="G10" s="594"/>
      <c r="H10" s="594"/>
      <c r="I10" s="64"/>
      <c r="J10" s="60"/>
    </row>
    <row r="11" spans="1:10" ht="15" customHeight="1">
      <c r="A11" s="60"/>
      <c r="B11" s="65"/>
      <c r="C11" s="71"/>
      <c r="D11" s="71"/>
      <c r="E11" s="71"/>
      <c r="F11" s="71"/>
      <c r="G11" s="73"/>
      <c r="H11" s="71"/>
      <c r="I11" s="64"/>
      <c r="J11" s="60"/>
    </row>
    <row r="12" spans="1:10" ht="15" customHeight="1">
      <c r="A12" s="60"/>
      <c r="B12" s="65"/>
      <c r="C12" s="76" t="s">
        <v>902</v>
      </c>
      <c r="D12" s="71"/>
      <c r="E12" s="53"/>
      <c r="F12" s="71"/>
      <c r="G12" s="204" t="s">
        <v>17</v>
      </c>
      <c r="H12" s="71"/>
      <c r="I12" s="64"/>
      <c r="J12" s="16"/>
    </row>
    <row r="13" spans="1:10" ht="7.35" customHeight="1">
      <c r="A13" s="60"/>
      <c r="B13" s="65"/>
      <c r="C13" s="77"/>
      <c r="D13" s="71"/>
      <c r="E13" s="71"/>
      <c r="F13" s="71"/>
      <c r="G13" s="73"/>
      <c r="H13" s="71"/>
      <c r="I13" s="64"/>
      <c r="J13" s="60"/>
    </row>
    <row r="14" spans="1:10" ht="15" customHeight="1">
      <c r="A14" s="60"/>
      <c r="B14" s="65"/>
      <c r="C14" s="76" t="s">
        <v>903</v>
      </c>
      <c r="D14" s="373"/>
      <c r="E14" s="430">
        <v>-0.1</v>
      </c>
      <c r="F14" s="73"/>
      <c r="G14" s="71" t="str">
        <f>CONCATENATE("constant, source (4)",IF(NOT(ISBLANK(E16)),", overridden",""))</f>
        <v>constant, source (4)</v>
      </c>
      <c r="H14" s="71"/>
      <c r="I14" s="64"/>
      <c r="J14" s="16"/>
    </row>
    <row r="15" spans="1:10" ht="4.3499999999999996" customHeight="1">
      <c r="A15" s="60"/>
      <c r="B15" s="65"/>
      <c r="C15" s="76"/>
      <c r="D15" s="71"/>
      <c r="E15" s="71"/>
      <c r="F15" s="73"/>
      <c r="G15" s="205"/>
      <c r="H15" s="71"/>
      <c r="I15" s="64"/>
      <c r="J15" s="60"/>
    </row>
    <row r="16" spans="1:10" ht="15" customHeight="1">
      <c r="A16" s="60"/>
      <c r="B16" s="65"/>
      <c r="C16" s="76" t="s">
        <v>904</v>
      </c>
      <c r="D16" s="373"/>
      <c r="E16" s="135"/>
      <c r="F16" s="73"/>
      <c r="G16" s="28" t="s">
        <v>20</v>
      </c>
      <c r="H16" s="79"/>
      <c r="I16" s="64"/>
      <c r="J16" s="60"/>
    </row>
    <row r="17" spans="1:10" ht="15" customHeight="1">
      <c r="A17" s="60"/>
      <c r="B17" s="65"/>
      <c r="C17" s="76" t="s">
        <v>905</v>
      </c>
      <c r="D17" s="373"/>
      <c r="E17" s="99"/>
      <c r="F17" s="73"/>
      <c r="G17" s="488"/>
      <c r="H17" s="79"/>
      <c r="I17" s="64"/>
      <c r="J17" s="60"/>
    </row>
    <row r="18" spans="1:10" ht="7.35" customHeight="1">
      <c r="A18" s="60"/>
      <c r="B18" s="65"/>
      <c r="C18" s="76"/>
      <c r="D18" s="373"/>
      <c r="E18" s="373"/>
      <c r="F18" s="73"/>
      <c r="G18" s="204"/>
      <c r="H18" s="71"/>
      <c r="I18" s="64"/>
      <c r="J18" s="60"/>
    </row>
    <row r="19" spans="1:10">
      <c r="A19" s="60"/>
      <c r="B19" s="65"/>
      <c r="C19" s="76" t="s">
        <v>906</v>
      </c>
      <c r="D19" s="373"/>
      <c r="E19" s="422">
        <f>IFERROR(IF(ISBLANK(E16),E14,IF(AND(E16&lt;=0, E16&gt;=-20%),E16,E14)), "")</f>
        <v>-0.1</v>
      </c>
      <c r="F19" s="73"/>
      <c r="G19" s="204" t="s">
        <v>744</v>
      </c>
      <c r="H19" s="71"/>
      <c r="I19" s="64"/>
      <c r="J19" s="60"/>
    </row>
    <row r="20" spans="1:10" ht="4.3499999999999996" customHeight="1">
      <c r="A20" s="60"/>
      <c r="B20" s="65"/>
      <c r="C20" s="76"/>
      <c r="D20" s="71"/>
      <c r="E20" s="71"/>
      <c r="F20" s="73"/>
      <c r="G20" s="205"/>
      <c r="H20" s="71"/>
      <c r="I20" s="64"/>
      <c r="J20" s="60"/>
    </row>
    <row r="21" spans="1:10" ht="15" customHeight="1">
      <c r="A21" s="60"/>
      <c r="B21" s="65"/>
      <c r="C21" s="76" t="s">
        <v>672</v>
      </c>
      <c r="D21" s="373"/>
      <c r="E21" s="208" t="e">
        <f>IF(J21="Use Capcoa 2021",VL_REF!$G$3,INDEX(VL_TAZ!$O$9:$AD$9,1,MATCH($C21,VL_TAZ!$O$10:$AD$10,0)))</f>
        <v>#N/A</v>
      </c>
      <c r="F21" s="73"/>
      <c r="G21" s="71" t="str">
        <f>CONCATENATE("Alameda CTC model",IF(NOT(ISBLANK(E23)),", overridden",""))</f>
        <v>Alameda CTC model</v>
      </c>
      <c r="H21" s="71"/>
      <c r="I21" s="64"/>
      <c r="J21" s="187" t="s">
        <v>760</v>
      </c>
    </row>
    <row r="22" spans="1:10" ht="4.3499999999999996" customHeight="1">
      <c r="A22" s="60"/>
      <c r="B22" s="65"/>
      <c r="C22" s="76"/>
      <c r="D22" s="71"/>
      <c r="E22" s="71"/>
      <c r="F22" s="73"/>
      <c r="G22" s="205"/>
      <c r="H22" s="71"/>
      <c r="I22" s="64"/>
      <c r="J22" s="187"/>
    </row>
    <row r="23" spans="1:10" ht="15" customHeight="1">
      <c r="A23" s="60"/>
      <c r="B23" s="65"/>
      <c r="C23" s="76" t="s">
        <v>754</v>
      </c>
      <c r="D23" s="373"/>
      <c r="E23" s="58"/>
      <c r="F23" s="73"/>
      <c r="G23" s="28" t="s">
        <v>20</v>
      </c>
      <c r="H23" s="79"/>
      <c r="I23" s="64"/>
      <c r="J23" s="187"/>
    </row>
    <row r="24" spans="1:10" ht="4.3499999999999996" customHeight="1">
      <c r="A24" s="60"/>
      <c r="B24" s="65"/>
      <c r="C24" s="206"/>
      <c r="D24" s="373"/>
      <c r="E24" s="374"/>
      <c r="F24" s="73"/>
      <c r="G24" s="204"/>
      <c r="H24" s="71"/>
      <c r="I24" s="64"/>
      <c r="J24" s="187"/>
    </row>
    <row r="25" spans="1:10">
      <c r="A25" s="60"/>
      <c r="B25" s="65"/>
      <c r="C25" s="76" t="s">
        <v>777</v>
      </c>
      <c r="D25" s="373"/>
      <c r="E25" s="375" t="str">
        <f>IFERROR(IF(ISBLANK(E23),E21,IF(E23&gt;25%,E21,IF(E23&lt;=25%,E23,E21))),"")</f>
        <v/>
      </c>
      <c r="F25" s="73"/>
      <c r="G25" s="204" t="s">
        <v>744</v>
      </c>
      <c r="H25" s="71"/>
      <c r="I25" s="64"/>
      <c r="J25" s="22"/>
    </row>
    <row r="26" spans="1:10" ht="4.3499999999999996" customHeight="1">
      <c r="A26" s="60"/>
      <c r="B26" s="65"/>
      <c r="C26" s="76"/>
      <c r="D26" s="373"/>
      <c r="E26" s="374"/>
      <c r="F26" s="73"/>
      <c r="G26" s="204"/>
      <c r="H26" s="71"/>
      <c r="I26" s="64"/>
      <c r="J26" s="187"/>
    </row>
    <row r="27" spans="1:10" ht="15" customHeight="1">
      <c r="A27" s="60"/>
      <c r="B27" s="65"/>
      <c r="C27" s="76" t="s">
        <v>674</v>
      </c>
      <c r="D27" s="71"/>
      <c r="E27" s="208" t="e">
        <f>IF(J27="Use Capcoa 2021",VL_REF!$H$3,INDEX(VL_TAZ!$O$9:$AD$9,1,MATCH($C27,VL_TAZ!$O$10:$AD$10,0)))</f>
        <v>#N/A</v>
      </c>
      <c r="F27" s="73"/>
      <c r="G27" s="71" t="str">
        <f>CONCATENATE("Alameda CTC model",IF(NOT(ISBLANK(E29)),", overridden",""))</f>
        <v>Alameda CTC model</v>
      </c>
      <c r="H27" s="71"/>
      <c r="I27" s="64"/>
      <c r="J27" s="187" t="s">
        <v>760</v>
      </c>
    </row>
    <row r="28" spans="1:10" ht="4.3499999999999996" customHeight="1">
      <c r="A28" s="60"/>
      <c r="B28" s="65"/>
      <c r="C28" s="76"/>
      <c r="D28" s="71"/>
      <c r="E28" s="71"/>
      <c r="F28" s="73"/>
      <c r="G28" s="205"/>
      <c r="H28" s="71"/>
      <c r="I28" s="64"/>
      <c r="J28" s="60"/>
    </row>
    <row r="29" spans="1:10" ht="15" customHeight="1">
      <c r="A29" s="60"/>
      <c r="B29" s="65"/>
      <c r="C29" s="76" t="s">
        <v>852</v>
      </c>
      <c r="D29" s="373"/>
      <c r="E29" s="58"/>
      <c r="F29" s="73"/>
      <c r="G29" s="28" t="s">
        <v>20</v>
      </c>
      <c r="H29" s="79"/>
      <c r="I29" s="64"/>
      <c r="J29" s="60"/>
    </row>
    <row r="30" spans="1:10" ht="4.3499999999999996" customHeight="1">
      <c r="A30" s="60"/>
      <c r="B30" s="65"/>
      <c r="C30" s="206"/>
      <c r="D30" s="373"/>
      <c r="E30" s="97"/>
      <c r="F30" s="73"/>
      <c r="G30" s="204"/>
      <c r="H30" s="71"/>
      <c r="I30" s="64"/>
      <c r="J30" s="60"/>
    </row>
    <row r="31" spans="1:10">
      <c r="A31" s="60"/>
      <c r="B31" s="65"/>
      <c r="C31" s="76" t="s">
        <v>853</v>
      </c>
      <c r="D31" s="373"/>
      <c r="E31" s="375" t="str">
        <f>IFERROR(IF(ISBLANK(E29),E27,IF(E29&lt;50%,E27,IF(E29&gt;=50%,E29,E27))),"")</f>
        <v/>
      </c>
      <c r="F31" s="73"/>
      <c r="G31" s="204" t="s">
        <v>744</v>
      </c>
      <c r="H31" s="71"/>
      <c r="I31" s="64"/>
      <c r="J31" s="16"/>
    </row>
    <row r="32" spans="1:10" ht="4.3499999999999996" customHeight="1">
      <c r="A32" s="60"/>
      <c r="B32" s="65"/>
      <c r="C32" s="76"/>
      <c r="D32" s="71"/>
      <c r="E32" s="71"/>
      <c r="F32" s="73"/>
      <c r="G32" s="205"/>
      <c r="H32" s="71"/>
      <c r="I32" s="64"/>
      <c r="J32" s="60"/>
    </row>
    <row r="33" spans="1:12" ht="15" customHeight="1">
      <c r="A33" s="60"/>
      <c r="B33" s="65"/>
      <c r="C33" s="76" t="s">
        <v>907</v>
      </c>
      <c r="D33" s="373"/>
      <c r="E33" s="376">
        <v>-0.4</v>
      </c>
      <c r="F33" s="73"/>
      <c r="G33" s="80" t="s">
        <v>779</v>
      </c>
      <c r="H33" s="71"/>
      <c r="I33" s="64"/>
      <c r="J33" s="16"/>
    </row>
    <row r="34" spans="1:12" ht="4.3499999999999996" customHeight="1">
      <c r="A34" s="60"/>
      <c r="B34" s="65"/>
      <c r="C34" s="76"/>
      <c r="D34" s="71"/>
      <c r="E34" s="71"/>
      <c r="F34" s="73"/>
      <c r="G34" s="205"/>
      <c r="H34" s="71"/>
      <c r="I34" s="64"/>
      <c r="J34" s="60"/>
    </row>
    <row r="35" spans="1:12" ht="15" customHeight="1">
      <c r="A35" s="60"/>
      <c r="B35" s="65"/>
      <c r="C35" s="76" t="s">
        <v>891</v>
      </c>
      <c r="D35" s="204"/>
      <c r="E35" s="475">
        <v>0.57799999999999996</v>
      </c>
      <c r="F35" s="73"/>
      <c r="G35" s="80" t="s">
        <v>748</v>
      </c>
      <c r="H35" s="71"/>
      <c r="I35" s="64"/>
      <c r="J35" s="16"/>
    </row>
    <row r="36" spans="1:12" ht="4.3499999999999996" customHeight="1">
      <c r="A36" s="60"/>
      <c r="B36" s="65"/>
      <c r="C36" s="76"/>
      <c r="D36" s="71"/>
      <c r="E36" s="71"/>
      <c r="F36" s="73"/>
      <c r="G36" s="205"/>
      <c r="H36" s="71"/>
      <c r="I36" s="64"/>
      <c r="J36" s="60"/>
    </row>
    <row r="37" spans="1:12" ht="15" customHeight="1">
      <c r="A37" s="60"/>
      <c r="B37" s="65"/>
      <c r="C37" s="76" t="s">
        <v>147</v>
      </c>
      <c r="D37" s="204"/>
      <c r="E37" s="98" t="str">
        <f>IF(ISBLANK(E12),"",IFERROR(MAX(-D8,-1*((E12*E14*E33*E25*E35)/E31)),""))</f>
        <v/>
      </c>
      <c r="F37" s="378"/>
      <c r="G37" s="41" t="b">
        <v>0</v>
      </c>
      <c r="H37" s="170" t="str">
        <f>IF(OR(G37=TRUE,E37=""),"Not Active","Active")</f>
        <v>Not Active</v>
      </c>
      <c r="I37" s="64"/>
      <c r="J37" s="60"/>
    </row>
    <row r="38" spans="1:12" ht="15" customHeight="1">
      <c r="A38" s="60"/>
      <c r="B38" s="65"/>
      <c r="C38" s="204"/>
      <c r="D38" s="204"/>
      <c r="E38" s="204"/>
      <c r="F38" s="71"/>
      <c r="G38" s="73"/>
      <c r="H38" s="489"/>
      <c r="I38" s="64"/>
      <c r="J38" s="60"/>
    </row>
    <row r="39" spans="1:12" ht="51.95" customHeight="1">
      <c r="A39" s="60"/>
      <c r="B39" s="65"/>
      <c r="C39" s="669" t="str">
        <f>"Formula:  % Change in VMT =  " &amp; SUBSTITUTE("-1*(( " &amp; C12 &amp; " * " &amp; C14 &amp; " * " &amp; C33 &amp; " * " &amp; C25 &amp; " * " &amp; C35 &amp; " )/ " &amp; C31 &amp; " )"," used for calculation","")</f>
        <v>Formula:  % Change in VMT =  -1*(( % of neighborhood/city transit routes that receive treatments * Default % change in transit travel time due to treatments * Elasticity of transit ridership with respect to transit travel time * Transit mode share * Statewide mode shift factor )/ Vehicle mode share )</v>
      </c>
      <c r="D39" s="670"/>
      <c r="E39" s="670"/>
      <c r="F39" s="670"/>
      <c r="G39" s="670"/>
      <c r="H39" s="671"/>
      <c r="I39" s="64"/>
      <c r="J39" s="60"/>
    </row>
    <row r="40" spans="1:12" ht="30" customHeight="1">
      <c r="A40" s="60"/>
      <c r="B40" s="65"/>
      <c r="C40" s="65"/>
      <c r="D40" s="551" t="s">
        <v>908</v>
      </c>
      <c r="E40" s="551"/>
      <c r="F40" s="551"/>
      <c r="G40" s="551"/>
      <c r="H40" s="678"/>
      <c r="I40" s="64"/>
      <c r="J40" s="60"/>
    </row>
    <row r="41" spans="1:12" ht="15.6" customHeight="1">
      <c r="A41" s="60"/>
      <c r="B41" s="65"/>
      <c r="C41" s="65"/>
      <c r="D41" s="71" t="s">
        <v>893</v>
      </c>
      <c r="E41" s="71"/>
      <c r="F41" s="71"/>
      <c r="G41" s="71"/>
      <c r="H41" s="64"/>
      <c r="I41" s="64"/>
      <c r="J41" s="60"/>
    </row>
    <row r="42" spans="1:12" ht="17.45" customHeight="1">
      <c r="A42" s="60"/>
      <c r="B42" s="65"/>
      <c r="C42" s="74"/>
      <c r="D42" s="177" t="s">
        <v>901</v>
      </c>
      <c r="E42" s="177"/>
      <c r="F42" s="177"/>
      <c r="G42" s="177"/>
      <c r="H42" s="380"/>
      <c r="I42" s="64"/>
      <c r="J42" s="60"/>
    </row>
    <row r="43" spans="1:12" ht="15" customHeight="1">
      <c r="A43" s="60"/>
      <c r="B43" s="65"/>
      <c r="C43" s="71"/>
      <c r="D43" s="71"/>
      <c r="E43" s="71"/>
      <c r="F43" s="71"/>
      <c r="G43" s="71"/>
      <c r="H43" s="71"/>
      <c r="I43" s="64"/>
      <c r="J43" s="60"/>
    </row>
    <row r="44" spans="1:12" ht="15" customHeight="1">
      <c r="A44" s="60"/>
      <c r="B44" s="65"/>
      <c r="C44" s="71" t="s">
        <v>732</v>
      </c>
      <c r="D44" s="71"/>
      <c r="E44" s="71"/>
      <c r="F44" s="71"/>
      <c r="G44" s="73"/>
      <c r="H44" s="71"/>
      <c r="I44" s="64"/>
      <c r="J44" s="60"/>
    </row>
    <row r="45" spans="1:12" ht="184.5" customHeight="1">
      <c r="A45" s="60"/>
      <c r="B45" s="65"/>
      <c r="C45" s="677" t="str">
        <f>INDEX(VL_TDM!$AG$11:$AG$41,MATCH($A$4,VL_TDM!$B$11:$B$41,0),1)</f>
        <v>(1)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San Diego Association of Governments (SANDAG). 2019. Mobility Management VMT Reduction Calculator Tool – Design Document. June. Available: https://www.icommutesd.com/docs/default-source/planning/tool-design-document_final_7-17-19.pdf?sfvrsn=ec39eb3b_2. Accessed: January 2021.
(4) Transportation Research Board (TRB). 2007. Transit Cooperative Research Program Report 118: Bus Rapid Transit Practitioner’s Guide. Available: https://nacto.org/docs/usdg/tcrp118brt_practitioners_kittleson.pdf. Accessed: January 2021.</v>
      </c>
      <c r="D45" s="594"/>
      <c r="E45" s="594"/>
      <c r="F45" s="594"/>
      <c r="G45" s="594"/>
      <c r="H45" s="594"/>
      <c r="I45" s="64"/>
      <c r="J45" s="60"/>
    </row>
    <row r="46" spans="1:12" ht="15" customHeight="1">
      <c r="A46" s="60"/>
      <c r="B46" s="74"/>
      <c r="C46" s="177"/>
      <c r="D46" s="177"/>
      <c r="E46" s="177"/>
      <c r="F46" s="177"/>
      <c r="G46" s="379"/>
      <c r="H46" s="177"/>
      <c r="I46" s="380"/>
      <c r="J46" s="60"/>
    </row>
    <row r="47" spans="1:12" ht="22.35" customHeight="1">
      <c r="A47" s="60"/>
      <c r="B47" s="60"/>
      <c r="C47" s="60"/>
      <c r="D47" s="60"/>
      <c r="E47" s="60"/>
      <c r="F47" s="60"/>
      <c r="G47" s="75"/>
      <c r="H47" s="60"/>
      <c r="I47" s="60"/>
      <c r="J47" s="60"/>
      <c r="L47" s="98"/>
    </row>
  </sheetData>
  <sheetProtection algorithmName="SHA-512" hashValue="raiB9PHvuy7eg6g2GKsohy28PPi2fWNYGqOau1iSU0P1VUoEbWdbn9U/BECUKbMpo+f6Ezd50Oget4N7ae2Nlg==" saltValue="mT+1n253DCkpCEUOC6xMpA==" spinCount="100000" sheet="1" objects="1" scenarios="1" selectLockedCells="1"/>
  <mergeCells count="5">
    <mergeCell ref="B4:I4"/>
    <mergeCell ref="C10:H10"/>
    <mergeCell ref="C45:H45"/>
    <mergeCell ref="C39:H39"/>
    <mergeCell ref="D40:H40"/>
  </mergeCells>
  <conditionalFormatting sqref="E37">
    <cfRule type="expression" dxfId="5" priority="15">
      <formula>-ROUND($D$8,3)=ROUND($E$37,3)</formula>
    </cfRule>
    <cfRule type="expression" dxfId="4" priority="16">
      <formula>AND(E37&lt;&gt;"",E37&gt;0)</formula>
    </cfRule>
  </conditionalFormatting>
  <dataValidations count="8">
    <dataValidation allowBlank="1" showErrorMessage="1" promptTitle="Default" prompt="User can override this default value in below cell._x000a_" sqref="E33" xr:uid="{00000000-0002-0000-1700-000000000000}"/>
    <dataValidation allowBlank="1" showErrorMessage="1" promptTitle="Definition" prompt="Headway is the amount of time that elapses between two buses servicing a given route and given line. Headway is the inverse of frequency (headway = 1/frequency), where frequency is the nubmer of arrivals over a given time period (e.g., buses per hour)." sqref="E14" xr:uid="{00000000-0002-0000-1700-000001000000}"/>
    <dataValidation allowBlank="1" showErrorMessage="1" promptTitle="Restriction" prompt="If value falls below minimum of -20% or exceeds maximum of 0%, default value will be used below." sqref="E19" xr:uid="{00000000-0002-0000-1700-000002000000}"/>
    <dataValidation type="decimal" allowBlank="1" showErrorMessage="1" errorTitle="Restriction" error="Value must be between 0% and 100%_x000a_" promptTitle="Restriction" prompt="If value exceeds maximum of 25%, default value will be used below." sqref="E23" xr:uid="{00000000-0002-0000-1700-000003000000}">
      <formula1>0</formula1>
      <formula2>1</formula2>
    </dataValidation>
    <dataValidation type="decimal" allowBlank="1" showErrorMessage="1" errorTitle="Restriction" error="Value must be between -100% and 100%_x000a_" promptTitle="Restriction" prompt="If value falls below minimum of -20% or exceeds maximum of 0%, default value will be used below." sqref="E17" xr:uid="{00000000-0002-0000-1700-000004000000}">
      <formula1>-100</formula1>
      <formula2>100</formula2>
    </dataValidation>
    <dataValidation type="decimal" allowBlank="1" showErrorMessage="1" errorTitle="Restriction" error="Value must be between 0% and 100%_x000a_" promptTitle="Restriction" prompt="If value falls below minimum of 50%, default value will be used below." sqref="E29" xr:uid="{00000000-0002-0000-1700-000005000000}">
      <formula1>0</formula1>
      <formula2>1</formula2>
    </dataValidation>
    <dataValidation type="decimal" allowBlank="1" showErrorMessage="1" errorTitle="Restriction" error="Value must be between -100% and 100%_x000a_" promptTitle="Restriction" prompt="If value falls below minimum of -20% or exceeds maximum of 0%, default value will be used below." sqref="E12" xr:uid="{00000000-0002-0000-1700-000007000000}">
      <formula1>0</formula1>
      <formula2>1</formula2>
    </dataValidation>
    <dataValidation type="decimal" allowBlank="1" showErrorMessage="1" errorTitle="Restriction" error="Value must be between -100% and 100%_x000a_" promptTitle="Restriction" prompt="If value falls below minimum of -20% or exceeds maximum of 0%, default value will be used below." sqref="E16" xr:uid="{00000000-0002-0000-1700-000008000000}">
      <formula1>-1</formula1>
      <formula2>1</formula2>
    </dataValidation>
  </dataValidations>
  <hyperlinks>
    <hyperlink ref="H7" location="Results!A1" display="Results Summary" xr:uid="{00000000-0004-0000-1700-000000000000}"/>
    <hyperlink ref="H6" location="Main!L65" display="Return to Main É" xr:uid="{00000000-0004-0000-17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9876" r:id="rId4" name="Check Box 4">
              <controlPr defaultSize="0" autoFill="0" autoLine="0" autoPict="0" altText="Exclude From Results Summary">
                <anchor moveWithCells="1">
                  <from>
                    <xdr:col>6</xdr:col>
                    <xdr:colOff>28575</xdr:colOff>
                    <xdr:row>35</xdr:row>
                    <xdr:rowOff>66675</xdr:rowOff>
                  </from>
                  <to>
                    <xdr:col>6</xdr:col>
                    <xdr:colOff>1343025</xdr:colOff>
                    <xdr:row>37</xdr:row>
                    <xdr:rowOff>28575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rgb="FF996600"/>
  </sheetPr>
  <dimension ref="A1:J48"/>
  <sheetViews>
    <sheetView showGridLines="0" showRowColHeaders="0" topLeftCell="A11" zoomScaleNormal="100" workbookViewId="0">
      <selection activeCell="E12" sqref="E12"/>
    </sheetView>
  </sheetViews>
  <sheetFormatPr defaultColWidth="0" defaultRowHeight="15" zeroHeight="1"/>
  <cols>
    <col min="1" max="1" width="4.42578125" style="87" customWidth="1"/>
    <col min="2" max="2" width="8.85546875" style="87" customWidth="1"/>
    <col min="3" max="3" width="20" style="87" customWidth="1"/>
    <col min="4" max="4" width="52.42578125" style="87" customWidth="1"/>
    <col min="5" max="5" width="10.5703125" style="87" customWidth="1"/>
    <col min="6" max="6" width="5.5703125" style="87" customWidth="1"/>
    <col min="7" max="7" width="19" style="88" customWidth="1"/>
    <col min="8" max="8" width="17.5703125" style="87" customWidth="1"/>
    <col min="9" max="9" width="8.85546875" style="87" customWidth="1"/>
    <col min="10" max="10" width="4.5703125" style="87" customWidth="1"/>
    <col min="11" max="16384" width="8.85546875" style="87" hidden="1"/>
  </cols>
  <sheetData>
    <row r="1" spans="1:10" hidden="1">
      <c r="A1" s="60"/>
      <c r="B1" s="60"/>
      <c r="C1" s="60"/>
      <c r="D1" s="60"/>
      <c r="E1" s="60"/>
      <c r="F1" s="60"/>
      <c r="G1" s="75"/>
      <c r="H1" s="60"/>
      <c r="I1" s="60"/>
      <c r="J1" s="60"/>
    </row>
    <row r="2" spans="1:10" hidden="1">
      <c r="A2" s="60"/>
      <c r="B2" s="60"/>
      <c r="C2" s="60"/>
      <c r="D2" s="60"/>
      <c r="E2" s="60"/>
      <c r="F2" s="60"/>
      <c r="G2" s="75"/>
      <c r="H2" s="60"/>
      <c r="I2" s="60"/>
      <c r="J2" s="60"/>
    </row>
    <row r="3" spans="1:10" ht="22.35" customHeight="1">
      <c r="A3" s="60"/>
      <c r="B3" s="39"/>
      <c r="C3" s="60"/>
      <c r="D3" s="60"/>
      <c r="E3" s="60"/>
      <c r="F3" s="60"/>
      <c r="G3" s="75"/>
      <c r="H3" s="60"/>
      <c r="I3" s="60"/>
      <c r="J3" s="60"/>
    </row>
    <row r="4" spans="1:10" ht="18.75">
      <c r="A4" s="187" t="s">
        <v>103</v>
      </c>
      <c r="B4" s="673" t="str">
        <f>A4&amp;". "&amp;INDEX(VL_TDM!$E$11:$E$41,MATCH($A$4,VL_TDM!$B$11:$B$41,0),1)</f>
        <v>5D. Transit Fare Reduction</v>
      </c>
      <c r="C4" s="600"/>
      <c r="D4" s="600"/>
      <c r="E4" s="600"/>
      <c r="F4" s="600"/>
      <c r="G4" s="600"/>
      <c r="H4" s="600"/>
      <c r="I4" s="601"/>
      <c r="J4" s="60"/>
    </row>
    <row r="5" spans="1:10" ht="15" customHeight="1">
      <c r="A5" s="60"/>
      <c r="B5" s="65"/>
      <c r="C5" s="82"/>
      <c r="D5" s="82"/>
      <c r="E5" s="82"/>
      <c r="F5" s="71"/>
      <c r="G5" s="73"/>
      <c r="H5" s="71"/>
      <c r="I5" s="64"/>
      <c r="J5" s="60"/>
    </row>
    <row r="6" spans="1:10" ht="15" customHeight="1">
      <c r="A6" s="60"/>
      <c r="B6" s="65"/>
      <c r="C6" s="71" t="s">
        <v>723</v>
      </c>
      <c r="D6" s="370" t="str">
        <f>INDEX(VL_TDM!$AC$11:$AC$41,MATCH($A$4,VL_TDM!$B$11:$B$41,0),1)</f>
        <v>Neighborhood/City</v>
      </c>
      <c r="E6" s="73"/>
      <c r="F6" s="73"/>
      <c r="G6" s="73"/>
      <c r="H6" s="500" t="s">
        <v>120</v>
      </c>
      <c r="I6" s="64"/>
      <c r="J6" s="60"/>
    </row>
    <row r="7" spans="1:10" ht="15" customHeight="1">
      <c r="A7" s="60"/>
      <c r="B7" s="65"/>
      <c r="C7" s="81" t="s">
        <v>724</v>
      </c>
      <c r="D7" s="85" t="str">
        <f>INDEX(VL_TDM!$AD$11:$AD$41,MATCH($A$4,VL_TDM!$B$11:$B$41,0),1)</f>
        <v>All neighborhood/city trips</v>
      </c>
      <c r="E7" s="73"/>
      <c r="F7" s="73"/>
      <c r="G7" s="71"/>
      <c r="H7" s="500" t="s">
        <v>153</v>
      </c>
      <c r="I7" s="64"/>
      <c r="J7" s="60"/>
    </row>
    <row r="8" spans="1:10" ht="15" customHeight="1">
      <c r="A8" s="60"/>
      <c r="B8" s="65"/>
      <c r="C8" s="81" t="s">
        <v>725</v>
      </c>
      <c r="D8" s="86">
        <f>INDEX(VL_TDM!$AE$11:$AE$41,MATCH($A$4,VL_TDM!$B$11:$B$41,0),1)</f>
        <v>1.2E-2</v>
      </c>
      <c r="E8" s="82"/>
      <c r="F8" s="71"/>
      <c r="G8" s="73"/>
      <c r="H8" s="71"/>
      <c r="I8" s="64"/>
      <c r="J8" s="60"/>
    </row>
    <row r="9" spans="1:10" ht="15" customHeight="1">
      <c r="A9" s="60"/>
      <c r="B9" s="65"/>
      <c r="C9" s="71"/>
      <c r="D9" s="71"/>
      <c r="E9" s="71"/>
      <c r="F9" s="71"/>
      <c r="G9" s="73"/>
      <c r="H9" s="71"/>
      <c r="I9" s="64"/>
      <c r="J9" s="60"/>
    </row>
    <row r="10" spans="1:10" ht="99.95" customHeight="1">
      <c r="A10" s="60"/>
      <c r="B10" s="65"/>
      <c r="C10" s="602" t="str">
        <f>INDEX(VL_TDM!$AF$11:$AF$41,MATCH($A$4,VL_TDM!$B$11:$B$41,0),1)</f>
        <v>This strategy will reduce transit fares on the transit lines serving the neighborhood/city. A reduction in transit fares creates incentives to shift travel to transit from single occupancy vehicles and other traveling modes, which reduces VMT and associated GHG emissions. Transit fare reductions can be implemented systemwide or in specific fare-free or reduced-fare zones. 
This strategy differs from Strategy 1D1, which can be offered through employer-based benefits programs in which the employer fully or partially pays the employee’s cost of transit.</v>
      </c>
      <c r="D10" s="594"/>
      <c r="E10" s="594"/>
      <c r="F10" s="594"/>
      <c r="G10" s="594"/>
      <c r="H10" s="594"/>
      <c r="I10" s="64"/>
      <c r="J10" s="60"/>
    </row>
    <row r="11" spans="1:10" ht="15" customHeight="1">
      <c r="A11" s="60"/>
      <c r="B11" s="65"/>
      <c r="C11" s="71"/>
      <c r="D11" s="71"/>
      <c r="E11" s="71"/>
      <c r="F11" s="71"/>
      <c r="G11" s="73"/>
      <c r="H11" s="71"/>
      <c r="I11" s="64"/>
      <c r="J11" s="60"/>
    </row>
    <row r="12" spans="1:10" ht="15" customHeight="1">
      <c r="A12" s="60"/>
      <c r="B12" s="65"/>
      <c r="C12" s="76" t="s">
        <v>738</v>
      </c>
      <c r="D12" s="204"/>
      <c r="E12" s="54"/>
      <c r="F12" s="73"/>
      <c r="G12" s="204" t="s">
        <v>17</v>
      </c>
      <c r="H12" s="71"/>
      <c r="I12" s="64"/>
      <c r="J12" s="60"/>
    </row>
    <row r="13" spans="1:10" ht="4.3499999999999996" customHeight="1">
      <c r="A13" s="60"/>
      <c r="B13" s="65"/>
      <c r="C13" s="76"/>
      <c r="D13" s="71"/>
      <c r="E13" s="372"/>
      <c r="F13" s="73"/>
      <c r="G13" s="205"/>
      <c r="H13" s="71"/>
      <c r="I13" s="64"/>
      <c r="J13" s="60"/>
    </row>
    <row r="14" spans="1:10" ht="15" customHeight="1">
      <c r="A14" s="60"/>
      <c r="B14" s="65"/>
      <c r="C14" s="76" t="str">
        <f>CONCATENATE("Existing regular transit fare", "")</f>
        <v>Existing regular transit fare</v>
      </c>
      <c r="D14" s="204"/>
      <c r="E14" s="54"/>
      <c r="F14" s="73"/>
      <c r="G14" s="204" t="s">
        <v>17</v>
      </c>
      <c r="H14" s="71"/>
      <c r="I14" s="64"/>
      <c r="J14" s="60"/>
    </row>
    <row r="15" spans="1:10" ht="4.3499999999999996" customHeight="1">
      <c r="A15" s="60"/>
      <c r="B15" s="65"/>
      <c r="C15" s="76"/>
      <c r="D15" s="71"/>
      <c r="E15" s="372"/>
      <c r="F15" s="73"/>
      <c r="G15" s="205"/>
      <c r="H15" s="71"/>
      <c r="I15" s="64"/>
      <c r="J15" s="60"/>
    </row>
    <row r="16" spans="1:10" ht="15" customHeight="1">
      <c r="A16" s="60"/>
      <c r="B16" s="65"/>
      <c r="C16" s="76" t="str">
        <f>CONCATENATE("Regular transit fare with project", "")</f>
        <v>Regular transit fare with project</v>
      </c>
      <c r="D16" s="204"/>
      <c r="E16" s="54"/>
      <c r="F16" s="73"/>
      <c r="G16" s="204" t="s">
        <v>17</v>
      </c>
      <c r="H16" s="71"/>
      <c r="I16" s="64"/>
      <c r="J16" s="60"/>
    </row>
    <row r="17" spans="1:10" ht="4.3499999999999996" customHeight="1">
      <c r="A17" s="60"/>
      <c r="B17" s="65"/>
      <c r="C17" s="76"/>
      <c r="D17" s="71"/>
      <c r="E17" s="71"/>
      <c r="F17" s="73"/>
      <c r="G17" s="205"/>
      <c r="H17" s="71"/>
      <c r="I17" s="64"/>
      <c r="J17" s="60"/>
    </row>
    <row r="18" spans="1:10" ht="15" customHeight="1">
      <c r="A18" s="60"/>
      <c r="B18" s="65"/>
      <c r="C18" s="76" t="s">
        <v>909</v>
      </c>
      <c r="D18" s="373"/>
      <c r="E18" s="474" t="str">
        <f>IF(OR(ISBLANK(E14),ISBLANK(E16)),"",IF(E14=0,IF(E16=0,0,0.5),MIN(MAX(-0.5,(E16-E14)/E14),0.5)))</f>
        <v/>
      </c>
      <c r="F18" s="73"/>
      <c r="G18" s="204" t="s">
        <v>910</v>
      </c>
      <c r="H18" s="71"/>
      <c r="I18" s="64"/>
      <c r="J18" s="16"/>
    </row>
    <row r="19" spans="1:10" ht="4.3499999999999996" customHeight="1">
      <c r="A19" s="60"/>
      <c r="B19" s="65"/>
      <c r="C19" s="76"/>
      <c r="D19" s="71"/>
      <c r="E19" s="71"/>
      <c r="F19" s="73"/>
      <c r="G19" s="205"/>
      <c r="H19" s="71"/>
      <c r="I19" s="64"/>
      <c r="J19" s="60"/>
    </row>
    <row r="20" spans="1:10" ht="15" customHeight="1">
      <c r="A20" s="60"/>
      <c r="B20" s="65"/>
      <c r="C20" s="76" t="s">
        <v>911</v>
      </c>
      <c r="D20" s="71"/>
      <c r="E20" s="56"/>
      <c r="F20" s="73"/>
      <c r="G20" s="204" t="s">
        <v>17</v>
      </c>
      <c r="H20" s="71"/>
      <c r="I20" s="64"/>
      <c r="J20" s="16"/>
    </row>
    <row r="21" spans="1:10" ht="4.3499999999999996" customHeight="1">
      <c r="A21" s="60"/>
      <c r="B21" s="65"/>
      <c r="C21" s="76"/>
      <c r="D21" s="71"/>
      <c r="E21" s="71"/>
      <c r="F21" s="73"/>
      <c r="G21" s="205"/>
      <c r="H21" s="71"/>
      <c r="I21" s="64"/>
      <c r="J21" s="60"/>
    </row>
    <row r="22" spans="1:10" ht="15" customHeight="1">
      <c r="A22" s="60"/>
      <c r="B22" s="65"/>
      <c r="C22" s="76" t="s">
        <v>672</v>
      </c>
      <c r="D22" s="373"/>
      <c r="E22" s="208" t="e">
        <f>IF(J22="Use Capcoa 2021",VL_REF!$G$3,INDEX(VL_TAZ!$O$9:$AD$9,1,MATCH($C22,VL_TAZ!$O$10:$AD$10,0)))</f>
        <v>#N/A</v>
      </c>
      <c r="F22" s="73"/>
      <c r="G22" s="71" t="str">
        <f>CONCATENATE("Alameda CTC model",IF(NOT(ISBLANK(E24)),", overridden",""))</f>
        <v>Alameda CTC model</v>
      </c>
      <c r="H22" s="71"/>
      <c r="I22" s="64"/>
      <c r="J22" s="187" t="s">
        <v>760</v>
      </c>
    </row>
    <row r="23" spans="1:10" ht="4.3499999999999996" customHeight="1">
      <c r="A23" s="60"/>
      <c r="B23" s="65"/>
      <c r="C23" s="76"/>
      <c r="D23" s="71"/>
      <c r="E23" s="71"/>
      <c r="F23" s="73"/>
      <c r="G23" s="205"/>
      <c r="H23" s="71"/>
      <c r="I23" s="64"/>
      <c r="J23" s="187"/>
    </row>
    <row r="24" spans="1:10" ht="15" customHeight="1">
      <c r="A24" s="60"/>
      <c r="B24" s="65"/>
      <c r="C24" s="76" t="s">
        <v>754</v>
      </c>
      <c r="D24" s="373"/>
      <c r="E24" s="58"/>
      <c r="F24" s="73"/>
      <c r="G24" s="207" t="s">
        <v>20</v>
      </c>
      <c r="H24" s="71"/>
      <c r="I24" s="64"/>
      <c r="J24" s="187"/>
    </row>
    <row r="25" spans="1:10" ht="4.3499999999999996" customHeight="1">
      <c r="A25" s="60"/>
      <c r="B25" s="65"/>
      <c r="C25" s="206"/>
      <c r="D25" s="373"/>
      <c r="E25" s="374"/>
      <c r="F25" s="73"/>
      <c r="G25" s="204"/>
      <c r="H25" s="71"/>
      <c r="I25" s="64"/>
      <c r="J25" s="187"/>
    </row>
    <row r="26" spans="1:10">
      <c r="A26" s="60"/>
      <c r="B26" s="65"/>
      <c r="C26" s="76" t="s">
        <v>777</v>
      </c>
      <c r="D26" s="373"/>
      <c r="E26" s="375" t="str">
        <f>IFERROR(IF(ISBLANK(E24),E22,IF(E24&gt;25%,E22,IF(E24&lt;=25%,E24,E22))),"")</f>
        <v/>
      </c>
      <c r="F26" s="73"/>
      <c r="G26" s="204" t="s">
        <v>744</v>
      </c>
      <c r="H26" s="71"/>
      <c r="I26" s="64"/>
      <c r="J26" s="22"/>
    </row>
    <row r="27" spans="1:10" ht="4.3499999999999996" customHeight="1">
      <c r="A27" s="60"/>
      <c r="B27" s="65"/>
      <c r="C27" s="76"/>
      <c r="D27" s="71"/>
      <c r="E27" s="71"/>
      <c r="F27" s="73"/>
      <c r="G27" s="205"/>
      <c r="H27" s="71"/>
      <c r="I27" s="64"/>
      <c r="J27" s="187"/>
    </row>
    <row r="28" spans="1:10" ht="15" customHeight="1">
      <c r="A28" s="60"/>
      <c r="B28" s="65"/>
      <c r="C28" s="76" t="s">
        <v>674</v>
      </c>
      <c r="D28" s="71"/>
      <c r="E28" s="208" t="e">
        <f>IF(J28="Use Capcoa 2021",VL_REF!$H$3,INDEX(VL_TAZ!$O$9:$AD$9,1,MATCH($C28,VL_TAZ!$O$10:$AD$10,0)))</f>
        <v>#N/A</v>
      </c>
      <c r="F28" s="73"/>
      <c r="G28" s="71" t="str">
        <f>CONCATENATE("Alameda CTC model",IF(NOT(ISBLANK(E30)),", overridden",""))</f>
        <v>Alameda CTC model</v>
      </c>
      <c r="H28" s="71"/>
      <c r="I28" s="64"/>
      <c r="J28" s="187" t="s">
        <v>760</v>
      </c>
    </row>
    <row r="29" spans="1:10" ht="4.3499999999999996" customHeight="1">
      <c r="A29" s="60"/>
      <c r="B29" s="65"/>
      <c r="C29" s="76"/>
      <c r="D29" s="71"/>
      <c r="E29" s="71"/>
      <c r="F29" s="73"/>
      <c r="G29" s="205"/>
      <c r="H29" s="71"/>
      <c r="I29" s="64"/>
      <c r="J29" s="60"/>
    </row>
    <row r="30" spans="1:10" ht="15" customHeight="1">
      <c r="A30" s="60"/>
      <c r="B30" s="65"/>
      <c r="C30" s="76" t="s">
        <v>852</v>
      </c>
      <c r="D30" s="373"/>
      <c r="E30" s="58"/>
      <c r="F30" s="73"/>
      <c r="G30" s="207" t="s">
        <v>20</v>
      </c>
      <c r="H30" s="71"/>
      <c r="I30" s="64"/>
      <c r="J30" s="60"/>
    </row>
    <row r="31" spans="1:10" ht="4.3499999999999996" customHeight="1">
      <c r="A31" s="60"/>
      <c r="B31" s="65"/>
      <c r="C31" s="206"/>
      <c r="D31" s="373"/>
      <c r="E31" s="97"/>
      <c r="F31" s="73"/>
      <c r="G31" s="204"/>
      <c r="H31" s="71"/>
      <c r="I31" s="64"/>
      <c r="J31" s="60"/>
    </row>
    <row r="32" spans="1:10">
      <c r="A32" s="60"/>
      <c r="B32" s="65"/>
      <c r="C32" s="76" t="s">
        <v>853</v>
      </c>
      <c r="D32" s="373"/>
      <c r="E32" s="375" t="str">
        <f>IFERROR(IF(ISBLANK(E30),E28,IF(E30&lt;50%,E28,IF(E30&gt;=50%,E30,E28))),"")</f>
        <v/>
      </c>
      <c r="F32" s="73"/>
      <c r="G32" s="204" t="s">
        <v>744</v>
      </c>
      <c r="H32" s="71"/>
      <c r="I32" s="64"/>
      <c r="J32" s="16"/>
    </row>
    <row r="33" spans="1:10" ht="4.3499999999999996" customHeight="1">
      <c r="A33" s="60"/>
      <c r="B33" s="65"/>
      <c r="C33" s="76"/>
      <c r="D33" s="71"/>
      <c r="E33" s="71"/>
      <c r="F33" s="73"/>
      <c r="G33" s="205"/>
      <c r="H33" s="71"/>
      <c r="I33" s="64"/>
      <c r="J33" s="60"/>
    </row>
    <row r="34" spans="1:10" ht="15" customHeight="1">
      <c r="A34" s="60"/>
      <c r="B34" s="65"/>
      <c r="C34" s="76" t="s">
        <v>912</v>
      </c>
      <c r="D34" s="373"/>
      <c r="E34" s="376">
        <v>-0.3</v>
      </c>
      <c r="F34" s="73"/>
      <c r="G34" s="80" t="s">
        <v>812</v>
      </c>
      <c r="H34" s="71"/>
      <c r="I34" s="64"/>
      <c r="J34" s="16"/>
    </row>
    <row r="35" spans="1:10" ht="4.3499999999999996" customHeight="1">
      <c r="A35" s="60"/>
      <c r="B35" s="65"/>
      <c r="C35" s="76"/>
      <c r="D35" s="71"/>
      <c r="E35" s="71"/>
      <c r="F35" s="73"/>
      <c r="G35" s="205"/>
      <c r="H35" s="71"/>
      <c r="I35" s="64"/>
      <c r="J35" s="60"/>
    </row>
    <row r="36" spans="1:10" ht="15" customHeight="1">
      <c r="A36" s="60"/>
      <c r="B36" s="65"/>
      <c r="C36" s="76" t="s">
        <v>891</v>
      </c>
      <c r="D36" s="204"/>
      <c r="E36" s="475">
        <v>0.57799999999999996</v>
      </c>
      <c r="F36" s="73"/>
      <c r="G36" s="80" t="s">
        <v>748</v>
      </c>
      <c r="H36" s="71"/>
      <c r="I36" s="64"/>
      <c r="J36" s="16"/>
    </row>
    <row r="37" spans="1:10" ht="4.3499999999999996" customHeight="1">
      <c r="A37" s="60"/>
      <c r="B37" s="65"/>
      <c r="C37" s="76"/>
      <c r="D37" s="71"/>
      <c r="E37" s="71"/>
      <c r="F37" s="73"/>
      <c r="G37" s="205"/>
      <c r="H37" s="71"/>
      <c r="I37" s="64"/>
      <c r="J37" s="60"/>
    </row>
    <row r="38" spans="1:10" ht="15" customHeight="1">
      <c r="A38" s="60"/>
      <c r="B38" s="65"/>
      <c r="C38" s="76" t="s">
        <v>147</v>
      </c>
      <c r="D38" s="204"/>
      <c r="E38" s="98" t="str">
        <f>IF(OR(ISBLANK(E14),ISBLANK(E16)),"",IFERROR(MAX(-D8,-(E18*E20*E34*E26*E36)/E32),""))</f>
        <v/>
      </c>
      <c r="F38" s="378"/>
      <c r="G38" s="41" t="b">
        <v>0</v>
      </c>
      <c r="H38" s="170" t="str">
        <f>IF(OR(G38=TRUE,E38=""),"Not Active","Active")</f>
        <v>Not Active</v>
      </c>
      <c r="I38" s="64"/>
      <c r="J38" s="60"/>
    </row>
    <row r="39" spans="1:10" ht="15" customHeight="1">
      <c r="A39" s="60"/>
      <c r="B39" s="65"/>
      <c r="C39" s="71"/>
      <c r="D39" s="71"/>
      <c r="E39" s="71"/>
      <c r="F39" s="71"/>
      <c r="G39" s="73"/>
      <c r="H39" s="71"/>
      <c r="I39" s="64"/>
      <c r="J39" s="60"/>
    </row>
    <row r="40" spans="1:10" ht="35.1" customHeight="1">
      <c r="A40" s="60"/>
      <c r="B40" s="65"/>
      <c r="C40" s="669" t="str">
        <f>"Formula:  % Change in VMT =  " &amp; SUBSTITUTE("-( " &amp; C18 &amp; " * " &amp; C20 &amp; " * " &amp; C34 &amp; " * " &amp; C26 &amp; " * " &amp; C36 &amp; " )/ " &amp; C32 &amp; " "," used for calculation","")</f>
        <v xml:space="preserve">Formula:  % Change in VMT =  -( % change in transit fare * Percent of neighborhood/city transit routes that receive reduced fares * Elasticity of transit ridership with respect to transit fare * Transit mode share * Statewide mode shift factor )/ Vehicle mode share </v>
      </c>
      <c r="D40" s="670"/>
      <c r="E40" s="670"/>
      <c r="F40" s="670"/>
      <c r="G40" s="670"/>
      <c r="H40" s="671"/>
      <c r="I40" s="64"/>
      <c r="J40" s="60"/>
    </row>
    <row r="41" spans="1:10" ht="15" customHeight="1">
      <c r="A41" s="60"/>
      <c r="B41" s="65"/>
      <c r="C41" s="476"/>
      <c r="D41" s="551" t="s">
        <v>913</v>
      </c>
      <c r="E41" s="551"/>
      <c r="F41" s="551"/>
      <c r="G41" s="551"/>
      <c r="H41" s="678"/>
      <c r="I41" s="64"/>
      <c r="J41" s="60"/>
    </row>
    <row r="42" spans="1:10" ht="15" customHeight="1">
      <c r="A42" s="60"/>
      <c r="B42" s="65"/>
      <c r="C42" s="65"/>
      <c r="D42" s="620" t="s">
        <v>893</v>
      </c>
      <c r="E42" s="620"/>
      <c r="F42" s="620"/>
      <c r="G42" s="620"/>
      <c r="H42" s="672"/>
      <c r="I42" s="64"/>
      <c r="J42" s="60"/>
    </row>
    <row r="43" spans="1:10" ht="15" customHeight="1">
      <c r="A43" s="60"/>
      <c r="B43" s="65"/>
      <c r="C43" s="74"/>
      <c r="D43" s="679" t="s">
        <v>901</v>
      </c>
      <c r="E43" s="679"/>
      <c r="F43" s="679"/>
      <c r="G43" s="679"/>
      <c r="H43" s="680"/>
      <c r="I43" s="64"/>
      <c r="J43" s="60"/>
    </row>
    <row r="44" spans="1:10" ht="15" customHeight="1">
      <c r="A44" s="60"/>
      <c r="B44" s="65"/>
      <c r="C44" s="71"/>
      <c r="D44" s="70"/>
      <c r="E44" s="70"/>
      <c r="F44" s="70"/>
      <c r="G44" s="70"/>
      <c r="H44" s="70"/>
      <c r="I44" s="64"/>
      <c r="J44" s="60"/>
    </row>
    <row r="45" spans="1:10" ht="15" customHeight="1">
      <c r="A45" s="60"/>
      <c r="B45" s="65"/>
      <c r="C45" s="71" t="s">
        <v>732</v>
      </c>
      <c r="D45" s="71"/>
      <c r="E45" s="71"/>
      <c r="F45" s="71"/>
      <c r="G45" s="73"/>
      <c r="H45" s="71"/>
      <c r="I45" s="64"/>
      <c r="J45" s="60"/>
    </row>
    <row r="46" spans="1:10" ht="219.95" customHeight="1">
      <c r="A46" s="60"/>
      <c r="B46" s="65"/>
      <c r="C46" s="620" t="str">
        <f>INDEX(VL_TDM!$AG$11:$AG$41,MATCH($A$4,VL_TDM!$B$11:$B$41,0),1)</f>
        <v>(1) Federal Highway Administration (FHWA). 2017a. National Household Travel Survey – 2017 Table Designer. Travel Day PMT by TRPTRANS by HH_CBSA. Available: https://nhts.ornl.gov/. Accessed: January 2021. 
(2) Federal Highway Administration (FHWA). 2017b. National Household Travel Survey – 2017 Table Designer. Average Vehicle Occupancy by HHSTFIPS. Available: https://nhts.ornl.gov/. Accessed: January 2021. 
(3) Handy, S., Lovejoy, K., Boarnet, M., Spears, S. 2013. Impacts of Transit Service Strategies on Passenger Vehicle Use and Greenhouse Gas Emissions. October. Available: https://ww2.arb.ca.gov/sites/default/files/2020- 06/Impacts_of_Transit_Service_Strategies_on_Passenger_Vehicle_Use_and_Greenhouse_Gas_Emi ssions_Policy_Brief.pdf. Accessed: January 2021. 
(4) San Diego Association of Governments (SANDAG). 2019. Mobility Management VMT Reduction Calculator Tool – Design Document. June. Available: https://www.icommutesd.com/docs/default-source/planning/tool-design-document_final_7- 17-19.pdf?sfvrsn=ec39eb3b_2. Accessed: January 2021.</v>
      </c>
      <c r="D46" s="597"/>
      <c r="E46" s="597"/>
      <c r="F46" s="597"/>
      <c r="G46" s="597"/>
      <c r="H46" s="597"/>
      <c r="I46" s="64"/>
      <c r="J46" s="60"/>
    </row>
    <row r="47" spans="1:10" ht="15" customHeight="1">
      <c r="A47" s="60"/>
      <c r="B47" s="74"/>
      <c r="C47" s="177"/>
      <c r="D47" s="177"/>
      <c r="E47" s="177"/>
      <c r="F47" s="177"/>
      <c r="G47" s="379"/>
      <c r="H47" s="177"/>
      <c r="I47" s="380"/>
      <c r="J47" s="60"/>
    </row>
    <row r="48" spans="1:10" ht="22.35" customHeight="1">
      <c r="A48" s="60"/>
      <c r="B48" s="60"/>
      <c r="C48" s="60"/>
      <c r="D48" s="60"/>
      <c r="E48" s="60"/>
      <c r="F48" s="60"/>
      <c r="G48" s="75"/>
      <c r="H48" s="60"/>
      <c r="I48" s="60"/>
      <c r="J48" s="60"/>
    </row>
  </sheetData>
  <sheetProtection algorithmName="SHA-512" hashValue="xUrqYqK1IPNNw5r88zCpaQfSiYHP1qrEfLPRkFuNiqJ8oC8p85CzfBBKRrdHS1Sf25gc+6RFcghhevCH2mIqpg==" saltValue="fr8W5+wIumH+Q4LaWrSIFQ==" spinCount="100000" sheet="1" objects="1" scenarios="1" selectLockedCells="1"/>
  <mergeCells count="7">
    <mergeCell ref="D43:H43"/>
    <mergeCell ref="C46:H46"/>
    <mergeCell ref="B4:I4"/>
    <mergeCell ref="C10:H10"/>
    <mergeCell ref="C40:H40"/>
    <mergeCell ref="D41:H41"/>
    <mergeCell ref="D42:H42"/>
  </mergeCells>
  <conditionalFormatting sqref="E38">
    <cfRule type="expression" dxfId="3" priority="15">
      <formula>-ROUND($D$8,3)=ROUND($E$38,3)</formula>
    </cfRule>
    <cfRule type="expression" dxfId="2" priority="18">
      <formula>AND(E38&lt;&gt;"",E38&gt;0)</formula>
    </cfRule>
  </conditionalFormatting>
  <dataValidations xWindow="569" yWindow="615" count="4">
    <dataValidation allowBlank="1" showErrorMessage="1" promptTitle="Restriction" prompt="Value must not exceed 50% (1)._x000a_" sqref="E18" xr:uid="{00000000-0002-0000-1800-000000000000}"/>
    <dataValidation type="decimal" allowBlank="1" showErrorMessage="1" errorTitle="Restriction" error="Value must be between 0% and 100%_x000a_" promptTitle="Restriction" prompt="If value falls below minimum of 50%, default value will be used below." sqref="E30" xr:uid="{00000000-0002-0000-1800-000001000000}">
      <formula1>0</formula1>
      <formula2>1</formula2>
    </dataValidation>
    <dataValidation type="decimal" allowBlank="1" showErrorMessage="1" errorTitle="Restriction" error="Value must be between 0% and 100%_x000a_" promptTitle="Restriction" prompt="If value exceeds maximum of 25%, default value will be used below." sqref="E24" xr:uid="{00000000-0002-0000-1800-000002000000}">
      <formula1>0</formula1>
      <formula2>1</formula2>
    </dataValidation>
    <dataValidation type="decimal" operator="greaterThanOrEqual" allowBlank="1" showErrorMessage="1" error="Value must not be negative" sqref="E14 E16 E20" xr:uid="{00000000-0002-0000-1800-000003000000}">
      <formula1>0</formula1>
    </dataValidation>
  </dataValidations>
  <hyperlinks>
    <hyperlink ref="H7" location="Results!A1" display="Results Summary" xr:uid="{00000000-0004-0000-1800-000000000000}"/>
    <hyperlink ref="H6" location="Main!L65" display="Return to Main É" xr:uid="{00000000-0004-0000-18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0898" r:id="rId4" name="Check Box 2">
              <controlPr defaultSize="0" autoFill="0" autoLine="0" autoPict="0" altText="Exclude From Results Summary">
                <anchor moveWithCells="1">
                  <from>
                    <xdr:col>6</xdr:col>
                    <xdr:colOff>0</xdr:colOff>
                    <xdr:row>36</xdr:row>
                    <xdr:rowOff>66675</xdr:rowOff>
                  </from>
                  <to>
                    <xdr:col>7</xdr:col>
                    <xdr:colOff>28575</xdr:colOff>
                    <xdr:row>38</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569" yWindow="615" count="1">
        <x14:dataValidation type="list" operator="greaterThanOrEqual" allowBlank="1" showErrorMessage="1" error="Select value from drop-down list" xr:uid="{00000000-0002-0000-1800-000004000000}">
          <x14:formula1>
            <xm:f>VL_REF!$CE$11:$CE$16</xm:f>
          </x14:formula1>
          <xm:sqref>E12</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rgb="FF996600"/>
  </sheetPr>
  <dimension ref="A1:T42"/>
  <sheetViews>
    <sheetView showGridLines="0" showRowColHeaders="0" zoomScaleNormal="100" workbookViewId="0">
      <selection activeCell="H4" sqref="H4"/>
    </sheetView>
  </sheetViews>
  <sheetFormatPr defaultColWidth="0" defaultRowHeight="15" zeroHeight="1"/>
  <cols>
    <col min="1" max="1" width="4.42578125" style="87" customWidth="1"/>
    <col min="2" max="2" width="8.85546875" style="60" customWidth="1"/>
    <col min="3" max="3" width="20" style="60" customWidth="1"/>
    <col min="4" max="4" width="58.5703125" style="60" customWidth="1"/>
    <col min="5" max="5" width="10.5703125" style="60" customWidth="1"/>
    <col min="6" max="6" width="5.5703125" style="87" customWidth="1"/>
    <col min="7" max="7" width="19.42578125" style="88" customWidth="1"/>
    <col min="8" max="8" width="17.42578125" style="87" customWidth="1"/>
    <col min="9" max="9" width="8.85546875" style="87" customWidth="1"/>
    <col min="10" max="10" width="4.5703125" style="87" customWidth="1"/>
    <col min="11" max="20" width="0" style="87" hidden="1" customWidth="1"/>
    <col min="21" max="16384" width="8.85546875" style="87" hidden="1"/>
  </cols>
  <sheetData>
    <row r="1" spans="1:19" ht="22.35" customHeight="1">
      <c r="A1" s="60"/>
      <c r="B1" s="39"/>
      <c r="F1" s="60"/>
      <c r="G1" s="75"/>
      <c r="H1" s="60"/>
      <c r="I1" s="60"/>
      <c r="J1" s="60"/>
    </row>
    <row r="2" spans="1:19" ht="18.75">
      <c r="A2" s="187" t="s">
        <v>106</v>
      </c>
      <c r="B2" s="673" t="s">
        <v>914</v>
      </c>
      <c r="C2" s="681"/>
      <c r="D2" s="681"/>
      <c r="E2" s="681"/>
      <c r="F2" s="681"/>
      <c r="G2" s="681"/>
      <c r="H2" s="681"/>
      <c r="I2" s="682"/>
      <c r="J2" s="60"/>
    </row>
    <row r="3" spans="1:19" ht="15" customHeight="1">
      <c r="A3" s="60"/>
      <c r="B3" s="65"/>
      <c r="C3" s="82"/>
      <c r="D3" s="82"/>
      <c r="E3" s="82"/>
      <c r="F3" s="71"/>
      <c r="G3" s="73"/>
      <c r="H3" s="71"/>
      <c r="I3" s="64"/>
      <c r="J3" s="60"/>
    </row>
    <row r="4" spans="1:19" ht="15" customHeight="1">
      <c r="A4" s="60"/>
      <c r="B4" s="65"/>
      <c r="C4" s="71" t="s">
        <v>723</v>
      </c>
      <c r="D4" s="370" t="s">
        <v>344</v>
      </c>
      <c r="E4" s="73"/>
      <c r="F4" s="73"/>
      <c r="G4" s="73"/>
      <c r="H4" s="498" t="s">
        <v>120</v>
      </c>
      <c r="I4" s="64"/>
      <c r="J4" s="60"/>
    </row>
    <row r="5" spans="1:19" ht="15" customHeight="1">
      <c r="A5" s="60"/>
      <c r="B5" s="65"/>
      <c r="C5" s="81" t="s">
        <v>724</v>
      </c>
      <c r="D5" s="85" t="s">
        <v>345</v>
      </c>
      <c r="E5" s="73"/>
      <c r="F5" s="73"/>
      <c r="G5" s="71"/>
      <c r="H5" s="498" t="s">
        <v>153</v>
      </c>
      <c r="I5" s="64"/>
      <c r="J5" s="60"/>
    </row>
    <row r="6" spans="1:19" ht="15" customHeight="1">
      <c r="A6" s="60"/>
      <c r="B6" s="65"/>
      <c r="C6" s="81" t="s">
        <v>725</v>
      </c>
      <c r="D6" s="86">
        <v>1E-3</v>
      </c>
      <c r="E6" s="82"/>
      <c r="F6" s="71"/>
      <c r="G6" s="73"/>
      <c r="H6" s="71"/>
      <c r="I6" s="64"/>
      <c r="J6" s="60"/>
    </row>
    <row r="7" spans="1:19" ht="15" customHeight="1">
      <c r="A7" s="60"/>
      <c r="B7" s="65"/>
      <c r="C7" s="71"/>
      <c r="D7" s="71"/>
      <c r="E7" s="71"/>
      <c r="F7" s="71"/>
      <c r="G7" s="73"/>
      <c r="H7" s="71"/>
      <c r="I7" s="64"/>
      <c r="J7" s="60"/>
    </row>
    <row r="8" spans="1:19" ht="69.95" customHeight="1">
      <c r="A8" s="60"/>
      <c r="B8" s="65"/>
      <c r="C8" s="602" t="s">
        <v>915</v>
      </c>
      <c r="D8" s="602"/>
      <c r="E8" s="602"/>
      <c r="F8" s="602"/>
      <c r="G8" s="602"/>
      <c r="H8" s="602"/>
      <c r="I8" s="64"/>
      <c r="J8" s="60"/>
      <c r="M8" s="490"/>
    </row>
    <row r="9" spans="1:19" ht="15" customHeight="1">
      <c r="A9" s="60"/>
      <c r="B9" s="65"/>
      <c r="C9" s="71"/>
      <c r="D9" s="71"/>
      <c r="E9" s="71"/>
      <c r="F9" s="71"/>
      <c r="G9" s="73"/>
      <c r="H9" s="71"/>
      <c r="I9" s="64"/>
      <c r="J9" s="100"/>
      <c r="K9" s="491"/>
      <c r="L9" s="491"/>
      <c r="M9" s="491"/>
      <c r="N9" s="491"/>
      <c r="O9" s="491"/>
      <c r="P9" s="491"/>
      <c r="Q9" s="491"/>
      <c r="R9" s="491"/>
      <c r="S9" s="491"/>
    </row>
    <row r="10" spans="1:19" ht="15" customHeight="1">
      <c r="A10" s="60"/>
      <c r="B10" s="65"/>
      <c r="C10" s="76" t="s">
        <v>916</v>
      </c>
      <c r="D10" s="203"/>
      <c r="E10" s="53"/>
      <c r="F10" s="73"/>
      <c r="G10" s="71" t="s">
        <v>17</v>
      </c>
      <c r="H10" s="71"/>
      <c r="I10" s="64"/>
      <c r="J10" s="60"/>
      <c r="K10" s="491"/>
      <c r="L10" s="491"/>
      <c r="M10" s="491"/>
      <c r="N10" s="491"/>
      <c r="O10" s="491"/>
      <c r="P10" s="491"/>
      <c r="Q10" s="491"/>
      <c r="R10" s="491"/>
      <c r="S10" s="491"/>
    </row>
    <row r="11" spans="1:19" ht="4.3499999999999996" customHeight="1">
      <c r="A11" s="60"/>
      <c r="B11" s="65"/>
      <c r="C11" s="76"/>
      <c r="D11" s="203"/>
      <c r="E11" s="71"/>
      <c r="F11" s="73"/>
      <c r="G11" s="205"/>
      <c r="H11" s="71"/>
      <c r="I11" s="64"/>
      <c r="J11" s="100"/>
      <c r="K11" s="491"/>
      <c r="L11" s="491"/>
      <c r="M11" s="491"/>
      <c r="N11" s="491"/>
      <c r="O11" s="491"/>
      <c r="P11" s="491"/>
      <c r="Q11" s="491"/>
      <c r="R11" s="491"/>
      <c r="S11" s="491"/>
    </row>
    <row r="12" spans="1:19" ht="15" customHeight="1">
      <c r="A12" s="60"/>
      <c r="B12" s="65"/>
      <c r="C12" s="76" t="s">
        <v>917</v>
      </c>
      <c r="D12" s="203"/>
      <c r="E12" s="492">
        <v>4.1000000000000003E-3</v>
      </c>
      <c r="F12" s="73"/>
      <c r="G12" s="204" t="s">
        <v>804</v>
      </c>
      <c r="H12" s="71"/>
      <c r="I12" s="64"/>
      <c r="J12" s="60"/>
      <c r="K12" s="491"/>
      <c r="L12" s="491"/>
      <c r="M12" s="491"/>
      <c r="N12" s="491"/>
      <c r="O12" s="491"/>
      <c r="P12" s="491"/>
      <c r="Q12" s="491"/>
      <c r="R12" s="491"/>
      <c r="S12" s="491"/>
    </row>
    <row r="13" spans="1:19" ht="4.3499999999999996" customHeight="1">
      <c r="A13" s="60"/>
      <c r="B13" s="65"/>
      <c r="C13" s="76"/>
      <c r="D13" s="203"/>
      <c r="E13" s="71"/>
      <c r="F13" s="73"/>
      <c r="G13" s="205"/>
      <c r="H13" s="71"/>
      <c r="I13" s="64"/>
      <c r="J13" s="100"/>
      <c r="K13" s="491"/>
      <c r="L13" s="491"/>
      <c r="M13" s="491"/>
      <c r="N13" s="491"/>
      <c r="O13" s="491"/>
      <c r="P13" s="491"/>
      <c r="Q13" s="491"/>
      <c r="R13" s="491"/>
      <c r="S13" s="491"/>
    </row>
    <row r="14" spans="1:19" ht="15" customHeight="1">
      <c r="A14" s="60"/>
      <c r="B14" s="65"/>
      <c r="C14" s="76" t="s">
        <v>918</v>
      </c>
      <c r="D14" s="203"/>
      <c r="E14" s="453">
        <v>0.33</v>
      </c>
      <c r="F14" s="73"/>
      <c r="G14" s="204" t="s">
        <v>804</v>
      </c>
      <c r="H14" s="71"/>
      <c r="I14" s="64"/>
      <c r="J14" s="100"/>
      <c r="K14" s="491"/>
      <c r="L14" s="491"/>
      <c r="M14" s="491"/>
      <c r="N14" s="491"/>
      <c r="O14" s="491"/>
      <c r="P14" s="491"/>
      <c r="Q14" s="491"/>
      <c r="R14" s="491"/>
      <c r="S14" s="491"/>
    </row>
    <row r="15" spans="1:19" ht="4.3499999999999996" customHeight="1">
      <c r="A15" s="60"/>
      <c r="B15" s="65"/>
      <c r="C15" s="76"/>
      <c r="D15" s="203"/>
      <c r="E15" s="71"/>
      <c r="F15" s="73"/>
      <c r="G15" s="205"/>
      <c r="H15" s="71"/>
      <c r="I15" s="64"/>
      <c r="J15" s="100"/>
      <c r="K15" s="491"/>
      <c r="L15" s="491"/>
      <c r="M15" s="491"/>
      <c r="N15" s="491"/>
      <c r="O15" s="491"/>
      <c r="P15" s="491"/>
      <c r="Q15" s="491"/>
      <c r="R15" s="491"/>
      <c r="S15" s="491"/>
    </row>
    <row r="16" spans="1:19" ht="15" customHeight="1">
      <c r="A16" s="60"/>
      <c r="B16" s="65"/>
      <c r="C16" s="76" t="s">
        <v>919</v>
      </c>
      <c r="D16" s="203"/>
      <c r="E16" s="407">
        <v>1</v>
      </c>
      <c r="F16" s="73"/>
      <c r="G16" s="71" t="str">
        <f>CONCATENATE("constant, source (1)",IF(NOT(ISBLANK(E18)),", overridden",""))</f>
        <v>constant, source (1)</v>
      </c>
      <c r="H16" s="71"/>
      <c r="I16" s="64"/>
      <c r="J16" s="100"/>
      <c r="K16" s="491"/>
      <c r="L16" s="491"/>
      <c r="M16" s="491"/>
      <c r="N16" s="491"/>
      <c r="O16" s="491"/>
      <c r="P16" s="491"/>
      <c r="Q16" s="491"/>
      <c r="R16" s="491"/>
      <c r="S16" s="491"/>
    </row>
    <row r="17" spans="1:19" ht="4.3499999999999996" customHeight="1">
      <c r="A17" s="60"/>
      <c r="B17" s="65"/>
      <c r="C17" s="76"/>
      <c r="D17" s="203"/>
      <c r="E17" s="372"/>
      <c r="F17" s="73"/>
      <c r="G17" s="205"/>
      <c r="H17" s="71"/>
      <c r="I17" s="64"/>
      <c r="J17" s="100"/>
      <c r="K17" s="491"/>
      <c r="L17" s="491"/>
      <c r="M17" s="491"/>
      <c r="N17" s="491"/>
      <c r="O17" s="491"/>
      <c r="P17" s="491"/>
      <c r="Q17" s="491"/>
      <c r="R17" s="491"/>
      <c r="S17" s="491"/>
    </row>
    <row r="18" spans="1:19" ht="15" customHeight="1">
      <c r="A18" s="60"/>
      <c r="B18" s="65"/>
      <c r="C18" s="76" t="s">
        <v>920</v>
      </c>
      <c r="D18" s="71"/>
      <c r="E18" s="51"/>
      <c r="F18" s="73"/>
      <c r="G18" s="207" t="s">
        <v>20</v>
      </c>
      <c r="H18" s="71"/>
      <c r="I18" s="64"/>
      <c r="J18" s="60"/>
    </row>
    <row r="19" spans="1:19" ht="4.3499999999999996" customHeight="1">
      <c r="A19" s="60"/>
      <c r="B19" s="65"/>
      <c r="C19" s="76"/>
      <c r="D19" s="71"/>
      <c r="E19" s="71"/>
      <c r="F19" s="73"/>
      <c r="G19" s="71"/>
      <c r="H19" s="71"/>
      <c r="I19" s="64"/>
      <c r="J19" s="60"/>
    </row>
    <row r="20" spans="1:19">
      <c r="A20" s="60"/>
      <c r="B20" s="65"/>
      <c r="C20" s="76" t="s">
        <v>921</v>
      </c>
      <c r="D20" s="71"/>
      <c r="E20" s="429">
        <f>IF(ISBLANK(E18),E16,E18)</f>
        <v>1</v>
      </c>
      <c r="F20" s="73"/>
      <c r="G20" s="81" t="s">
        <v>744</v>
      </c>
      <c r="H20" s="71"/>
      <c r="I20" s="64"/>
      <c r="J20" s="60"/>
    </row>
    <row r="21" spans="1:19" ht="4.3499999999999996" customHeight="1">
      <c r="A21" s="60"/>
      <c r="B21" s="65"/>
      <c r="C21" s="76"/>
      <c r="D21" s="71"/>
      <c r="E21" s="73"/>
      <c r="F21" s="73"/>
      <c r="G21" s="81"/>
      <c r="H21" s="71"/>
      <c r="I21" s="64"/>
      <c r="J21" s="60"/>
    </row>
    <row r="22" spans="1:19" ht="15" customHeight="1">
      <c r="A22" s="60"/>
      <c r="B22" s="65"/>
      <c r="C22" s="76" t="s">
        <v>676</v>
      </c>
      <c r="D22" s="203"/>
      <c r="E22" s="407" t="e">
        <f>IF(J22="Use Capcoa 2021",VL_REF!$U$3,INDEX(VL_TAZ!$O$9:$AD$9,1,MATCH($C22,VL_TAZ!$O$10:$AD$10,0)))</f>
        <v>#N/A</v>
      </c>
      <c r="F22" s="73"/>
      <c r="G22" s="71" t="str">
        <f>CONCATENATE("Alameda CTC model",IF(NOT(ISBLANK(E24)),", overridden",""))</f>
        <v>Alameda CTC model</v>
      </c>
      <c r="H22" s="71"/>
      <c r="I22" s="64"/>
      <c r="J22" s="187" t="s">
        <v>760</v>
      </c>
      <c r="K22" s="491"/>
      <c r="L22" s="491"/>
      <c r="M22" s="491"/>
      <c r="N22" s="491"/>
      <c r="O22" s="491"/>
      <c r="P22" s="491"/>
      <c r="Q22" s="491"/>
      <c r="R22" s="491"/>
      <c r="S22" s="491"/>
    </row>
    <row r="23" spans="1:19" ht="4.3499999999999996" customHeight="1">
      <c r="A23" s="60"/>
      <c r="B23" s="65"/>
      <c r="C23" s="76"/>
      <c r="D23" s="203"/>
      <c r="E23" s="493"/>
      <c r="F23" s="73"/>
      <c r="G23" s="81"/>
      <c r="H23" s="71"/>
      <c r="I23" s="64"/>
      <c r="J23" s="188"/>
      <c r="K23" s="491"/>
      <c r="L23" s="491"/>
      <c r="M23" s="491"/>
      <c r="N23" s="491"/>
      <c r="O23" s="491"/>
      <c r="P23" s="491"/>
      <c r="Q23" s="491"/>
      <c r="R23" s="491"/>
      <c r="S23" s="491"/>
    </row>
    <row r="24" spans="1:19" ht="15" customHeight="1">
      <c r="A24" s="60"/>
      <c r="B24" s="65"/>
      <c r="C24" s="76" t="s">
        <v>828</v>
      </c>
      <c r="D24" s="71"/>
      <c r="E24" s="51"/>
      <c r="F24" s="73"/>
      <c r="G24" s="207" t="s">
        <v>20</v>
      </c>
      <c r="H24" s="71"/>
      <c r="I24" s="64"/>
      <c r="J24" s="187"/>
    </row>
    <row r="25" spans="1:19" ht="4.3499999999999996" customHeight="1">
      <c r="A25" s="60"/>
      <c r="B25" s="65"/>
      <c r="C25" s="76"/>
      <c r="D25" s="71"/>
      <c r="E25" s="71"/>
      <c r="F25" s="73"/>
      <c r="G25" s="71"/>
      <c r="H25" s="71"/>
      <c r="I25" s="64"/>
      <c r="J25" s="187"/>
    </row>
    <row r="26" spans="1:19">
      <c r="A26" s="60"/>
      <c r="B26" s="65"/>
      <c r="C26" s="76" t="s">
        <v>829</v>
      </c>
      <c r="D26" s="71"/>
      <c r="E26" s="429" t="e">
        <f>IF(ISBLANK(E24),E22,E24)</f>
        <v>#N/A</v>
      </c>
      <c r="F26" s="73"/>
      <c r="G26" s="81" t="s">
        <v>744</v>
      </c>
      <c r="H26" s="71"/>
      <c r="I26" s="64"/>
      <c r="J26" s="187"/>
    </row>
    <row r="27" spans="1:19" ht="4.3499999999999996" customHeight="1">
      <c r="A27" s="60"/>
      <c r="B27" s="65"/>
      <c r="C27" s="76"/>
      <c r="D27" s="71"/>
      <c r="E27" s="73"/>
      <c r="F27" s="73"/>
      <c r="G27" s="81"/>
      <c r="H27" s="71"/>
      <c r="I27" s="64"/>
      <c r="J27" s="187"/>
    </row>
    <row r="28" spans="1:19" ht="15" customHeight="1">
      <c r="A28" s="60"/>
      <c r="B28" s="65"/>
      <c r="C28" s="76" t="s">
        <v>674</v>
      </c>
      <c r="D28" s="203"/>
      <c r="E28" s="208" t="e">
        <f>IF(J28="Use Capcoa 2021",VL_REF!$H$3,INDEX(VL_TAZ!$O$9:$AD$9,1,MATCH($C28,VL_TAZ!$O$10:$AD$10,0)))</f>
        <v>#N/A</v>
      </c>
      <c r="F28" s="73"/>
      <c r="G28" s="71" t="str">
        <f>CONCATENATE("Alameda CTC model",IF(NOT(ISBLANK(E30)),", overridden",""))</f>
        <v>Alameda CTC model</v>
      </c>
      <c r="H28" s="71"/>
      <c r="I28" s="64"/>
      <c r="J28" s="187" t="s">
        <v>760</v>
      </c>
      <c r="K28" s="491"/>
      <c r="L28" s="491"/>
      <c r="M28" s="491"/>
      <c r="N28" s="491"/>
      <c r="O28" s="491"/>
      <c r="P28" s="491"/>
      <c r="Q28" s="491"/>
      <c r="R28" s="491"/>
      <c r="S28" s="491"/>
    </row>
    <row r="29" spans="1:19" ht="4.3499999999999996" customHeight="1">
      <c r="A29" s="60"/>
      <c r="B29" s="65"/>
      <c r="C29" s="76"/>
      <c r="D29" s="203"/>
      <c r="E29" s="71"/>
      <c r="F29" s="73"/>
      <c r="G29" s="205"/>
      <c r="H29" s="71"/>
      <c r="I29" s="64"/>
      <c r="J29" s="100"/>
      <c r="K29" s="491"/>
      <c r="L29" s="491"/>
      <c r="M29" s="491"/>
      <c r="N29" s="491"/>
      <c r="O29" s="491"/>
      <c r="P29" s="491"/>
      <c r="Q29" s="491"/>
      <c r="R29" s="491"/>
      <c r="S29" s="491"/>
    </row>
    <row r="30" spans="1:19" ht="15" customHeight="1">
      <c r="A30" s="60"/>
      <c r="B30" s="65"/>
      <c r="C30" s="76" t="s">
        <v>852</v>
      </c>
      <c r="D30" s="203"/>
      <c r="E30" s="58"/>
      <c r="F30" s="73"/>
      <c r="G30" s="207" t="s">
        <v>20</v>
      </c>
      <c r="H30" s="71"/>
      <c r="I30" s="64"/>
      <c r="J30" s="100"/>
      <c r="K30" s="491"/>
      <c r="L30" s="494"/>
      <c r="M30" s="491"/>
      <c r="N30" s="491"/>
      <c r="O30" s="491"/>
      <c r="P30" s="491"/>
      <c r="Q30" s="491"/>
      <c r="R30" s="491"/>
      <c r="S30" s="491"/>
    </row>
    <row r="31" spans="1:19" ht="4.3499999999999996" customHeight="1">
      <c r="A31" s="60"/>
      <c r="B31" s="65"/>
      <c r="C31" s="206"/>
      <c r="D31" s="203"/>
      <c r="E31" s="97"/>
      <c r="F31" s="73"/>
      <c r="G31" s="204"/>
      <c r="H31" s="71"/>
      <c r="I31" s="64"/>
      <c r="J31" s="100"/>
      <c r="K31" s="491"/>
      <c r="L31" s="491"/>
      <c r="M31" s="491"/>
      <c r="N31" s="491"/>
      <c r="O31" s="491"/>
      <c r="P31" s="491"/>
      <c r="Q31" s="491"/>
      <c r="R31" s="491"/>
      <c r="S31" s="491"/>
    </row>
    <row r="32" spans="1:19" ht="14.45" customHeight="1">
      <c r="A32" s="60"/>
      <c r="B32" s="65"/>
      <c r="C32" s="76" t="s">
        <v>853</v>
      </c>
      <c r="D32" s="203"/>
      <c r="E32" s="495" t="str">
        <f>IFERROR(IF(ISBLANK(E30),E28,IF(E30&lt;50%,E28,IF(E30&gt;=50%,E30,E28))),"")</f>
        <v/>
      </c>
      <c r="F32" s="73"/>
      <c r="G32" s="204" t="s">
        <v>744</v>
      </c>
      <c r="H32" s="71"/>
      <c r="I32" s="64"/>
      <c r="J32" s="100"/>
      <c r="K32" s="491"/>
      <c r="L32" s="491"/>
      <c r="M32" s="491"/>
      <c r="N32" s="491"/>
      <c r="O32" s="491"/>
      <c r="P32" s="491"/>
      <c r="Q32" s="491"/>
      <c r="R32" s="491"/>
      <c r="S32" s="491"/>
    </row>
    <row r="33" spans="1:19" ht="4.3499999999999996" customHeight="1">
      <c r="A33" s="60"/>
      <c r="B33" s="65"/>
      <c r="C33" s="76"/>
      <c r="D33" s="203"/>
      <c r="E33" s="71"/>
      <c r="F33" s="73"/>
      <c r="G33" s="205"/>
      <c r="H33" s="71"/>
      <c r="I33" s="64"/>
      <c r="J33" s="100"/>
      <c r="K33" s="491"/>
      <c r="L33" s="491"/>
      <c r="M33" s="491"/>
      <c r="N33" s="491"/>
      <c r="O33" s="491"/>
      <c r="P33" s="491"/>
      <c r="Q33" s="491"/>
      <c r="R33" s="491"/>
      <c r="S33" s="491"/>
    </row>
    <row r="34" spans="1:19" ht="15" customHeight="1">
      <c r="A34" s="60"/>
      <c r="B34" s="65"/>
      <c r="C34" s="76" t="s">
        <v>147</v>
      </c>
      <c r="D34" s="203"/>
      <c r="E34" s="98" t="str">
        <f>IF(ISBLANK(E10),"",IFERROR(MAX(-D6,-(E10*E12*E14*E20)/(E26*E32)),""))</f>
        <v/>
      </c>
      <c r="F34" s="378"/>
      <c r="G34" s="41" t="b">
        <v>0</v>
      </c>
      <c r="H34" s="170" t="str">
        <f>IF(OR(G34=TRUE,E34=""),"Not Active","Active")</f>
        <v>Not Active</v>
      </c>
      <c r="I34" s="64"/>
      <c r="J34" s="100"/>
      <c r="K34" s="491"/>
      <c r="L34" s="491"/>
      <c r="M34" s="491"/>
      <c r="N34" s="491"/>
      <c r="O34" s="491"/>
      <c r="P34" s="491"/>
      <c r="Q34" s="491"/>
      <c r="R34" s="491"/>
      <c r="S34" s="491"/>
    </row>
    <row r="35" spans="1:19" ht="15" customHeight="1">
      <c r="A35" s="60"/>
      <c r="B35" s="65"/>
      <c r="C35" s="71"/>
      <c r="D35" s="71"/>
      <c r="E35" s="71"/>
      <c r="F35" s="71"/>
      <c r="G35" s="73"/>
      <c r="H35" s="71"/>
      <c r="I35" s="64"/>
      <c r="J35" s="100"/>
      <c r="K35" s="491"/>
      <c r="L35" s="491"/>
      <c r="M35" s="491"/>
      <c r="N35" s="491"/>
      <c r="O35" s="491"/>
      <c r="P35" s="491"/>
      <c r="Q35" s="491"/>
      <c r="R35" s="491"/>
      <c r="S35" s="491"/>
    </row>
    <row r="36" spans="1:19" ht="51.95" customHeight="1">
      <c r="A36" s="60"/>
      <c r="B36" s="65"/>
      <c r="C36" s="669" t="str">
        <f>"Formula:  % Change in VMT =  " &amp; SUBSTITUTE("-( " &amp; C10 &amp; " * " &amp; C12 &amp; " * " &amp; C14 &amp; " * " &amp; C20 &amp; " )/( " &amp; C26 &amp; " * " &amp; C32 &amp; " )"," used for calculation","")</f>
        <v>Formula:  % Change in VMT =  -( % of neighborhood/city covered by new microtransit service * Microtransit share of all person trips * Auto trip substitution rate * Microtransit trip length (miles) )/( One-way vehicle trip length in neighborhood/city (miles) * Vehicle mode share )</v>
      </c>
      <c r="D36" s="670"/>
      <c r="E36" s="670"/>
      <c r="F36" s="670"/>
      <c r="G36" s="670"/>
      <c r="H36" s="671"/>
      <c r="I36" s="64"/>
      <c r="J36" s="100"/>
      <c r="K36" s="491"/>
      <c r="L36" s="491"/>
      <c r="M36" s="491"/>
      <c r="N36" s="491"/>
      <c r="O36" s="491"/>
      <c r="P36" s="491"/>
      <c r="Q36" s="491"/>
      <c r="R36" s="491"/>
      <c r="S36" s="491"/>
    </row>
    <row r="37" spans="1:19" ht="15" customHeight="1">
      <c r="A37" s="60"/>
      <c r="B37" s="65"/>
      <c r="C37" s="496"/>
      <c r="D37" s="177" t="s">
        <v>922</v>
      </c>
      <c r="E37" s="177"/>
      <c r="F37" s="177"/>
      <c r="G37" s="177"/>
      <c r="H37" s="380"/>
      <c r="I37" s="64"/>
      <c r="J37" s="100"/>
      <c r="K37" s="491"/>
      <c r="L37" s="491"/>
      <c r="M37" s="491"/>
      <c r="N37" s="491"/>
      <c r="O37" s="491"/>
      <c r="P37" s="491"/>
      <c r="Q37" s="491"/>
      <c r="R37" s="491"/>
      <c r="S37" s="491"/>
    </row>
    <row r="38" spans="1:19" ht="15" customHeight="1">
      <c r="A38" s="60"/>
      <c r="B38" s="65"/>
      <c r="C38" s="73"/>
      <c r="D38" s="199"/>
      <c r="E38" s="199"/>
      <c r="F38" s="199"/>
      <c r="G38" s="199"/>
      <c r="H38" s="199"/>
      <c r="I38" s="64"/>
      <c r="J38" s="100"/>
      <c r="K38" s="491"/>
      <c r="L38" s="491"/>
      <c r="M38" s="491"/>
      <c r="N38" s="491"/>
      <c r="O38" s="491"/>
      <c r="P38" s="491"/>
      <c r="Q38" s="491"/>
      <c r="R38" s="491"/>
      <c r="S38" s="491"/>
    </row>
    <row r="39" spans="1:19" ht="15" customHeight="1">
      <c r="A39" s="60"/>
      <c r="B39" s="65"/>
      <c r="C39" s="71" t="s">
        <v>732</v>
      </c>
      <c r="D39" s="71"/>
      <c r="E39" s="71"/>
      <c r="F39" s="71"/>
      <c r="G39" s="73"/>
      <c r="H39" s="71"/>
      <c r="I39" s="64"/>
      <c r="J39" s="100"/>
      <c r="K39" s="491"/>
      <c r="L39" s="491"/>
      <c r="M39" s="491"/>
      <c r="N39" s="491"/>
      <c r="O39" s="491"/>
      <c r="P39" s="491"/>
      <c r="Q39" s="491"/>
      <c r="R39" s="491"/>
      <c r="S39" s="491"/>
    </row>
    <row r="40" spans="1:19" ht="60" customHeight="1">
      <c r="A40" s="60"/>
      <c r="B40" s="65"/>
      <c r="C40" s="551" t="s">
        <v>923</v>
      </c>
      <c r="D40" s="551"/>
      <c r="E40" s="551"/>
      <c r="F40" s="551"/>
      <c r="G40" s="551"/>
      <c r="H40" s="551"/>
      <c r="I40" s="678"/>
      <c r="J40" s="100"/>
      <c r="K40" s="491"/>
      <c r="L40" s="491"/>
      <c r="M40" s="491"/>
      <c r="N40" s="491"/>
      <c r="O40" s="491"/>
      <c r="P40" s="491"/>
      <c r="Q40" s="491"/>
      <c r="R40" s="491"/>
      <c r="S40" s="491"/>
    </row>
    <row r="41" spans="1:19" ht="15" customHeight="1">
      <c r="A41" s="60"/>
      <c r="B41" s="74"/>
      <c r="C41" s="177"/>
      <c r="D41" s="177"/>
      <c r="E41" s="177"/>
      <c r="F41" s="177"/>
      <c r="G41" s="379"/>
      <c r="H41" s="177"/>
      <c r="I41" s="380"/>
      <c r="J41" s="60"/>
    </row>
    <row r="42" spans="1:19" ht="22.35" customHeight="1">
      <c r="A42" s="60"/>
      <c r="B42" s="16"/>
      <c r="C42" s="16"/>
      <c r="D42" s="16"/>
      <c r="F42" s="60"/>
      <c r="G42" s="75"/>
      <c r="H42" s="60"/>
      <c r="I42" s="60"/>
      <c r="J42" s="60"/>
    </row>
  </sheetData>
  <sheetProtection algorithmName="SHA-512" hashValue="0ury3hvfjZAreaWKBhOlhxKhxwirA6GS8kYMjHdJjXXmyqaICGDa7oRrfoj33KVD9s2mczOUUwhEEzphlcsB1g==" saltValue="P95ZH2SgFV97jF6HxZdCqA==" spinCount="100000" sheet="1" objects="1" scenarios="1" selectLockedCells="1"/>
  <mergeCells count="4">
    <mergeCell ref="B2:I2"/>
    <mergeCell ref="C8:H8"/>
    <mergeCell ref="C36:H36"/>
    <mergeCell ref="C40:I40"/>
  </mergeCells>
  <conditionalFormatting sqref="E34">
    <cfRule type="expression" dxfId="1" priority="18">
      <formula>-ROUND($D$6,3)=ROUND($E$34,3)</formula>
    </cfRule>
    <cfRule type="expression" dxfId="0" priority="20">
      <formula>AND(E34&lt;&gt;"",E34&gt;0)</formula>
    </cfRule>
  </conditionalFormatting>
  <dataValidations count="5">
    <dataValidation type="decimal" operator="greaterThan" allowBlank="1" errorTitle="User input error" error="Value must be greater than zero._x000a_" promptTitle="Restriction" prompt="Value must not exceed 20% (1)." sqref="E14 E12 E16" xr:uid="{00000000-0002-0000-1900-000000000000}">
      <formula1>0</formula1>
    </dataValidation>
    <dataValidation type="decimal" allowBlank="1" showErrorMessage="1" errorTitle="Restriction" error="Value must be between 0% and 100%_x000a_" promptTitle="Restriction" prompt="Value must be between 0% and 100%_x000a_" sqref="E10" xr:uid="{00000000-0002-0000-1900-000001000000}">
      <formula1>0</formula1>
      <formula2>1</formula2>
    </dataValidation>
    <dataValidation type="decimal" allowBlank="1" showErrorMessage="1" errorTitle="Restriction" error="Value must be between 0% and 100%_x000a_" promptTitle="Restriction" prompt="If value falls below minimum of 50%, default value will be used below." sqref="E30" xr:uid="{00000000-0002-0000-1900-000002000000}">
      <formula1>0</formula1>
      <formula2>1</formula2>
    </dataValidation>
    <dataValidation type="decimal" operator="greaterThanOrEqual" allowBlank="1" showErrorMessage="1" errorTitle="Restriction" error="Value must not be negative_x000a_" promptTitle="Restriction" prompt="If value exceeds maximum of 25%, default value will be used below." sqref="E24 E18" xr:uid="{00000000-0002-0000-1900-000003000000}">
      <formula1>0</formula1>
    </dataValidation>
    <dataValidation operator="greaterThan" allowBlank="1" errorTitle="User input error" error="Value must be greater than zero._x000a_" promptTitle="Restriction" prompt="Value must not exceed 20% (1)." sqref="E23" xr:uid="{00000000-0002-0000-1900-000004000000}"/>
  </dataValidations>
  <hyperlinks>
    <hyperlink ref="H5" location="Results!A1" display="Results Summary" xr:uid="{00000000-0004-0000-1900-000000000000}"/>
    <hyperlink ref="H4" location="Main!L65" display="Return to Main É" xr:uid="{00000000-0004-0000-19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28" r:id="rId4" name="Check Box 8">
              <controlPr defaultSize="0" autoFill="0" autoLine="0" autoPict="0" altText="Exclude From Results Summary">
                <anchor moveWithCells="1">
                  <from>
                    <xdr:col>6</xdr:col>
                    <xdr:colOff>0</xdr:colOff>
                    <xdr:row>32</xdr:row>
                    <xdr:rowOff>38100</xdr:rowOff>
                  </from>
                  <to>
                    <xdr:col>7</xdr:col>
                    <xdr:colOff>28575</xdr:colOff>
                    <xdr:row>34</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1F208-2928-44A7-914E-EC0228A75C4B}">
  <sheetPr codeName="Sheet4">
    <tabColor theme="1"/>
  </sheetPr>
  <dimension ref="A1:R11"/>
  <sheetViews>
    <sheetView showGridLines="0" showRowColHeaders="0" zoomScaleNormal="100" workbookViewId="0">
      <selection activeCell="B4" sqref="B4"/>
    </sheetView>
  </sheetViews>
  <sheetFormatPr defaultColWidth="0" defaultRowHeight="15" zeroHeight="1"/>
  <cols>
    <col min="1" max="1" width="2.7109375" customWidth="1"/>
    <col min="2" max="2" width="168.42578125" customWidth="1"/>
    <col min="3" max="3" width="2.7109375" customWidth="1"/>
    <col min="4" max="11" width="9.140625" hidden="1" customWidth="1"/>
    <col min="12" max="18" width="0" hidden="1" customWidth="1"/>
    <col min="19" max="16384" width="9.140625" hidden="1"/>
  </cols>
  <sheetData>
    <row r="1" spans="1:3">
      <c r="A1" s="16"/>
      <c r="B1" s="16"/>
      <c r="C1" s="16"/>
    </row>
    <row r="2" spans="1:3" ht="33.75">
      <c r="A2" s="16"/>
      <c r="B2" s="358" t="s">
        <v>140</v>
      </c>
      <c r="C2" s="22"/>
    </row>
    <row r="3" spans="1:3">
      <c r="A3" s="16"/>
      <c r="B3" s="16"/>
      <c r="C3" s="22"/>
    </row>
    <row r="4" spans="1:3">
      <c r="A4" s="16"/>
      <c r="B4" s="499" t="s">
        <v>153</v>
      </c>
      <c r="C4" s="16"/>
    </row>
    <row r="5" spans="1:3" ht="5.0999999999999996" customHeight="1">
      <c r="A5" s="16"/>
      <c r="B5" s="294"/>
      <c r="C5" s="16"/>
    </row>
    <row r="6" spans="1:3" ht="21">
      <c r="A6" s="16"/>
      <c r="B6" s="359" t="s">
        <v>154</v>
      </c>
      <c r="C6" s="16"/>
    </row>
    <row r="7" spans="1:3" ht="180">
      <c r="A7" s="16"/>
      <c r="B7" s="36" t="s">
        <v>155</v>
      </c>
      <c r="C7" s="16"/>
    </row>
    <row r="8" spans="1:3">
      <c r="A8" s="16"/>
      <c r="B8" s="16"/>
      <c r="C8" s="16"/>
    </row>
    <row r="9" spans="1:3" ht="21">
      <c r="A9" s="16"/>
      <c r="B9" s="359" t="s">
        <v>156</v>
      </c>
      <c r="C9" s="16"/>
    </row>
    <row r="10" spans="1:3" ht="357" customHeight="1">
      <c r="A10" s="16"/>
      <c r="B10" s="36" t="str">
        <f>Conflict_Calc!$BO$9</f>
        <v/>
      </c>
      <c r="C10" s="16"/>
    </row>
    <row r="11" spans="1:3">
      <c r="A11" s="16"/>
      <c r="B11" s="16"/>
      <c r="C11" s="16"/>
    </row>
  </sheetData>
  <sheetProtection algorithmName="SHA-512" hashValue="iHerkjbsgptyWKDSrdo9MjlSqXbETIvCqH4mEhn9UntELhtOIr9cv60WeUmwKYuwcf6HrotYJh4zCijk7R4RSQ==" saltValue="GG5bZZIqSGszdkYl1h1VbQ==" spinCount="100000" sheet="1" objects="1" scenarios="1" selectLockedCells="1"/>
  <hyperlinks>
    <hyperlink ref="B4" location="Results!A1" display="Results Summary" xr:uid="{8B0F6187-2DFE-4414-B438-23151D88A19B}"/>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28491-CA9B-4398-A2BA-9E94B68D291E}">
  <sheetPr codeName="Sheet37"/>
  <dimension ref="A1:BH41"/>
  <sheetViews>
    <sheetView topLeftCell="AB10" workbookViewId="0">
      <pane ySplit="1" topLeftCell="A28" activePane="bottomLeft" state="frozen"/>
      <selection pane="bottomLeft" activeCell="AG32" sqref="AG32"/>
      <selection activeCell="E10" sqref="E10"/>
    </sheetView>
  </sheetViews>
  <sheetFormatPr defaultColWidth="9.140625" defaultRowHeight="15" outlineLevelRow="1" outlineLevelCol="2"/>
  <cols>
    <col min="1" max="1" width="9" style="87" customWidth="1"/>
    <col min="2" max="2" width="8.5703125" style="87" customWidth="1"/>
    <col min="3" max="4" width="8.5703125" style="87" hidden="1" customWidth="1" outlineLevel="1"/>
    <col min="5" max="5" width="32" style="87" customWidth="1" collapsed="1"/>
    <col min="6" max="6" width="35.5703125" style="137" hidden="1" customWidth="1" outlineLevel="2"/>
    <col min="7" max="7" width="32.42578125" style="137" hidden="1" customWidth="1" outlineLevel="2"/>
    <col min="8" max="8" width="38" style="137" hidden="1" customWidth="1" outlineLevel="2"/>
    <col min="9" max="10" width="11.42578125" style="87" hidden="1" customWidth="1" outlineLevel="2"/>
    <col min="11" max="11" width="12.140625" style="87" hidden="1" customWidth="1" outlineLevel="2"/>
    <col min="12" max="12" width="14" style="87" hidden="1" customWidth="1" outlineLevel="2"/>
    <col min="13" max="13" width="15" style="137" hidden="1" customWidth="1" outlineLevel="2"/>
    <col min="14" max="17" width="14.42578125" style="137" hidden="1" customWidth="1" outlineLevel="2"/>
    <col min="18" max="18" width="9.140625" style="87" hidden="1" customWidth="1" outlineLevel="2"/>
    <col min="19" max="19" width="12.5703125" style="87" hidden="1" customWidth="1" outlineLevel="1"/>
    <col min="20" max="20" width="9.140625" style="87" hidden="1" customWidth="1" outlineLevel="2"/>
    <col min="21" max="21" width="12.5703125" style="87" hidden="1" customWidth="1" outlineLevel="1"/>
    <col min="22" max="22" width="9.140625" style="87" hidden="1" customWidth="1" outlineLevel="2"/>
    <col min="23" max="23" width="12.5703125" style="87" hidden="1" customWidth="1" outlineLevel="1"/>
    <col min="24" max="24" width="12.42578125" style="87" hidden="1" customWidth="1" outlineLevel="1"/>
    <col min="25" max="25" width="12.85546875" style="87" hidden="1" customWidth="1" outlineLevel="1"/>
    <col min="26" max="26" width="12.5703125" style="87" hidden="1" customWidth="1" outlineLevel="1"/>
    <col min="27" max="27" width="8.140625" style="87" hidden="1" customWidth="1" outlineLevel="1"/>
    <col min="28" max="28" width="28.42578125" style="87" customWidth="1" collapsed="1"/>
    <col min="29" max="29" width="13" style="105" customWidth="1"/>
    <col min="30" max="30" width="25.85546875" style="105" customWidth="1"/>
    <col min="31" max="31" width="9.85546875" style="87" customWidth="1"/>
    <col min="32" max="32" width="12.42578125" style="106" customWidth="1"/>
    <col min="33" max="33" width="103.140625" style="87" customWidth="1"/>
    <col min="34" max="34" width="13.5703125" style="87" customWidth="1"/>
    <col min="35" max="42" width="18.5703125" style="106" customWidth="1"/>
    <col min="43" max="46" width="18.5703125" style="107" customWidth="1"/>
    <col min="47" max="51" width="18.5703125" style="108" customWidth="1"/>
    <col min="52" max="16384" width="9.140625" style="87"/>
  </cols>
  <sheetData>
    <row r="1" spans="1:60" hidden="1" outlineLevel="1"/>
    <row r="2" spans="1:60" hidden="1" outlineLevel="1"/>
    <row r="3" spans="1:60" hidden="1" outlineLevel="1"/>
    <row r="4" spans="1:60" hidden="1" outlineLevel="1"/>
    <row r="5" spans="1:60" hidden="1" outlineLevel="1"/>
    <row r="6" spans="1:60" hidden="1" outlineLevel="1"/>
    <row r="7" spans="1:60" hidden="1" outlineLevel="1"/>
    <row r="8" spans="1:60" hidden="1" outlineLevel="1">
      <c r="R8" s="87" t="s">
        <v>157</v>
      </c>
    </row>
    <row r="9" spans="1:60" hidden="1" outlineLevel="1">
      <c r="R9" s="109" t="s">
        <v>158</v>
      </c>
      <c r="S9" s="109" t="s">
        <v>158</v>
      </c>
      <c r="T9" s="109" t="s">
        <v>159</v>
      </c>
      <c r="U9" s="109" t="s">
        <v>159</v>
      </c>
      <c r="V9" s="109" t="s">
        <v>160</v>
      </c>
      <c r="W9" s="109" t="s">
        <v>160</v>
      </c>
      <c r="X9" s="109"/>
      <c r="Y9" s="109"/>
      <c r="Z9" s="109"/>
    </row>
    <row r="10" spans="1:60" s="112" customFormat="1" ht="60" collapsed="1">
      <c r="A10" s="110" t="s">
        <v>161</v>
      </c>
      <c r="B10" s="110" t="s">
        <v>162</v>
      </c>
      <c r="C10" s="110" t="s">
        <v>163</v>
      </c>
      <c r="D10" s="110" t="s">
        <v>164</v>
      </c>
      <c r="E10" s="110" t="s">
        <v>165</v>
      </c>
      <c r="F10" s="110" t="s">
        <v>166</v>
      </c>
      <c r="G10" s="110" t="s">
        <v>167</v>
      </c>
      <c r="H10" s="110" t="s">
        <v>168</v>
      </c>
      <c r="I10" s="110" t="s">
        <v>169</v>
      </c>
      <c r="J10" s="110" t="s">
        <v>170</v>
      </c>
      <c r="K10" s="110" t="s">
        <v>171</v>
      </c>
      <c r="L10" s="110" t="s">
        <v>172</v>
      </c>
      <c r="M10" s="110" t="s">
        <v>173</v>
      </c>
      <c r="N10" s="110" t="s">
        <v>174</v>
      </c>
      <c r="O10" s="110" t="s">
        <v>175</v>
      </c>
      <c r="P10" s="110" t="s">
        <v>176</v>
      </c>
      <c r="Q10" s="110" t="s">
        <v>177</v>
      </c>
      <c r="R10" s="110" t="s">
        <v>178</v>
      </c>
      <c r="S10" s="110" t="s">
        <v>179</v>
      </c>
      <c r="T10" s="110" t="s">
        <v>178</v>
      </c>
      <c r="U10" s="110" t="s">
        <v>180</v>
      </c>
      <c r="V10" s="110" t="s">
        <v>178</v>
      </c>
      <c r="W10" s="110" t="s">
        <v>180</v>
      </c>
      <c r="X10" s="110" t="s">
        <v>181</v>
      </c>
      <c r="Y10" s="110" t="s">
        <v>182</v>
      </c>
      <c r="Z10" s="110" t="s">
        <v>183</v>
      </c>
      <c r="AA10" s="110" t="s">
        <v>184</v>
      </c>
      <c r="AB10" s="110" t="s">
        <v>185</v>
      </c>
      <c r="AC10" s="111" t="s">
        <v>186</v>
      </c>
      <c r="AD10" s="111" t="s">
        <v>187</v>
      </c>
      <c r="AE10" s="112" t="s">
        <v>188</v>
      </c>
      <c r="AF10" s="113" t="s">
        <v>189</v>
      </c>
      <c r="AG10" s="112" t="s">
        <v>190</v>
      </c>
      <c r="AH10" s="112" t="s">
        <v>191</v>
      </c>
      <c r="AI10" s="113" t="s">
        <v>192</v>
      </c>
      <c r="AJ10" s="113" t="s">
        <v>193</v>
      </c>
      <c r="AK10" s="113" t="s">
        <v>194</v>
      </c>
      <c r="AL10" s="113" t="s">
        <v>195</v>
      </c>
      <c r="AM10" s="113" t="s">
        <v>196</v>
      </c>
      <c r="AN10" s="113" t="s">
        <v>197</v>
      </c>
      <c r="AO10" s="113" t="s">
        <v>198</v>
      </c>
      <c r="AP10" s="113" t="s">
        <v>199</v>
      </c>
      <c r="AQ10" s="114" t="s">
        <v>200</v>
      </c>
      <c r="AR10" s="114" t="s">
        <v>201</v>
      </c>
      <c r="AS10" s="114" t="s">
        <v>202</v>
      </c>
      <c r="AT10" s="114" t="s">
        <v>203</v>
      </c>
      <c r="AU10" s="115" t="s">
        <v>204</v>
      </c>
      <c r="AV10" s="115" t="s">
        <v>205</v>
      </c>
      <c r="AW10" s="115" t="s">
        <v>206</v>
      </c>
      <c r="AX10" s="115" t="s">
        <v>207</v>
      </c>
      <c r="AY10" s="115" t="s">
        <v>208</v>
      </c>
      <c r="BA10" s="112" t="s">
        <v>209</v>
      </c>
      <c r="BB10" s="112" t="s">
        <v>210</v>
      </c>
      <c r="BC10" s="112" t="s">
        <v>211</v>
      </c>
      <c r="BD10" s="112" t="s">
        <v>212</v>
      </c>
      <c r="BE10" s="112" t="s">
        <v>213</v>
      </c>
      <c r="BF10" s="112" t="s">
        <v>214</v>
      </c>
      <c r="BG10" s="112" t="s">
        <v>215</v>
      </c>
      <c r="BH10" s="112" t="s">
        <v>216</v>
      </c>
    </row>
    <row r="11" spans="1:60" ht="60" customHeight="1">
      <c r="A11" s="87" t="s">
        <v>217</v>
      </c>
      <c r="B11" s="162" t="s">
        <v>54</v>
      </c>
      <c r="C11" s="137" t="s">
        <v>218</v>
      </c>
      <c r="D11" s="137" t="s">
        <v>219</v>
      </c>
      <c r="E11" s="87" t="s">
        <v>55</v>
      </c>
      <c r="H11" s="137" t="s">
        <v>220</v>
      </c>
      <c r="I11" s="87" t="s">
        <v>221</v>
      </c>
      <c r="J11" s="109" t="s">
        <v>222</v>
      </c>
      <c r="K11" s="87" t="s">
        <v>222</v>
      </c>
      <c r="L11" s="116">
        <v>6.2E-2</v>
      </c>
      <c r="M11" s="137" t="s">
        <v>223</v>
      </c>
      <c r="N11" s="137" t="s">
        <v>224</v>
      </c>
      <c r="R11" s="118">
        <v>0</v>
      </c>
      <c r="S11" s="118">
        <v>6.2E-2</v>
      </c>
      <c r="T11" s="118">
        <v>0.01</v>
      </c>
      <c r="U11" s="118">
        <v>6.2E-2</v>
      </c>
      <c r="V11" s="118">
        <v>0</v>
      </c>
      <c r="W11" s="118">
        <v>0.04</v>
      </c>
      <c r="X11" s="118">
        <v>0.04</v>
      </c>
      <c r="Y11" s="118" t="s">
        <v>160</v>
      </c>
      <c r="Z11" s="119">
        <v>-2.1999999999999999E-2</v>
      </c>
      <c r="AB11" s="137" t="s">
        <v>225</v>
      </c>
      <c r="AC11" s="105" t="s">
        <v>226</v>
      </c>
      <c r="AD11" s="105" t="s">
        <v>227</v>
      </c>
      <c r="AE11" s="118">
        <v>0.04</v>
      </c>
      <c r="AF11" s="120" t="s">
        <v>228</v>
      </c>
      <c r="AG11" s="137" t="s">
        <v>229</v>
      </c>
      <c r="AI11" s="120" t="s">
        <v>230</v>
      </c>
      <c r="AJ11" s="120" t="s">
        <v>231</v>
      </c>
      <c r="AK11" s="120" t="s">
        <v>231</v>
      </c>
      <c r="AL11" s="120" t="s">
        <v>231</v>
      </c>
      <c r="AM11" s="120" t="s">
        <v>231</v>
      </c>
      <c r="AN11" s="120" t="s">
        <v>231</v>
      </c>
      <c r="AO11" s="120" t="s">
        <v>231</v>
      </c>
      <c r="AP11" s="120" t="s">
        <v>231</v>
      </c>
      <c r="AQ11" s="124" t="s">
        <v>231</v>
      </c>
      <c r="AR11" s="124" t="s">
        <v>231</v>
      </c>
      <c r="AS11" s="124" t="s">
        <v>231</v>
      </c>
      <c r="AT11" s="124" t="s">
        <v>231</v>
      </c>
      <c r="AU11" s="121" t="s">
        <v>232</v>
      </c>
      <c r="AV11" s="121" t="s">
        <v>231</v>
      </c>
      <c r="AW11" s="121" t="s">
        <v>231</v>
      </c>
      <c r="AX11" s="121" t="s">
        <v>231</v>
      </c>
      <c r="AY11" s="121" t="s">
        <v>231</v>
      </c>
      <c r="BA11" s="87" t="str">
        <f t="array" ref="BA11">_xlfn.CONCAT(IF(NOT(ISERROR(SEARCH(BA$10&amp;". ",$AI11:$AY11))),$AI11:$AY11,""))</f>
        <v>B. Percent of employees eligible for program</v>
      </c>
      <c r="BB11" s="87" t="str">
        <f t="array" ref="BB11">_xlfn.CONCAT(IF(NOT(ISERROR(SEARCH(BB$10&amp;". ",$AI11:$AY11))),$AI11:$AY11,""))</f>
        <v>C. Percent reduction in commute VMT from eligible employees</v>
      </c>
      <c r="BC11" s="87" t="str">
        <f t="array" ref="BC11">_xlfn.CONCAT(IF(NOT(ISERROR(SEARCH(BC$10&amp;". ",$AI11:$AY11))),$AI11:$AY11,""))</f>
        <v/>
      </c>
      <c r="BD11" s="87" t="str">
        <f t="array" ref="BD11">_xlfn.CONCAT(IF(NOT(ISERROR(SEARCH(BD$10&amp;". ",$AI11:$AY11))),$AI11:$AY11,""))</f>
        <v/>
      </c>
      <c r="BE11" s="87" t="str">
        <f t="array" ref="BE11">_xlfn.CONCAT(IF(NOT(ISERROR(SEARCH(BE$10&amp;". ",$AI11:$AY11))),$AI11:$AY11,""))</f>
        <v/>
      </c>
      <c r="BF11" s="87" t="str">
        <f t="array" ref="BF11">_xlfn.CONCAT(IF(NOT(ISERROR(SEARCH(BF$10&amp;". ",$AI11:$AY11))),$AI11:$AY11,""))</f>
        <v/>
      </c>
      <c r="BG11" s="87" t="str">
        <f t="array" ref="BG11">_xlfn.CONCAT(IF(NOT(ISERROR(SEARCH(BG$10&amp;". ",$AI11:$AY11))),$AI11:$AY11,""))</f>
        <v/>
      </c>
      <c r="BH11" s="87" t="str">
        <f t="array" ref="BH11">_xlfn.CONCAT(IF(NOT(ISERROR(SEARCH(BH$10&amp;". ",$AI11:$AY11))),$AI11:$AY11,""))</f>
        <v/>
      </c>
    </row>
    <row r="12" spans="1:60" ht="60" customHeight="1">
      <c r="A12" s="87" t="s">
        <v>217</v>
      </c>
      <c r="B12" s="162" t="s">
        <v>58</v>
      </c>
      <c r="C12" s="137" t="s">
        <v>233</v>
      </c>
      <c r="D12" s="137" t="s">
        <v>234</v>
      </c>
      <c r="E12" s="87" t="s">
        <v>59</v>
      </c>
      <c r="F12" s="137" t="s">
        <v>235</v>
      </c>
      <c r="H12" s="137" t="s">
        <v>236</v>
      </c>
      <c r="I12" s="87" t="s">
        <v>222</v>
      </c>
      <c r="J12" s="87" t="s">
        <v>222</v>
      </c>
      <c r="K12" s="87" t="s">
        <v>222</v>
      </c>
      <c r="L12" s="123">
        <v>0.26</v>
      </c>
      <c r="M12" s="117" t="s">
        <v>237</v>
      </c>
      <c r="N12" s="117" t="s">
        <v>238</v>
      </c>
      <c r="O12" s="117"/>
      <c r="P12" s="117"/>
      <c r="Q12" s="117"/>
      <c r="R12" s="118">
        <v>0</v>
      </c>
      <c r="S12" s="118">
        <v>0.26</v>
      </c>
      <c r="T12" s="118">
        <v>4.2000000000000003E-2</v>
      </c>
      <c r="U12" s="118">
        <v>0.21</v>
      </c>
      <c r="V12" s="118">
        <v>0</v>
      </c>
      <c r="W12" s="118">
        <v>0.26</v>
      </c>
      <c r="X12" s="118">
        <v>0.26</v>
      </c>
      <c r="Y12" s="118" t="s">
        <v>160</v>
      </c>
      <c r="Z12" s="119">
        <v>0</v>
      </c>
      <c r="AB12" s="137" t="s">
        <v>239</v>
      </c>
      <c r="AC12" s="105" t="s">
        <v>226</v>
      </c>
      <c r="AD12" s="105" t="s">
        <v>227</v>
      </c>
      <c r="AE12" s="118">
        <v>0.26</v>
      </c>
      <c r="AF12" s="120" t="s">
        <v>240</v>
      </c>
      <c r="AG12" s="137" t="s">
        <v>241</v>
      </c>
      <c r="AI12" s="120" t="s">
        <v>230</v>
      </c>
      <c r="AJ12" s="120" t="s">
        <v>231</v>
      </c>
      <c r="AK12" s="120" t="s">
        <v>231</v>
      </c>
      <c r="AL12" s="120" t="s">
        <v>231</v>
      </c>
      <c r="AM12" s="120" t="s">
        <v>231</v>
      </c>
      <c r="AN12" s="120" t="s">
        <v>231</v>
      </c>
      <c r="AO12" s="120" t="s">
        <v>231</v>
      </c>
      <c r="AP12" s="120" t="s">
        <v>231</v>
      </c>
      <c r="AQ12" s="124" t="s">
        <v>231</v>
      </c>
      <c r="AR12" s="124" t="s">
        <v>231</v>
      </c>
      <c r="AS12" s="124" t="s">
        <v>231</v>
      </c>
      <c r="AT12" s="124" t="s">
        <v>231</v>
      </c>
      <c r="AU12" s="121" t="s">
        <v>242</v>
      </c>
      <c r="AV12" s="121" t="s">
        <v>243</v>
      </c>
      <c r="AW12" s="121" t="s">
        <v>231</v>
      </c>
      <c r="AX12" s="121" t="s">
        <v>231</v>
      </c>
      <c r="AY12" s="121" t="s">
        <v>231</v>
      </c>
      <c r="BA12" s="87" t="str">
        <f t="array" ref="BA12">_xlfn.CONCAT(IF(NOT(ISERROR(SEARCH(BA$10&amp;". ",$AI12:$AY12))),$AI12:$AY12,""))</f>
        <v>B. Percent of employees eligible for program</v>
      </c>
      <c r="BB12" s="87" t="str">
        <f t="array" ref="BB12">_xlfn.CONCAT(IF(NOT(ISERROR(SEARCH(BB$10&amp;". ",$AI12:$AY12))),$AI12:$AY12,""))</f>
        <v>C. Percent reduction in vehicle mode share of employee commute trips</v>
      </c>
      <c r="BC12" s="87" t="str">
        <f t="array" ref="BC12">_xlfn.CONCAT(IF(NOT(ISERROR(SEARCH(BC$10&amp;". ",$AI12:$AY12))),$AI12:$AY12,""))</f>
        <v>D. Adjustment from vehicle mode share to commute VMT</v>
      </c>
      <c r="BD12" s="87" t="str">
        <f t="array" ref="BD12">_xlfn.CONCAT(IF(NOT(ISERROR(SEARCH(BD$10&amp;". ",$AI12:$AY12))),$AI12:$AY12,""))</f>
        <v/>
      </c>
      <c r="BE12" s="87" t="str">
        <f t="array" ref="BE12">_xlfn.CONCAT(IF(NOT(ISERROR(SEARCH(BE$10&amp;". ",$AI12:$AY12))),$AI12:$AY12,""))</f>
        <v/>
      </c>
      <c r="BF12" s="87" t="str">
        <f t="array" ref="BF12">_xlfn.CONCAT(IF(NOT(ISERROR(SEARCH(BF$10&amp;". ",$AI12:$AY12))),$AI12:$AY12,""))</f>
        <v/>
      </c>
      <c r="BG12" s="87" t="str">
        <f t="array" ref="BG12">_xlfn.CONCAT(IF(NOT(ISERROR(SEARCH(BG$10&amp;". ",$AI12:$AY12))),$AI12:$AY12,""))</f>
        <v/>
      </c>
      <c r="BH12" s="87" t="str">
        <f t="array" ref="BH12">_xlfn.CONCAT(IF(NOT(ISERROR(SEARCH(BH$10&amp;". ",$AI12:$AY12))),$AI12:$AY12,""))</f>
        <v/>
      </c>
    </row>
    <row r="13" spans="1:60" ht="60" customHeight="1">
      <c r="A13" s="127" t="s">
        <v>217</v>
      </c>
      <c r="B13" s="163" t="s">
        <v>62</v>
      </c>
      <c r="C13" s="128" t="s">
        <v>244</v>
      </c>
      <c r="D13" s="128" t="s">
        <v>245</v>
      </c>
      <c r="E13" s="127" t="s">
        <v>63</v>
      </c>
      <c r="F13" s="128"/>
      <c r="G13" s="128" t="s">
        <v>246</v>
      </c>
      <c r="H13" s="128" t="s">
        <v>247</v>
      </c>
      <c r="I13" s="127" t="s">
        <v>221</v>
      </c>
      <c r="J13" s="127" t="s">
        <v>221</v>
      </c>
      <c r="K13" s="127" t="s">
        <v>222</v>
      </c>
      <c r="L13" s="132">
        <v>0.08</v>
      </c>
      <c r="M13" s="128" t="s">
        <v>248</v>
      </c>
      <c r="N13" s="128" t="s">
        <v>249</v>
      </c>
      <c r="O13" s="134">
        <v>0.04</v>
      </c>
      <c r="P13" s="134">
        <v>0.04</v>
      </c>
      <c r="Q13" s="134">
        <v>0.08</v>
      </c>
      <c r="R13" s="130">
        <v>0</v>
      </c>
      <c r="S13" s="130">
        <v>0.08</v>
      </c>
      <c r="T13" s="130">
        <v>0.01</v>
      </c>
      <c r="U13" s="130">
        <v>0.15</v>
      </c>
      <c r="V13" s="130">
        <v>0</v>
      </c>
      <c r="W13" s="130">
        <v>0.08</v>
      </c>
      <c r="X13" s="130">
        <v>0.08</v>
      </c>
      <c r="Y13" s="130" t="s">
        <v>160</v>
      </c>
      <c r="Z13" s="131">
        <v>0</v>
      </c>
      <c r="AA13" s="127"/>
      <c r="AB13" s="128" t="s">
        <v>250</v>
      </c>
      <c r="AC13" s="105" t="s">
        <v>226</v>
      </c>
      <c r="AD13" s="105" t="s">
        <v>227</v>
      </c>
      <c r="AE13" s="118">
        <v>0.08</v>
      </c>
      <c r="AF13" s="120" t="s">
        <v>251</v>
      </c>
      <c r="AG13" s="137" t="s">
        <v>252</v>
      </c>
      <c r="AI13" s="120" t="s">
        <v>230</v>
      </c>
      <c r="AJ13" s="120" t="s">
        <v>231</v>
      </c>
      <c r="AK13" s="120" t="s">
        <v>231</v>
      </c>
      <c r="AL13" s="120" t="s">
        <v>231</v>
      </c>
      <c r="AM13" s="120" t="s">
        <v>231</v>
      </c>
      <c r="AN13" s="120" t="s">
        <v>231</v>
      </c>
      <c r="AO13" s="120" t="s">
        <v>231</v>
      </c>
      <c r="AP13" s="120" t="s">
        <v>231</v>
      </c>
      <c r="AQ13" s="124" t="s">
        <v>231</v>
      </c>
      <c r="AR13" s="124" t="s">
        <v>231</v>
      </c>
      <c r="AS13" s="124" t="s">
        <v>231</v>
      </c>
      <c r="AT13" s="124" t="s">
        <v>231</v>
      </c>
      <c r="AU13" s="121" t="s">
        <v>253</v>
      </c>
      <c r="AV13" s="121" t="s">
        <v>231</v>
      </c>
      <c r="AW13" s="121" t="s">
        <v>231</v>
      </c>
      <c r="AX13" s="121" t="s">
        <v>231</v>
      </c>
      <c r="AY13" s="121" t="s">
        <v>231</v>
      </c>
      <c r="BA13" s="87" t="str">
        <f t="array" ref="BA13">_xlfn.CONCAT(IF(NOT(ISERROR(SEARCH(BA$10&amp;". ",$AI13:$AY13))),$AI13:$AY13,""))</f>
        <v>B. Percent of employees eligible for program</v>
      </c>
      <c r="BB13" s="87" t="str">
        <f t="array" ref="BB13">_xlfn.CONCAT(IF(NOT(ISERROR(SEARCH(BB$10&amp;". ",$AI13:$AY13))),$AI13:$AY13,""))</f>
        <v>C. Percent reduction in employee commute VMT</v>
      </c>
      <c r="BC13" s="87" t="str">
        <f t="array" ref="BC13">_xlfn.CONCAT(IF(NOT(ISERROR(SEARCH(BC$10&amp;". ",$AI13:$AY13))),$AI13:$AY13,""))</f>
        <v/>
      </c>
      <c r="BD13" s="87" t="str">
        <f t="array" ref="BD13">_xlfn.CONCAT(IF(NOT(ISERROR(SEARCH(BD$10&amp;". ",$AI13:$AY13))),$AI13:$AY13,""))</f>
        <v/>
      </c>
      <c r="BE13" s="87" t="str">
        <f t="array" ref="BE13">_xlfn.CONCAT(IF(NOT(ISERROR(SEARCH(BE$10&amp;". ",$AI13:$AY13))),$AI13:$AY13,""))</f>
        <v/>
      </c>
      <c r="BF13" s="87" t="str">
        <f t="array" ref="BF13">_xlfn.CONCAT(IF(NOT(ISERROR(SEARCH(BF$10&amp;". ",$AI13:$AY13))),$AI13:$AY13,""))</f>
        <v/>
      </c>
      <c r="BG13" s="87" t="str">
        <f t="array" ref="BG13">_xlfn.CONCAT(IF(NOT(ISERROR(SEARCH(BG$10&amp;". ",$AI13:$AY13))),$AI13:$AY13,""))</f>
        <v/>
      </c>
      <c r="BH13" s="87" t="str">
        <f t="array" ref="BH13">_xlfn.CONCAT(IF(NOT(ISERROR(SEARCH(BH$10&amp;". ",$AI13:$AY13))),$AI13:$AY13,""))</f>
        <v/>
      </c>
    </row>
    <row r="14" spans="1:60" ht="60" customHeight="1">
      <c r="A14" s="87" t="s">
        <v>217</v>
      </c>
      <c r="B14" s="162" t="s">
        <v>66</v>
      </c>
      <c r="C14" s="137" t="s">
        <v>254</v>
      </c>
      <c r="D14" s="137" t="s">
        <v>255</v>
      </c>
      <c r="E14" s="87" t="s">
        <v>67</v>
      </c>
      <c r="F14" s="137" t="s">
        <v>256</v>
      </c>
      <c r="G14" s="137" t="s">
        <v>257</v>
      </c>
      <c r="H14" s="137" t="s">
        <v>258</v>
      </c>
      <c r="I14" s="87" t="s">
        <v>222</v>
      </c>
      <c r="J14" s="87" t="s">
        <v>222</v>
      </c>
      <c r="K14" s="87" t="s">
        <v>221</v>
      </c>
      <c r="M14" s="137" t="s">
        <v>259</v>
      </c>
      <c r="N14" s="122">
        <v>5.5E-2</v>
      </c>
      <c r="O14" s="122"/>
      <c r="P14" s="122"/>
      <c r="Q14" s="122"/>
      <c r="R14" s="118"/>
      <c r="S14" s="118"/>
      <c r="T14" s="118">
        <v>3.0000000000000001E-3</v>
      </c>
      <c r="U14" s="118">
        <v>0.2</v>
      </c>
      <c r="V14" s="118">
        <v>0</v>
      </c>
      <c r="W14" s="118">
        <v>5.5E-2</v>
      </c>
      <c r="X14" s="118">
        <v>5.5E-2</v>
      </c>
      <c r="Y14" s="118" t="s">
        <v>160</v>
      </c>
      <c r="Z14" s="119" t="s">
        <v>231</v>
      </c>
      <c r="AB14" s="137" t="s">
        <v>260</v>
      </c>
      <c r="AC14" s="105" t="s">
        <v>226</v>
      </c>
      <c r="AD14" s="105" t="s">
        <v>227</v>
      </c>
      <c r="AE14" s="118">
        <v>5.5E-2</v>
      </c>
      <c r="AF14" s="120" t="s">
        <v>261</v>
      </c>
      <c r="AG14" s="137" t="s">
        <v>262</v>
      </c>
      <c r="AI14" s="120" t="s">
        <v>263</v>
      </c>
      <c r="AJ14" s="120" t="s">
        <v>264</v>
      </c>
      <c r="AK14" s="120" t="s">
        <v>265</v>
      </c>
      <c r="AL14" s="120" t="s">
        <v>266</v>
      </c>
      <c r="AM14" s="120" t="s">
        <v>231</v>
      </c>
      <c r="AN14" s="120" t="s">
        <v>231</v>
      </c>
      <c r="AO14" s="120" t="s">
        <v>231</v>
      </c>
      <c r="AP14" s="120" t="s">
        <v>231</v>
      </c>
      <c r="AQ14" s="124" t="s">
        <v>267</v>
      </c>
      <c r="AR14" s="124" t="s">
        <v>231</v>
      </c>
      <c r="AS14" s="124" t="s">
        <v>231</v>
      </c>
      <c r="AT14" s="124" t="s">
        <v>231</v>
      </c>
      <c r="AU14" s="121" t="s">
        <v>268</v>
      </c>
      <c r="AV14" s="121" t="s">
        <v>269</v>
      </c>
      <c r="AW14" s="121" t="s">
        <v>270</v>
      </c>
      <c r="AX14" s="121" t="s">
        <v>231</v>
      </c>
      <c r="AY14" s="121" t="s">
        <v>231</v>
      </c>
      <c r="BA14" s="87" t="str">
        <f t="array" ref="BA14">_xlfn.CONCAT(IF(NOT(ISERROR(SEARCH(BA$10&amp;". ",$AI14:$AY14))),$AI14:$AY14,""))</f>
        <v>B. Average transit fare without subsidy</v>
      </c>
      <c r="BB14" s="87" t="str">
        <f t="array" ref="BB14">_xlfn.CONCAT(IF(NOT(ISERROR(SEARCH(BB$10&amp;". ",$AI14:$AY14))),$AI14:$AY14,""))</f>
        <v>C. Subsidy amount</v>
      </c>
      <c r="BC14" s="87" t="str">
        <f t="array" ref="BC14">_xlfn.CONCAT(IF(NOT(ISERROR(SEARCH(BC$10&amp;". ",$AI14:$AY14))),$AI14:$AY14,""))</f>
        <v>D. Percent of employees/residents eligible for subsidy</v>
      </c>
      <c r="BD14" s="87" t="str">
        <f t="array" ref="BD14">_xlfn.CONCAT(IF(NOT(ISERROR(SEARCH(BD$10&amp;". ",$AI14:$AY14))),$AI14:$AY14,""))</f>
        <v>E. Percent of project-generated VMT from employees/residents</v>
      </c>
      <c r="BE14" s="87" t="str">
        <f t="array" ref="BE14">_xlfn.CONCAT(IF(NOT(ISERROR(SEARCH(BE$10&amp;". ",$AI14:$AY14))),$AI14:$AY14,""))</f>
        <v>F. Transit mode share of all trips or work trips</v>
      </c>
      <c r="BF14" s="87" t="str">
        <f t="array" ref="BF14">_xlfn.CONCAT(IF(NOT(ISERROR(SEARCH(BF$10&amp;". ",$AI14:$AY14))),$AI14:$AY14,""))</f>
        <v>G. Elasticity of transit boardings with respect to transit fare price</v>
      </c>
      <c r="BG14" s="87" t="str">
        <f t="array" ref="BG14">_xlfn.CONCAT(IF(NOT(ISERROR(SEARCH(BG$10&amp;". ",$AI14:$AY14))),$AI14:$AY14,""))</f>
        <v>H. Percent of transit trips that would otherwise be made in a vehicle</v>
      </c>
      <c r="BH14" s="87" t="str">
        <f t="array" ref="BH14">_xlfn.CONCAT(IF(NOT(ISERROR(SEARCH(BH$10&amp;". ",$AI14:$AY14))),$AI14:$AY14,""))</f>
        <v>I. Conversion factor of vehicle trips to VMT</v>
      </c>
    </row>
    <row r="15" spans="1:60" ht="60" customHeight="1">
      <c r="A15" s="87" t="s">
        <v>217</v>
      </c>
      <c r="B15" s="171" t="s">
        <v>70</v>
      </c>
      <c r="C15" s="137"/>
      <c r="D15" s="137"/>
      <c r="E15" s="87" t="s">
        <v>71</v>
      </c>
      <c r="N15" s="122"/>
      <c r="O15" s="122"/>
      <c r="P15" s="122"/>
      <c r="Q15" s="122"/>
      <c r="R15" s="118"/>
      <c r="S15" s="118"/>
      <c r="T15" s="118"/>
      <c r="U15" s="118"/>
      <c r="V15" s="118"/>
      <c r="W15" s="118"/>
      <c r="X15" s="118"/>
      <c r="Y15" s="118"/>
      <c r="Z15" s="119"/>
      <c r="AB15" s="137"/>
      <c r="AC15" s="105" t="s">
        <v>226</v>
      </c>
      <c r="AD15" s="105" t="s">
        <v>271</v>
      </c>
      <c r="AE15" s="118">
        <v>5.5E-2</v>
      </c>
      <c r="AF15" s="120" t="s">
        <v>272</v>
      </c>
      <c r="AG15" s="137" t="s">
        <v>262</v>
      </c>
      <c r="AI15" s="120"/>
      <c r="AJ15" s="120"/>
      <c r="AK15" s="120"/>
      <c r="AL15" s="120"/>
      <c r="AM15" s="120"/>
      <c r="AN15" s="120"/>
      <c r="AO15" s="120"/>
      <c r="AP15" s="120"/>
      <c r="AQ15" s="124"/>
      <c r="AR15" s="124"/>
      <c r="AS15" s="124"/>
      <c r="AT15" s="124"/>
      <c r="AU15" s="121"/>
      <c r="AV15" s="121"/>
      <c r="AW15" s="121"/>
      <c r="AX15" s="121"/>
      <c r="AY15" s="121"/>
    </row>
    <row r="16" spans="1:60" ht="60" customHeight="1">
      <c r="A16" s="87" t="s">
        <v>217</v>
      </c>
      <c r="B16" s="87" t="s">
        <v>273</v>
      </c>
      <c r="C16" s="137" t="s">
        <v>254</v>
      </c>
      <c r="D16" s="137" t="s">
        <v>274</v>
      </c>
      <c r="E16" s="87" t="s">
        <v>275</v>
      </c>
      <c r="G16" s="137" t="s">
        <v>246</v>
      </c>
      <c r="H16" s="137" t="s">
        <v>276</v>
      </c>
      <c r="I16" s="87" t="s">
        <v>221</v>
      </c>
      <c r="J16" s="109" t="s">
        <v>222</v>
      </c>
      <c r="K16" s="87" t="s">
        <v>222</v>
      </c>
      <c r="L16" s="116">
        <v>0.109</v>
      </c>
      <c r="M16" s="137" t="s">
        <v>259</v>
      </c>
      <c r="N16" s="137" t="s">
        <v>277</v>
      </c>
      <c r="R16" s="118">
        <v>0</v>
      </c>
      <c r="S16" s="118">
        <v>0.109</v>
      </c>
      <c r="T16" s="118">
        <v>3.0000000000000001E-3</v>
      </c>
      <c r="U16" s="118">
        <v>0.2</v>
      </c>
      <c r="V16" s="118">
        <v>0</v>
      </c>
      <c r="W16" s="118">
        <v>5.5E-2</v>
      </c>
      <c r="X16" s="118" t="s">
        <v>231</v>
      </c>
      <c r="Y16" s="118" t="s">
        <v>231</v>
      </c>
      <c r="Z16" s="119" t="s">
        <v>231</v>
      </c>
      <c r="AA16" s="87" t="s">
        <v>278</v>
      </c>
      <c r="AB16" s="137" t="s">
        <v>279</v>
      </c>
      <c r="AC16" s="105" t="s">
        <v>231</v>
      </c>
      <c r="AD16" s="105" t="s">
        <v>231</v>
      </c>
      <c r="AE16" s="87" t="s">
        <v>231</v>
      </c>
      <c r="AF16" s="106" t="s">
        <v>231</v>
      </c>
      <c r="AG16" s="87" t="s">
        <v>231</v>
      </c>
      <c r="AH16" s="87" t="s">
        <v>231</v>
      </c>
      <c r="AI16" s="120" t="s">
        <v>231</v>
      </c>
      <c r="AJ16" s="120" t="s">
        <v>231</v>
      </c>
      <c r="AK16" s="120" t="s">
        <v>231</v>
      </c>
      <c r="AL16" s="120" t="s">
        <v>231</v>
      </c>
      <c r="AM16" s="120" t="s">
        <v>231</v>
      </c>
      <c r="AN16" s="120" t="s">
        <v>231</v>
      </c>
      <c r="AO16" s="120" t="s">
        <v>231</v>
      </c>
      <c r="AP16" s="120" t="s">
        <v>231</v>
      </c>
      <c r="AQ16" s="124" t="s">
        <v>231</v>
      </c>
      <c r="AR16" s="124" t="s">
        <v>231</v>
      </c>
      <c r="AS16" s="124" t="s">
        <v>231</v>
      </c>
      <c r="AT16" s="124" t="s">
        <v>231</v>
      </c>
      <c r="AU16" s="121" t="s">
        <v>231</v>
      </c>
      <c r="AV16" s="121" t="s">
        <v>231</v>
      </c>
      <c r="AW16" s="121" t="s">
        <v>231</v>
      </c>
      <c r="AX16" s="121" t="s">
        <v>231</v>
      </c>
      <c r="AY16" s="121" t="s">
        <v>231</v>
      </c>
      <c r="BA16" s="87" t="str">
        <f t="array" ref="BA16">_xlfn.CONCAT(IF(NOT(ISERROR(SEARCH(BA$10&amp;". ",$AI16:$AY16))),$AI16:$AY16,""))</f>
        <v/>
      </c>
      <c r="BB16" s="87" t="str">
        <f t="array" ref="BB16">_xlfn.CONCAT(IF(NOT(ISERROR(SEARCH(BB$10&amp;". ",$AI16:$AY16))),$AI16:$AY16,""))</f>
        <v/>
      </c>
      <c r="BC16" s="87" t="str">
        <f t="array" ref="BC16">_xlfn.CONCAT(IF(NOT(ISERROR(SEARCH(BC$10&amp;". ",$AI16:$AY16))),$AI16:$AY16,""))</f>
        <v/>
      </c>
      <c r="BD16" s="87" t="str">
        <f t="array" ref="BD16">_xlfn.CONCAT(IF(NOT(ISERROR(SEARCH(BD$10&amp;". ",$AI16:$AY16))),$AI16:$AY16,""))</f>
        <v/>
      </c>
      <c r="BE16" s="87" t="str">
        <f t="array" ref="BE16">_xlfn.CONCAT(IF(NOT(ISERROR(SEARCH(BE$10&amp;". ",$AI16:$AY16))),$AI16:$AY16,""))</f>
        <v/>
      </c>
      <c r="BF16" s="87" t="str">
        <f t="array" ref="BF16">_xlfn.CONCAT(IF(NOT(ISERROR(SEARCH(BF$10&amp;". ",$AI16:$AY16))),$AI16:$AY16,""))</f>
        <v/>
      </c>
      <c r="BG16" s="87" t="str">
        <f t="array" ref="BG16">_xlfn.CONCAT(IF(NOT(ISERROR(SEARCH(BG$10&amp;". ",$AI16:$AY16))),$AI16:$AY16,""))</f>
        <v/>
      </c>
      <c r="BH16" s="87" t="str">
        <f t="array" ref="BH16">_xlfn.CONCAT(IF(NOT(ISERROR(SEARCH(BH$10&amp;". ",$AI16:$AY16))),$AI16:$AY16,""))</f>
        <v/>
      </c>
    </row>
    <row r="17" spans="1:60" ht="60" customHeight="1">
      <c r="A17" s="87" t="s">
        <v>217</v>
      </c>
      <c r="B17" s="162" t="s">
        <v>74</v>
      </c>
      <c r="C17" s="137" t="s">
        <v>280</v>
      </c>
      <c r="D17" s="137" t="s">
        <v>281</v>
      </c>
      <c r="E17" s="87" t="s">
        <v>75</v>
      </c>
      <c r="G17" s="137" t="s">
        <v>246</v>
      </c>
      <c r="H17" s="137" t="s">
        <v>282</v>
      </c>
      <c r="I17" s="87" t="s">
        <v>222</v>
      </c>
      <c r="J17" s="87" t="s">
        <v>222</v>
      </c>
      <c r="K17" s="87" t="s">
        <v>222</v>
      </c>
      <c r="L17" s="116">
        <v>7.0999999999999994E-2</v>
      </c>
      <c r="M17" s="137" t="s">
        <v>283</v>
      </c>
      <c r="N17" s="136" t="s">
        <v>284</v>
      </c>
      <c r="O17" s="136"/>
      <c r="P17" s="136"/>
      <c r="Q17" s="136"/>
      <c r="R17" s="118">
        <v>0</v>
      </c>
      <c r="S17" s="118">
        <v>7.0999999999999994E-2</v>
      </c>
      <c r="T17" s="118">
        <v>3.0000000000000001E-3</v>
      </c>
      <c r="U17" s="118">
        <v>0.13400000000000001</v>
      </c>
      <c r="V17" s="118">
        <v>0</v>
      </c>
      <c r="W17" s="118">
        <v>0.104</v>
      </c>
      <c r="X17" s="118">
        <v>0.104</v>
      </c>
      <c r="Y17" s="118" t="s">
        <v>160</v>
      </c>
      <c r="Z17" s="119">
        <v>3.3000000000000002E-2</v>
      </c>
      <c r="AB17" s="137" t="s">
        <v>285</v>
      </c>
      <c r="AC17" s="105" t="s">
        <v>226</v>
      </c>
      <c r="AD17" s="105" t="s">
        <v>227</v>
      </c>
      <c r="AE17" s="118">
        <v>0.104</v>
      </c>
      <c r="AF17" s="120" t="s">
        <v>286</v>
      </c>
      <c r="AG17" s="137" t="s">
        <v>287</v>
      </c>
      <c r="AI17" s="120" t="s">
        <v>231</v>
      </c>
      <c r="AJ17" s="120" t="s">
        <v>231</v>
      </c>
      <c r="AK17" s="120" t="s">
        <v>231</v>
      </c>
      <c r="AL17" s="120" t="s">
        <v>231</v>
      </c>
      <c r="AM17" s="120" t="s">
        <v>231</v>
      </c>
      <c r="AN17" s="120" t="s">
        <v>231</v>
      </c>
      <c r="AO17" s="120" t="s">
        <v>231</v>
      </c>
      <c r="AP17" s="120" t="s">
        <v>231</v>
      </c>
      <c r="AQ17" s="124" t="s">
        <v>288</v>
      </c>
      <c r="AR17" s="124" t="s">
        <v>289</v>
      </c>
      <c r="AS17" s="124" t="s">
        <v>290</v>
      </c>
      <c r="AT17" s="124" t="s">
        <v>231</v>
      </c>
      <c r="AU17" s="121" t="s">
        <v>291</v>
      </c>
      <c r="AV17" s="121" t="s">
        <v>231</v>
      </c>
      <c r="AW17" s="121" t="s">
        <v>231</v>
      </c>
      <c r="AX17" s="121" t="s">
        <v>231</v>
      </c>
      <c r="AY17" s="121" t="s">
        <v>231</v>
      </c>
      <c r="BA17" s="87" t="str">
        <f t="array" ref="BA17">_xlfn.CONCAT(IF(NOT(ISERROR(SEARCH(BA$10&amp;". ",$AI17:$AY17))),$AI17:$AY17,""))</f>
        <v>B. Percent of employees that participate in
vanpool program</v>
      </c>
      <c r="BB17" s="87" t="str">
        <f t="array" ref="BB17">_xlfn.CONCAT(IF(NOT(ISERROR(SEARCH(BB$10&amp;". ",$AI17:$AY17))),$AI17:$AY17,""))</f>
        <v>C. Average length of one-way vehicle commute
trip in region</v>
      </c>
      <c r="BC17" s="87" t="str">
        <f t="array" ref="BC17">_xlfn.CONCAT(IF(NOT(ISERROR(SEARCH(BC$10&amp;". ",$AI17:$AY17))),$AI17:$AY17,""))</f>
        <v>D. Average length of one-way vanpool commute
trip</v>
      </c>
      <c r="BD17" s="87" t="str">
        <f t="array" ref="BD17">_xlfn.CONCAT(IF(NOT(ISERROR(SEARCH(BD$10&amp;". ",$AI17:$AY17))),$AI17:$AY17,""))</f>
        <v>E. Average vanpool occupancy (including driver)</v>
      </c>
      <c r="BE17" s="87" t="str">
        <f t="array" ref="BE17">_xlfn.CONCAT(IF(NOT(ISERROR(SEARCH(BE$10&amp;". ",$AI17:$AY17))),$AI17:$AY17,""))</f>
        <v/>
      </c>
      <c r="BF17" s="87" t="str">
        <f t="array" ref="BF17">_xlfn.CONCAT(IF(NOT(ISERROR(SEARCH(BF$10&amp;". ",$AI17:$AY17))),$AI17:$AY17,""))</f>
        <v/>
      </c>
      <c r="BG17" s="87" t="str">
        <f t="array" ref="BG17">_xlfn.CONCAT(IF(NOT(ISERROR(SEARCH(BG$10&amp;". ",$AI17:$AY17))),$AI17:$AY17,""))</f>
        <v/>
      </c>
      <c r="BH17" s="87" t="str">
        <f t="array" ref="BH17">_xlfn.CONCAT(IF(NOT(ISERROR(SEARCH(BH$10&amp;". ",$AI17:$AY17))),$AI17:$AY17,""))</f>
        <v/>
      </c>
    </row>
    <row r="18" spans="1:60" ht="60" customHeight="1">
      <c r="A18" s="127" t="s">
        <v>217</v>
      </c>
      <c r="B18" s="163" t="s">
        <v>78</v>
      </c>
      <c r="C18" s="128" t="s">
        <v>292</v>
      </c>
      <c r="D18" s="128" t="s">
        <v>293</v>
      </c>
      <c r="E18" s="127" t="s">
        <v>79</v>
      </c>
      <c r="F18" s="128"/>
      <c r="G18" s="128" t="s">
        <v>294</v>
      </c>
      <c r="H18" s="128" t="s">
        <v>295</v>
      </c>
      <c r="I18" s="127" t="s">
        <v>222</v>
      </c>
      <c r="J18" s="127" t="s">
        <v>296</v>
      </c>
      <c r="K18" s="127" t="s">
        <v>222</v>
      </c>
      <c r="L18" s="132">
        <v>0.44</v>
      </c>
      <c r="M18" s="128" t="s">
        <v>297</v>
      </c>
      <c r="N18" s="128" t="s">
        <v>293</v>
      </c>
      <c r="O18" s="128"/>
      <c r="P18" s="128"/>
      <c r="Q18" s="128"/>
      <c r="R18" s="130">
        <v>0</v>
      </c>
      <c r="S18" s="130">
        <v>0.44</v>
      </c>
      <c r="T18" s="130">
        <v>6.9999999999999999E-4</v>
      </c>
      <c r="U18" s="130">
        <v>5.5E-2</v>
      </c>
      <c r="V18" s="130"/>
      <c r="W18" s="130"/>
      <c r="X18" s="130">
        <v>0.44</v>
      </c>
      <c r="Y18" s="130" t="s">
        <v>298</v>
      </c>
      <c r="Z18" s="131">
        <v>0</v>
      </c>
      <c r="AA18" s="127"/>
      <c r="AB18" s="128" t="s">
        <v>299</v>
      </c>
      <c r="AC18" s="105" t="s">
        <v>226</v>
      </c>
      <c r="AD18" s="105" t="s">
        <v>227</v>
      </c>
      <c r="AE18" s="87" t="s">
        <v>231</v>
      </c>
      <c r="AF18" s="106" t="s">
        <v>231</v>
      </c>
      <c r="AG18" s="87" t="s">
        <v>231</v>
      </c>
      <c r="AH18" s="87" t="s">
        <v>231</v>
      </c>
      <c r="AI18" s="120" t="s">
        <v>231</v>
      </c>
      <c r="AJ18" s="120" t="s">
        <v>231</v>
      </c>
      <c r="AK18" s="120" t="s">
        <v>231</v>
      </c>
      <c r="AL18" s="120" t="s">
        <v>231</v>
      </c>
      <c r="AM18" s="120" t="s">
        <v>231</v>
      </c>
      <c r="AN18" s="120" t="s">
        <v>231</v>
      </c>
      <c r="AO18" s="120" t="s">
        <v>231</v>
      </c>
      <c r="AP18" s="120" t="s">
        <v>231</v>
      </c>
      <c r="AQ18" s="124" t="s">
        <v>231</v>
      </c>
      <c r="AR18" s="124" t="s">
        <v>231</v>
      </c>
      <c r="AS18" s="124" t="s">
        <v>231</v>
      </c>
      <c r="AT18" s="124" t="s">
        <v>231</v>
      </c>
      <c r="AU18" s="121" t="s">
        <v>231</v>
      </c>
      <c r="AV18" s="121" t="s">
        <v>231</v>
      </c>
      <c r="AW18" s="121" t="s">
        <v>231</v>
      </c>
      <c r="AX18" s="121" t="s">
        <v>231</v>
      </c>
      <c r="AY18" s="121" t="s">
        <v>231</v>
      </c>
      <c r="BA18" s="87" t="str">
        <f t="array" ref="BA18">_xlfn.CONCAT(IF(NOT(ISERROR(SEARCH(BA$10&amp;". ",$AI18:$AY18))),$AI18:$AY18,""))</f>
        <v/>
      </c>
      <c r="BB18" s="87" t="str">
        <f t="array" ref="BB18">_xlfn.CONCAT(IF(NOT(ISERROR(SEARCH(BB$10&amp;". ",$AI18:$AY18))),$AI18:$AY18,""))</f>
        <v/>
      </c>
      <c r="BC18" s="87" t="str">
        <f t="array" ref="BC18">_xlfn.CONCAT(IF(NOT(ISERROR(SEARCH(BC$10&amp;". ",$AI18:$AY18))),$AI18:$AY18,""))</f>
        <v/>
      </c>
      <c r="BD18" s="87" t="str">
        <f t="array" ref="BD18">_xlfn.CONCAT(IF(NOT(ISERROR(SEARCH(BD$10&amp;". ",$AI18:$AY18))),$AI18:$AY18,""))</f>
        <v/>
      </c>
      <c r="BE18" s="87" t="str">
        <f t="array" ref="BE18">_xlfn.CONCAT(IF(NOT(ISERROR(SEARCH(BE$10&amp;". ",$AI18:$AY18))),$AI18:$AY18,""))</f>
        <v/>
      </c>
      <c r="BF18" s="87" t="str">
        <f t="array" ref="BF18">_xlfn.CONCAT(IF(NOT(ISERROR(SEARCH(BF$10&amp;". ",$AI18:$AY18))),$AI18:$AY18,""))</f>
        <v/>
      </c>
      <c r="BG18" s="87" t="str">
        <f t="array" ref="BG18">_xlfn.CONCAT(IF(NOT(ISERROR(SEARCH(BG$10&amp;". ",$AI18:$AY18))),$AI18:$AY18,""))</f>
        <v/>
      </c>
      <c r="BH18" s="87" t="str">
        <f t="array" ref="BH18">_xlfn.CONCAT(IF(NOT(ISERROR(SEARCH(BH$10&amp;". ",$AI18:$AY18))),$AI18:$AY18,""))</f>
        <v/>
      </c>
    </row>
    <row r="19" spans="1:60" ht="60" customHeight="1">
      <c r="A19" s="87" t="s">
        <v>217</v>
      </c>
      <c r="B19" s="162" t="s">
        <v>86</v>
      </c>
      <c r="C19" s="137" t="s">
        <v>300</v>
      </c>
      <c r="D19" s="137" t="s">
        <v>301</v>
      </c>
      <c r="E19" s="87" t="s">
        <v>87</v>
      </c>
      <c r="H19" s="137" t="s">
        <v>302</v>
      </c>
      <c r="I19" s="87" t="s">
        <v>222</v>
      </c>
      <c r="J19" s="87" t="s">
        <v>222</v>
      </c>
      <c r="K19" s="87" t="s">
        <v>221</v>
      </c>
      <c r="L19" s="123">
        <v>0.14000000000000001</v>
      </c>
      <c r="M19" s="137" t="s">
        <v>303</v>
      </c>
      <c r="N19" s="136" t="s">
        <v>304</v>
      </c>
      <c r="O19" s="136"/>
      <c r="P19" s="136"/>
      <c r="Q19" s="136"/>
      <c r="R19" s="118">
        <v>0</v>
      </c>
      <c r="S19" s="118">
        <v>0.14000000000000001</v>
      </c>
      <c r="T19" s="118">
        <v>5.0000000000000001E-3</v>
      </c>
      <c r="U19" s="118">
        <v>0.246</v>
      </c>
      <c r="V19" s="118">
        <v>0</v>
      </c>
      <c r="W19" s="118">
        <v>0.31</v>
      </c>
      <c r="X19" s="118">
        <v>0.31</v>
      </c>
      <c r="Y19" s="118" t="s">
        <v>160</v>
      </c>
      <c r="Z19" s="119">
        <v>0.16999999999999998</v>
      </c>
      <c r="AA19" s="87" t="s">
        <v>305</v>
      </c>
      <c r="AB19" s="137" t="s">
        <v>306</v>
      </c>
      <c r="AC19" s="105" t="s">
        <v>226</v>
      </c>
      <c r="AD19" s="105" t="s">
        <v>271</v>
      </c>
      <c r="AE19" s="118">
        <v>0.31</v>
      </c>
      <c r="AF19" s="120" t="s">
        <v>307</v>
      </c>
      <c r="AG19" s="137" t="s">
        <v>308</v>
      </c>
      <c r="AI19" s="120" t="s">
        <v>231</v>
      </c>
      <c r="AJ19" s="120" t="s">
        <v>231</v>
      </c>
      <c r="AK19" s="120" t="s">
        <v>231</v>
      </c>
      <c r="AL19" s="120" t="s">
        <v>231</v>
      </c>
      <c r="AM19" s="120" t="s">
        <v>231</v>
      </c>
      <c r="AN19" s="120" t="s">
        <v>231</v>
      </c>
      <c r="AO19" s="120" t="s">
        <v>231</v>
      </c>
      <c r="AP19" s="120" t="s">
        <v>231</v>
      </c>
      <c r="AQ19" s="124" t="s">
        <v>309</v>
      </c>
      <c r="AR19" s="124" t="s">
        <v>310</v>
      </c>
      <c r="AS19" s="124" t="s">
        <v>231</v>
      </c>
      <c r="AT19" s="124" t="s">
        <v>231</v>
      </c>
      <c r="AU19" s="121" t="s">
        <v>311</v>
      </c>
      <c r="AV19" s="121" t="s">
        <v>231</v>
      </c>
      <c r="AW19" s="121" t="s">
        <v>231</v>
      </c>
      <c r="AX19" s="121" t="s">
        <v>231</v>
      </c>
      <c r="AY19" s="121" t="s">
        <v>231</v>
      </c>
      <c r="BA19" s="87" t="str">
        <f t="array" ref="BA19">_xlfn.CONCAT(IF(NOT(ISERROR(SEARCH(BA$10&amp;". ",$AI19:$AY19))),$AI19:$AY19,""))</f>
        <v>B. Transit mode share in surrounding city</v>
      </c>
      <c r="BB19" s="87" t="str">
        <f t="array" ref="BB19">_xlfn.CONCAT(IF(NOT(ISERROR(SEARCH(BB$10&amp;". ",$AI19:$AY19))),$AI19:$AY19,""))</f>
        <v>C. Ratio of transit mode share for TOD area with
measure compared to existing transit mode
share in surrounding city</v>
      </c>
      <c r="BC19" s="87" t="str">
        <f t="array" ref="BC19">_xlfn.CONCAT(IF(NOT(ISERROR(SEARCH(BC$10&amp;". ",$AI19:$AY19))),$AI19:$AY19,""))</f>
        <v>D. Auto mode share in surrounding city</v>
      </c>
      <c r="BD19" s="87" t="str">
        <f t="array" ref="BD19">_xlfn.CONCAT(IF(NOT(ISERROR(SEARCH(BD$10&amp;". ",$AI19:$AY19))),$AI19:$AY19,""))</f>
        <v/>
      </c>
      <c r="BE19" s="87" t="str">
        <f t="array" ref="BE19">_xlfn.CONCAT(IF(NOT(ISERROR(SEARCH(BE$10&amp;". ",$AI19:$AY19))),$AI19:$AY19,""))</f>
        <v/>
      </c>
      <c r="BF19" s="87" t="str">
        <f t="array" ref="BF19">_xlfn.CONCAT(IF(NOT(ISERROR(SEARCH(BF$10&amp;". ",$AI19:$AY19))),$AI19:$AY19,""))</f>
        <v/>
      </c>
      <c r="BG19" s="87" t="str">
        <f t="array" ref="BG19">_xlfn.CONCAT(IF(NOT(ISERROR(SEARCH(BG$10&amp;". ",$AI19:$AY19))),$AI19:$AY19,""))</f>
        <v/>
      </c>
      <c r="BH19" s="87" t="str">
        <f t="array" ref="BH19">_xlfn.CONCAT(IF(NOT(ISERROR(SEARCH(BH$10&amp;". ",$AI19:$AY19))),$AI19:$AY19,""))</f>
        <v/>
      </c>
    </row>
    <row r="20" spans="1:60" ht="60" customHeight="1">
      <c r="A20" s="87" t="s">
        <v>217</v>
      </c>
      <c r="B20" s="87" t="s">
        <v>312</v>
      </c>
      <c r="C20" s="137" t="s">
        <v>313</v>
      </c>
      <c r="D20" s="137" t="s">
        <v>293</v>
      </c>
      <c r="E20" s="87" t="s">
        <v>314</v>
      </c>
      <c r="F20" s="137" t="s">
        <v>315</v>
      </c>
      <c r="H20" s="137" t="s">
        <v>316</v>
      </c>
      <c r="I20" s="87" t="s">
        <v>222</v>
      </c>
      <c r="J20" s="87" t="s">
        <v>296</v>
      </c>
      <c r="K20" s="87" t="s">
        <v>221</v>
      </c>
      <c r="L20" s="123">
        <v>0.3</v>
      </c>
      <c r="M20" s="137" t="s">
        <v>317</v>
      </c>
      <c r="N20" s="137" t="s">
        <v>293</v>
      </c>
      <c r="R20" s="118">
        <v>0</v>
      </c>
      <c r="S20" s="118">
        <v>0.3</v>
      </c>
      <c r="T20" s="118">
        <v>0.09</v>
      </c>
      <c r="U20" s="118">
        <v>0.3</v>
      </c>
      <c r="V20" s="118"/>
      <c r="W20" s="118"/>
      <c r="X20" s="118" t="s">
        <v>231</v>
      </c>
      <c r="Y20" s="118" t="s">
        <v>231</v>
      </c>
      <c r="Z20" s="119" t="s">
        <v>231</v>
      </c>
      <c r="AA20" s="87" t="s">
        <v>318</v>
      </c>
      <c r="AB20" s="137" t="s">
        <v>279</v>
      </c>
      <c r="AC20" s="105" t="s">
        <v>231</v>
      </c>
      <c r="AD20" s="105" t="s">
        <v>231</v>
      </c>
      <c r="AE20" s="87" t="s">
        <v>231</v>
      </c>
      <c r="AF20" s="106" t="s">
        <v>231</v>
      </c>
      <c r="AG20" s="87" t="s">
        <v>231</v>
      </c>
      <c r="AH20" s="87" t="s">
        <v>231</v>
      </c>
      <c r="AI20" s="120" t="s">
        <v>231</v>
      </c>
      <c r="AJ20" s="120" t="s">
        <v>231</v>
      </c>
      <c r="AK20" s="120" t="s">
        <v>231</v>
      </c>
      <c r="AL20" s="120" t="s">
        <v>231</v>
      </c>
      <c r="AM20" s="120" t="s">
        <v>231</v>
      </c>
      <c r="AN20" s="120" t="s">
        <v>231</v>
      </c>
      <c r="AO20" s="120" t="s">
        <v>231</v>
      </c>
      <c r="AP20" s="120" t="s">
        <v>231</v>
      </c>
      <c r="AQ20" s="124" t="s">
        <v>231</v>
      </c>
      <c r="AR20" s="124" t="s">
        <v>231</v>
      </c>
      <c r="AS20" s="124" t="s">
        <v>231</v>
      </c>
      <c r="AT20" s="124" t="s">
        <v>231</v>
      </c>
      <c r="AU20" s="121" t="s">
        <v>231</v>
      </c>
      <c r="AV20" s="121" t="s">
        <v>231</v>
      </c>
      <c r="AW20" s="121" t="s">
        <v>231</v>
      </c>
      <c r="AX20" s="121" t="s">
        <v>231</v>
      </c>
      <c r="AY20" s="121" t="s">
        <v>231</v>
      </c>
      <c r="BA20" s="87" t="str">
        <f t="array" ref="BA20">_xlfn.CONCAT(IF(NOT(ISERROR(SEARCH(BA$10&amp;". ",$AI20:$AY20))),$AI20:$AY20,""))</f>
        <v/>
      </c>
      <c r="BB20" s="87" t="str">
        <f t="array" ref="BB20">_xlfn.CONCAT(IF(NOT(ISERROR(SEARCH(BB$10&amp;". ",$AI20:$AY20))),$AI20:$AY20,""))</f>
        <v/>
      </c>
      <c r="BC20" s="87" t="str">
        <f t="array" ref="BC20">_xlfn.CONCAT(IF(NOT(ISERROR(SEARCH(BC$10&amp;". ",$AI20:$AY20))),$AI20:$AY20,""))</f>
        <v/>
      </c>
      <c r="BD20" s="87" t="str">
        <f t="array" ref="BD20">_xlfn.CONCAT(IF(NOT(ISERROR(SEARCH(BD$10&amp;". ",$AI20:$AY20))),$AI20:$AY20,""))</f>
        <v/>
      </c>
      <c r="BE20" s="87" t="str">
        <f t="array" ref="BE20">_xlfn.CONCAT(IF(NOT(ISERROR(SEARCH(BE$10&amp;". ",$AI20:$AY20))),$AI20:$AY20,""))</f>
        <v/>
      </c>
      <c r="BF20" s="87" t="str">
        <f t="array" ref="BF20">_xlfn.CONCAT(IF(NOT(ISERROR(SEARCH(BF$10&amp;". ",$AI20:$AY20))),$AI20:$AY20,""))</f>
        <v/>
      </c>
      <c r="BG20" s="87" t="str">
        <f t="array" ref="BG20">_xlfn.CONCAT(IF(NOT(ISERROR(SEARCH(BG$10&amp;". ",$AI20:$AY20))),$AI20:$AY20,""))</f>
        <v/>
      </c>
      <c r="BH20" s="87" t="str">
        <f t="array" ref="BH20">_xlfn.CONCAT(IF(NOT(ISERROR(SEARCH(BH$10&amp;". ",$AI20:$AY20))),$AI20:$AY20,""))</f>
        <v/>
      </c>
    </row>
    <row r="21" spans="1:60" ht="60" customHeight="1">
      <c r="A21" s="87" t="s">
        <v>217</v>
      </c>
      <c r="B21" s="162" t="s">
        <v>89</v>
      </c>
      <c r="C21" s="137" t="s">
        <v>319</v>
      </c>
      <c r="D21" s="137" t="s">
        <v>320</v>
      </c>
      <c r="E21" s="87" t="s">
        <v>90</v>
      </c>
      <c r="F21" s="137" t="s">
        <v>321</v>
      </c>
      <c r="H21" s="137" t="s">
        <v>322</v>
      </c>
      <c r="I21" s="87" t="s">
        <v>221</v>
      </c>
      <c r="J21" s="87" t="s">
        <v>222</v>
      </c>
      <c r="K21" s="87" t="s">
        <v>222</v>
      </c>
      <c r="M21" s="137" t="s">
        <v>323</v>
      </c>
      <c r="N21" s="137" t="s">
        <v>324</v>
      </c>
      <c r="R21" s="118"/>
      <c r="S21" s="118"/>
      <c r="T21" s="118">
        <v>8.0000000000000002E-3</v>
      </c>
      <c r="U21" s="118">
        <v>0.3</v>
      </c>
      <c r="V21" s="118">
        <v>0</v>
      </c>
      <c r="W21" s="118">
        <v>0.3</v>
      </c>
      <c r="X21" s="118">
        <v>0.3</v>
      </c>
      <c r="Y21" s="118" t="s">
        <v>160</v>
      </c>
      <c r="Z21" s="119" t="s">
        <v>231</v>
      </c>
      <c r="AB21" s="137" t="s">
        <v>260</v>
      </c>
      <c r="AC21" s="105" t="s">
        <v>226</v>
      </c>
      <c r="AD21" s="105" t="s">
        <v>271</v>
      </c>
      <c r="AE21" s="118">
        <v>0.3</v>
      </c>
      <c r="AF21" s="120" t="s">
        <v>325</v>
      </c>
      <c r="AG21" s="137" t="s">
        <v>326</v>
      </c>
      <c r="AI21" s="120" t="s">
        <v>327</v>
      </c>
      <c r="AJ21" s="120" t="s">
        <v>231</v>
      </c>
      <c r="AK21" s="120" t="s">
        <v>231</v>
      </c>
      <c r="AL21" s="120" t="s">
        <v>231</v>
      </c>
      <c r="AM21" s="120" t="s">
        <v>231</v>
      </c>
      <c r="AN21" s="120" t="s">
        <v>231</v>
      </c>
      <c r="AO21" s="120" t="s">
        <v>231</v>
      </c>
      <c r="AP21" s="120" t="s">
        <v>231</v>
      </c>
      <c r="AQ21" s="124" t="s">
        <v>231</v>
      </c>
      <c r="AR21" s="124" t="s">
        <v>231</v>
      </c>
      <c r="AS21" s="124" t="s">
        <v>231</v>
      </c>
      <c r="AT21" s="124" t="s">
        <v>231</v>
      </c>
      <c r="AU21" s="121" t="s">
        <v>328</v>
      </c>
      <c r="AV21" s="121" t="s">
        <v>329</v>
      </c>
      <c r="AW21" s="121" t="s">
        <v>231</v>
      </c>
      <c r="AX21" s="121" t="s">
        <v>231</v>
      </c>
      <c r="AY21" s="121" t="s">
        <v>231</v>
      </c>
      <c r="BA21" s="87" t="str">
        <f t="array" ref="BA21">_xlfn.CONCAT(IF(NOT(ISERROR(SEARCH(BA$10&amp;". ",$AI21:$AY21))),$AI21:$AY21,""))</f>
        <v>B. Residential density of project development</v>
      </c>
      <c r="BB21" s="87" t="str">
        <f t="array" ref="BB21">_xlfn.CONCAT(IF(NOT(ISERROR(SEARCH(BB$10&amp;". ",$AI21:$AY21))),$AI21:$AY21,""))</f>
        <v>C. Residential density of typical development</v>
      </c>
      <c r="BC21" s="87" t="str">
        <f t="array" ref="BC21">_xlfn.CONCAT(IF(NOT(ISERROR(SEARCH(BC$10&amp;". ",$AI21:$AY21))),$AI21:$AY21,""))</f>
        <v>D. Elasticity of VMT with respect to residential density</v>
      </c>
      <c r="BD21" s="87" t="str">
        <f t="array" ref="BD21">_xlfn.CONCAT(IF(NOT(ISERROR(SEARCH(BD$10&amp;". ",$AI21:$AY21))),$AI21:$AY21,""))</f>
        <v/>
      </c>
      <c r="BE21" s="87" t="str">
        <f t="array" ref="BE21">_xlfn.CONCAT(IF(NOT(ISERROR(SEARCH(BE$10&amp;". ",$AI21:$AY21))),$AI21:$AY21,""))</f>
        <v/>
      </c>
      <c r="BF21" s="87" t="str">
        <f t="array" ref="BF21">_xlfn.CONCAT(IF(NOT(ISERROR(SEARCH(BF$10&amp;". ",$AI21:$AY21))),$AI21:$AY21,""))</f>
        <v/>
      </c>
      <c r="BG21" s="87" t="str">
        <f t="array" ref="BG21">_xlfn.CONCAT(IF(NOT(ISERROR(SEARCH(BG$10&amp;". ",$AI21:$AY21))),$AI21:$AY21,""))</f>
        <v/>
      </c>
      <c r="BH21" s="87" t="str">
        <f t="array" ref="BH21">_xlfn.CONCAT(IF(NOT(ISERROR(SEARCH(BH$10&amp;". ",$AI21:$AY21))),$AI21:$AY21,""))</f>
        <v/>
      </c>
    </row>
    <row r="22" spans="1:60" ht="60" customHeight="1">
      <c r="A22" s="87" t="s">
        <v>217</v>
      </c>
      <c r="B22" s="162" t="s">
        <v>92</v>
      </c>
      <c r="C22" s="137"/>
      <c r="D22" s="137" t="s">
        <v>330</v>
      </c>
      <c r="E22" s="87" t="s">
        <v>93</v>
      </c>
      <c r="H22" s="137" t="s">
        <v>331</v>
      </c>
      <c r="J22" s="87" t="s">
        <v>222</v>
      </c>
      <c r="K22" s="87" t="s">
        <v>222</v>
      </c>
      <c r="R22" s="118"/>
      <c r="S22" s="118"/>
      <c r="T22" s="118"/>
      <c r="U22" s="118"/>
      <c r="V22" s="118"/>
      <c r="W22" s="118">
        <v>0.3</v>
      </c>
      <c r="X22" s="118">
        <v>0.3</v>
      </c>
      <c r="Y22" s="118" t="s">
        <v>160</v>
      </c>
      <c r="Z22" s="119" t="s">
        <v>231</v>
      </c>
      <c r="AB22" s="137" t="s">
        <v>260</v>
      </c>
      <c r="AC22" s="105" t="s">
        <v>226</v>
      </c>
      <c r="AD22" s="105" t="s">
        <v>227</v>
      </c>
      <c r="AE22" s="118">
        <v>0.3</v>
      </c>
      <c r="AF22" s="120" t="s">
        <v>332</v>
      </c>
      <c r="AG22" s="137" t="s">
        <v>333</v>
      </c>
      <c r="AI22" s="120" t="s">
        <v>334</v>
      </c>
      <c r="AJ22" s="120" t="s">
        <v>231</v>
      </c>
      <c r="AK22" s="120" t="s">
        <v>231</v>
      </c>
      <c r="AL22" s="120" t="s">
        <v>231</v>
      </c>
      <c r="AM22" s="120" t="s">
        <v>231</v>
      </c>
      <c r="AN22" s="120" t="s">
        <v>231</v>
      </c>
      <c r="AO22" s="120" t="s">
        <v>231</v>
      </c>
      <c r="AP22" s="120" t="s">
        <v>231</v>
      </c>
      <c r="AQ22" s="124" t="s">
        <v>231</v>
      </c>
      <c r="AR22" s="124" t="s">
        <v>231</v>
      </c>
      <c r="AS22" s="124" t="s">
        <v>231</v>
      </c>
      <c r="AT22" s="124" t="s">
        <v>231</v>
      </c>
      <c r="AU22" s="121" t="s">
        <v>335</v>
      </c>
      <c r="AV22" s="121" t="s">
        <v>336</v>
      </c>
      <c r="AW22" s="121" t="s">
        <v>231</v>
      </c>
      <c r="AX22" s="121" t="s">
        <v>231</v>
      </c>
      <c r="AY22" s="121" t="s">
        <v>231</v>
      </c>
      <c r="BA22" s="87" t="str">
        <f t="array" ref="BA22">_xlfn.CONCAT(IF(NOT(ISERROR(SEARCH(BA$10&amp;". ",$AI22:$AY22))),$AI22:$AY22,""))</f>
        <v>B. Job density of project development</v>
      </c>
      <c r="BB22" s="87" t="str">
        <f t="array" ref="BB22">_xlfn.CONCAT(IF(NOT(ISERROR(SEARCH(BB$10&amp;". ",$AI22:$AY22))),$AI22:$AY22,""))</f>
        <v>C. Job density of typical development</v>
      </c>
      <c r="BC22" s="87" t="str">
        <f t="array" ref="BC22">_xlfn.CONCAT(IF(NOT(ISERROR(SEARCH(BC$10&amp;". ",$AI22:$AY22))),$AI22:$AY22,""))</f>
        <v>D. Elasticity of VMT with respect to job density</v>
      </c>
      <c r="BD22" s="87" t="str">
        <f t="array" ref="BD22">_xlfn.CONCAT(IF(NOT(ISERROR(SEARCH(BD$10&amp;". ",$AI22:$AY22))),$AI22:$AY22,""))</f>
        <v/>
      </c>
      <c r="BE22" s="87" t="str">
        <f t="array" ref="BE22">_xlfn.CONCAT(IF(NOT(ISERROR(SEARCH(BE$10&amp;". ",$AI22:$AY22))),$AI22:$AY22,""))</f>
        <v/>
      </c>
      <c r="BF22" s="87" t="str">
        <f t="array" ref="BF22">_xlfn.CONCAT(IF(NOT(ISERROR(SEARCH(BF$10&amp;". ",$AI22:$AY22))),$AI22:$AY22,""))</f>
        <v/>
      </c>
      <c r="BG22" s="87" t="str">
        <f t="array" ref="BG22">_xlfn.CONCAT(IF(NOT(ISERROR(SEARCH(BG$10&amp;". ",$AI22:$AY22))),$AI22:$AY22,""))</f>
        <v/>
      </c>
      <c r="BH22" s="87" t="str">
        <f t="array" ref="BH22">_xlfn.CONCAT(IF(NOT(ISERROR(SEARCH(BH$10&amp;". ",$AI22:$AY22))),$AI22:$AY22,""))</f>
        <v/>
      </c>
    </row>
    <row r="23" spans="1:60" ht="60" customHeight="1">
      <c r="A23" s="87" t="s">
        <v>337</v>
      </c>
      <c r="B23" s="162" t="s">
        <v>96</v>
      </c>
      <c r="C23" s="137" t="s">
        <v>338</v>
      </c>
      <c r="D23" s="137" t="s">
        <v>339</v>
      </c>
      <c r="E23" s="87" t="s">
        <v>97</v>
      </c>
      <c r="F23" s="137" t="s">
        <v>340</v>
      </c>
      <c r="H23" s="137" t="s">
        <v>341</v>
      </c>
      <c r="I23" s="87" t="s">
        <v>222</v>
      </c>
      <c r="J23" s="87" t="s">
        <v>296</v>
      </c>
      <c r="K23" s="87" t="s">
        <v>222</v>
      </c>
      <c r="M23" s="137" t="s">
        <v>342</v>
      </c>
      <c r="N23" s="137" t="s">
        <v>343</v>
      </c>
      <c r="R23" s="118"/>
      <c r="S23" s="118"/>
      <c r="T23" s="118">
        <v>4.0000000000000002E-4</v>
      </c>
      <c r="U23" s="118">
        <v>1.2E-2</v>
      </c>
      <c r="V23" s="118"/>
      <c r="W23" s="118"/>
      <c r="X23" s="118">
        <v>1.2E-2</v>
      </c>
      <c r="Y23" s="118" t="s">
        <v>159</v>
      </c>
      <c r="Z23" s="119" t="s">
        <v>231</v>
      </c>
      <c r="AB23" s="137" t="s">
        <v>260</v>
      </c>
      <c r="AC23" s="105" t="s">
        <v>344</v>
      </c>
      <c r="AD23" s="105" t="s">
        <v>345</v>
      </c>
      <c r="AE23" s="118">
        <v>1.2E-2</v>
      </c>
      <c r="AF23" s="120" t="s">
        <v>346</v>
      </c>
      <c r="AG23" s="190" t="s">
        <v>347</v>
      </c>
      <c r="AH23" s="137" t="s">
        <v>348</v>
      </c>
      <c r="AI23" s="120" t="s">
        <v>349</v>
      </c>
      <c r="AJ23" s="120" t="s">
        <v>231</v>
      </c>
      <c r="AK23" s="120" t="s">
        <v>231</v>
      </c>
      <c r="AL23" s="120" t="s">
        <v>231</v>
      </c>
      <c r="AM23" s="120" t="s">
        <v>231</v>
      </c>
      <c r="AN23" s="120" t="s">
        <v>231</v>
      </c>
      <c r="AO23" s="120" t="s">
        <v>231</v>
      </c>
      <c r="AP23" s="120" t="s">
        <v>231</v>
      </c>
      <c r="AQ23" s="124" t="s">
        <v>231</v>
      </c>
      <c r="AR23" s="124" t="s">
        <v>231</v>
      </c>
      <c r="AS23" s="124" t="s">
        <v>231</v>
      </c>
      <c r="AT23" s="124" t="s">
        <v>231</v>
      </c>
      <c r="AU23" s="121" t="s">
        <v>350</v>
      </c>
      <c r="AV23" s="121" t="s">
        <v>231</v>
      </c>
      <c r="AW23" s="121" t="s">
        <v>231</v>
      </c>
      <c r="AX23" s="121" t="s">
        <v>231</v>
      </c>
      <c r="AY23" s="121" t="s">
        <v>231</v>
      </c>
      <c r="BA23" s="87" t="str">
        <f t="array" ref="BA23">_xlfn.CONCAT(IF(NOT(ISERROR(SEARCH(BA$10&amp;". ",$AI23:$AY23))),$AI23:$AY23,""))</f>
        <v>B. Percentage of units in project that are deed-restricted BMR housing</v>
      </c>
      <c r="BB23" s="87" t="str">
        <f t="array" ref="BB23">_xlfn.CONCAT(IF(NOT(ISERROR(SEARCH(BB$10&amp;". ",$AI23:$AY23))),$AI23:$AY23,""))</f>
        <v>C. Elasticity</v>
      </c>
      <c r="BC23" s="87" t="str">
        <f t="array" ref="BC23">_xlfn.CONCAT(IF(NOT(ISERROR(SEARCH(BC$10&amp;". ",$AI23:$AY23))),$AI23:$AY23,""))</f>
        <v/>
      </c>
      <c r="BD23" s="87" t="str">
        <f t="array" ref="BD23">_xlfn.CONCAT(IF(NOT(ISERROR(SEARCH(BD$10&amp;". ",$AI23:$AY23))),$AI23:$AY23,""))</f>
        <v/>
      </c>
      <c r="BE23" s="87" t="str">
        <f t="array" ref="BE23">_xlfn.CONCAT(IF(NOT(ISERROR(SEARCH(BE$10&amp;". ",$AI23:$AY23))),$AI23:$AY23,""))</f>
        <v/>
      </c>
      <c r="BF23" s="87" t="str">
        <f t="array" ref="BF23">_xlfn.CONCAT(IF(NOT(ISERROR(SEARCH(BF$10&amp;". ",$AI23:$AY23))),$AI23:$AY23,""))</f>
        <v/>
      </c>
      <c r="BG23" s="87" t="str">
        <f t="array" ref="BG23">_xlfn.CONCAT(IF(NOT(ISERROR(SEARCH(BG$10&amp;". ",$AI23:$AY23))),$AI23:$AY23,""))</f>
        <v/>
      </c>
      <c r="BH23" s="87" t="str">
        <f t="array" ref="BH23">_xlfn.CONCAT(IF(NOT(ISERROR(SEARCH(BH$10&amp;". ",$AI23:$AY23))),$AI23:$AY23,""))</f>
        <v/>
      </c>
    </row>
    <row r="24" spans="1:60" ht="60" customHeight="1">
      <c r="A24" s="87" t="s">
        <v>217</v>
      </c>
      <c r="B24" s="162" t="s">
        <v>108</v>
      </c>
      <c r="C24" s="137" t="s">
        <v>351</v>
      </c>
      <c r="D24" s="137" t="s">
        <v>352</v>
      </c>
      <c r="E24" s="87" t="s">
        <v>109</v>
      </c>
      <c r="G24" s="137" t="s">
        <v>353</v>
      </c>
      <c r="H24" s="137" t="s">
        <v>354</v>
      </c>
      <c r="I24" s="87" t="s">
        <v>221</v>
      </c>
      <c r="J24" s="109" t="s">
        <v>222</v>
      </c>
      <c r="K24" s="87" t="s">
        <v>222</v>
      </c>
      <c r="L24" s="116">
        <v>7.4999999999999997E-2</v>
      </c>
      <c r="M24" s="137" t="s">
        <v>355</v>
      </c>
      <c r="N24" s="117">
        <v>0.2</v>
      </c>
      <c r="O24" s="117"/>
      <c r="P24" s="117"/>
      <c r="Q24" s="117"/>
      <c r="R24" s="118">
        <v>0</v>
      </c>
      <c r="S24" s="118">
        <v>7.4999999999999997E-2</v>
      </c>
      <c r="T24" s="118">
        <v>1E-3</v>
      </c>
      <c r="U24" s="118">
        <v>0.19700000000000001</v>
      </c>
      <c r="V24" s="118">
        <v>0</v>
      </c>
      <c r="W24" s="118">
        <v>0.2</v>
      </c>
      <c r="X24" s="118">
        <v>0.2</v>
      </c>
      <c r="Y24" s="118" t="s">
        <v>160</v>
      </c>
      <c r="Z24" s="119">
        <v>0.125</v>
      </c>
      <c r="AB24" s="137" t="s">
        <v>356</v>
      </c>
      <c r="AC24" s="105" t="s">
        <v>226</v>
      </c>
      <c r="AD24" s="105" t="s">
        <v>227</v>
      </c>
      <c r="AE24" s="118">
        <v>0.2</v>
      </c>
      <c r="AF24" s="120" t="s">
        <v>357</v>
      </c>
      <c r="AG24" s="137" t="s">
        <v>358</v>
      </c>
      <c r="AI24" s="120" t="s">
        <v>359</v>
      </c>
      <c r="AJ24" s="120" t="s">
        <v>360</v>
      </c>
      <c r="AK24" s="120" t="s">
        <v>361</v>
      </c>
      <c r="AL24" s="120" t="s">
        <v>231</v>
      </c>
      <c r="AM24" s="120" t="s">
        <v>231</v>
      </c>
      <c r="AN24" s="120" t="s">
        <v>231</v>
      </c>
      <c r="AO24" s="120" t="s">
        <v>231</v>
      </c>
      <c r="AP24" s="120" t="s">
        <v>231</v>
      </c>
      <c r="AQ24" s="124" t="s">
        <v>231</v>
      </c>
      <c r="AR24" s="124" t="s">
        <v>231</v>
      </c>
      <c r="AS24" s="124" t="s">
        <v>231</v>
      </c>
      <c r="AT24" s="124" t="s">
        <v>231</v>
      </c>
      <c r="AU24" s="121" t="s">
        <v>362</v>
      </c>
      <c r="AV24" s="121" t="s">
        <v>363</v>
      </c>
      <c r="AW24" s="121" t="s">
        <v>231</v>
      </c>
      <c r="AX24" s="121" t="s">
        <v>231</v>
      </c>
      <c r="AY24" s="121" t="s">
        <v>231</v>
      </c>
      <c r="BA24" s="87" t="str">
        <f t="array" ref="BA24">_xlfn.CONCAT(IF(NOT(ISERROR(SEARCH(BA$10&amp;". ",$AI24:$AY24))),$AI24:$AY24,""))</f>
        <v>B. Proposed parking price</v>
      </c>
      <c r="BB24" s="87" t="str">
        <f t="array" ref="BB24">_xlfn.CONCAT(IF(NOT(ISERROR(SEARCH(BB$10&amp;". ",$AI24:$AY24))),$AI24:$AY24,""))</f>
        <v>C. Baseline parking price</v>
      </c>
      <c r="BC24" s="87" t="str">
        <f t="array" ref="BC24">_xlfn.CONCAT(IF(NOT(ISERROR(SEARCH(BC$10&amp;". ",$AI24:$AY24))),$AI24:$AY24,""))</f>
        <v>D. Share of employees paying for parking</v>
      </c>
      <c r="BD24" s="87" t="str">
        <f t="array" ref="BD24">_xlfn.CONCAT(IF(NOT(ISERROR(SEARCH(BD$10&amp;". ",$AI24:$AY24))),$AI24:$AY24,""))</f>
        <v>E. Elasticity of parking demand with respecting
to parking price</v>
      </c>
      <c r="BE24" s="87" t="str">
        <f t="array" ref="BE24">_xlfn.CONCAT(IF(NOT(ISERROR(SEARCH(BE$10&amp;". ",$AI24:$AY24))),$AI24:$AY24,""))</f>
        <v>F. Ratio of vehicle trip reduction to VMT</v>
      </c>
      <c r="BF24" s="87" t="str">
        <f t="array" ref="BF24">_xlfn.CONCAT(IF(NOT(ISERROR(SEARCH(BF$10&amp;". ",$AI24:$AY24))),$AI24:$AY24,""))</f>
        <v/>
      </c>
      <c r="BG24" s="87" t="str">
        <f t="array" ref="BG24">_xlfn.CONCAT(IF(NOT(ISERROR(SEARCH(BG$10&amp;". ",$AI24:$AY24))),$AI24:$AY24,""))</f>
        <v/>
      </c>
      <c r="BH24" s="87" t="str">
        <f t="array" ref="BH24">_xlfn.CONCAT(IF(NOT(ISERROR(SEARCH(BH$10&amp;". ",$AI24:$AY24))),$AI24:$AY24,""))</f>
        <v/>
      </c>
    </row>
    <row r="25" spans="1:60" ht="60" customHeight="1">
      <c r="A25" s="87" t="s">
        <v>217</v>
      </c>
      <c r="B25" s="162" t="s">
        <v>110</v>
      </c>
      <c r="C25" s="137"/>
      <c r="D25" s="137" t="s">
        <v>364</v>
      </c>
      <c r="E25" s="87" t="s">
        <v>111</v>
      </c>
      <c r="I25" s="87" t="s">
        <v>222</v>
      </c>
      <c r="J25" s="87" t="s">
        <v>222</v>
      </c>
      <c r="K25" s="87" t="s">
        <v>222</v>
      </c>
      <c r="L25" s="116"/>
      <c r="N25" s="117">
        <v>0.13300000000000001</v>
      </c>
      <c r="O25" s="117"/>
      <c r="P25" s="117"/>
      <c r="Q25" s="117"/>
      <c r="R25" s="118"/>
      <c r="S25" s="118"/>
      <c r="T25" s="118"/>
      <c r="U25" s="118"/>
      <c r="V25" s="118"/>
      <c r="W25" s="118"/>
      <c r="X25" s="118">
        <v>0.13300000000000001</v>
      </c>
      <c r="Y25" s="118" t="s">
        <v>160</v>
      </c>
      <c r="Z25" s="119"/>
      <c r="AB25" s="137" t="s">
        <v>260</v>
      </c>
      <c r="AC25" s="105" t="s">
        <v>226</v>
      </c>
      <c r="AD25" s="105" t="s">
        <v>271</v>
      </c>
      <c r="AE25" s="118">
        <v>0.13300000000000001</v>
      </c>
      <c r="AF25" s="120" t="s">
        <v>365</v>
      </c>
      <c r="AG25" s="137" t="s">
        <v>366</v>
      </c>
      <c r="AI25" s="120" t="s">
        <v>367</v>
      </c>
      <c r="AJ25" s="120"/>
      <c r="AK25" s="120"/>
      <c r="AL25" s="120"/>
      <c r="AM25" s="120"/>
      <c r="AN25" s="120"/>
      <c r="AO25" s="120"/>
      <c r="AP25" s="120"/>
      <c r="AQ25" s="124" t="s">
        <v>368</v>
      </c>
      <c r="AR25" s="124"/>
      <c r="AS25" s="124"/>
      <c r="AT25" s="124"/>
      <c r="AU25" s="121" t="s">
        <v>369</v>
      </c>
      <c r="AV25" s="121" t="s">
        <v>370</v>
      </c>
      <c r="AW25" s="121" t="s">
        <v>371</v>
      </c>
      <c r="AX25" s="121"/>
      <c r="AY25" s="121"/>
      <c r="BA25" s="87" t="s">
        <v>367</v>
      </c>
      <c r="BB25" s="87" t="s">
        <v>368</v>
      </c>
      <c r="BC25" s="87" t="s">
        <v>369</v>
      </c>
      <c r="BD25" s="87" t="s">
        <v>370</v>
      </c>
      <c r="BE25" s="87" t="s">
        <v>371</v>
      </c>
    </row>
    <row r="26" spans="1:60" ht="60" customHeight="1">
      <c r="A26" s="127" t="s">
        <v>217</v>
      </c>
      <c r="B26" s="163" t="s">
        <v>113</v>
      </c>
      <c r="C26" s="128" t="s">
        <v>372</v>
      </c>
      <c r="D26" s="128" t="s">
        <v>373</v>
      </c>
      <c r="E26" s="127" t="s">
        <v>114</v>
      </c>
      <c r="F26" s="128"/>
      <c r="G26" s="128" t="s">
        <v>374</v>
      </c>
      <c r="H26" s="128" t="s">
        <v>375</v>
      </c>
      <c r="I26" s="127" t="s">
        <v>221</v>
      </c>
      <c r="J26" s="133" t="s">
        <v>222</v>
      </c>
      <c r="K26" s="127" t="s">
        <v>222</v>
      </c>
      <c r="L26" s="132">
        <v>0.12</v>
      </c>
      <c r="M26" s="128" t="s">
        <v>376</v>
      </c>
      <c r="N26" s="134">
        <v>0.12</v>
      </c>
      <c r="O26" s="134"/>
      <c r="P26" s="134"/>
      <c r="Q26" s="134"/>
      <c r="R26" s="130">
        <v>0</v>
      </c>
      <c r="S26" s="130">
        <v>0.12</v>
      </c>
      <c r="T26" s="130">
        <v>6.0000000000000001E-3</v>
      </c>
      <c r="U26" s="130">
        <v>7.6999999999999999E-2</v>
      </c>
      <c r="V26" s="130">
        <v>0</v>
      </c>
      <c r="W26" s="130">
        <v>0.12</v>
      </c>
      <c r="X26" s="130">
        <v>0.12</v>
      </c>
      <c r="Y26" s="130" t="s">
        <v>160</v>
      </c>
      <c r="Z26" s="131">
        <v>0</v>
      </c>
      <c r="AA26" s="127"/>
      <c r="AB26" s="128" t="s">
        <v>299</v>
      </c>
      <c r="AC26" s="105" t="s">
        <v>226</v>
      </c>
      <c r="AD26" s="105" t="s">
        <v>227</v>
      </c>
      <c r="AE26" s="118">
        <v>0.12</v>
      </c>
      <c r="AF26" s="120" t="s">
        <v>377</v>
      </c>
      <c r="AG26" s="137" t="s">
        <v>378</v>
      </c>
      <c r="AI26" s="120" t="s">
        <v>379</v>
      </c>
      <c r="AJ26" s="120" t="s">
        <v>231</v>
      </c>
      <c r="AK26" s="120" t="s">
        <v>231</v>
      </c>
      <c r="AL26" s="120" t="s">
        <v>231</v>
      </c>
      <c r="AM26" s="120" t="s">
        <v>231</v>
      </c>
      <c r="AN26" s="120" t="s">
        <v>231</v>
      </c>
      <c r="AO26" s="120" t="s">
        <v>231</v>
      </c>
      <c r="AP26" s="120" t="s">
        <v>231</v>
      </c>
      <c r="AQ26" s="124" t="s">
        <v>231</v>
      </c>
      <c r="AR26" s="124" t="s">
        <v>231</v>
      </c>
      <c r="AS26" s="124" t="s">
        <v>231</v>
      </c>
      <c r="AT26" s="124" t="s">
        <v>231</v>
      </c>
      <c r="AU26" s="121" t="s">
        <v>380</v>
      </c>
      <c r="AV26" s="121" t="s">
        <v>231</v>
      </c>
      <c r="AW26" s="121" t="s">
        <v>231</v>
      </c>
      <c r="AX26" s="121" t="s">
        <v>231</v>
      </c>
      <c r="AY26" s="121" t="s">
        <v>231</v>
      </c>
      <c r="BA26" s="87" t="str">
        <f t="array" ref="BA26">_xlfn.CONCAT(IF(NOT(ISERROR(SEARCH(BA$10&amp;". ",$AI26:$AY26))),$AI26:$AY26,""))</f>
        <v>B. Percentage of employees eligible</v>
      </c>
      <c r="BB26" s="87" t="str">
        <f t="array" ref="BB26">_xlfn.CONCAT(IF(NOT(ISERROR(SEARCH(BB$10&amp;". ",$AI26:$AY26))),$AI26:$AY26,""))</f>
        <v>C. Percent reduction in commute VMT from implementation of measure</v>
      </c>
      <c r="BC26" s="87" t="str">
        <f t="array" ref="BC26">_xlfn.CONCAT(IF(NOT(ISERROR(SEARCH(BC$10&amp;". ",$AI26:$AY26))),$AI26:$AY26,""))</f>
        <v/>
      </c>
      <c r="BD26" s="87" t="str">
        <f t="array" ref="BD26">_xlfn.CONCAT(IF(NOT(ISERROR(SEARCH(BD$10&amp;". ",$AI26:$AY26))),$AI26:$AY26,""))</f>
        <v/>
      </c>
      <c r="BE26" s="87" t="str">
        <f t="array" ref="BE26">_xlfn.CONCAT(IF(NOT(ISERROR(SEARCH(BE$10&amp;". ",$AI26:$AY26))),$AI26:$AY26,""))</f>
        <v/>
      </c>
      <c r="BF26" s="87" t="str">
        <f t="array" ref="BF26">_xlfn.CONCAT(IF(NOT(ISERROR(SEARCH(BF$10&amp;". ",$AI26:$AY26))),$AI26:$AY26,""))</f>
        <v/>
      </c>
      <c r="BG26" s="87" t="str">
        <f t="array" ref="BG26">_xlfn.CONCAT(IF(NOT(ISERROR(SEARCH(BG$10&amp;". ",$AI26:$AY26))),$AI26:$AY26,""))</f>
        <v/>
      </c>
      <c r="BH26" s="87" t="str">
        <f t="array" ref="BH26">_xlfn.CONCAT(IF(NOT(ISERROR(SEARCH(BH$10&amp;". ",$AI26:$AY26))),$AI26:$AY26,""))</f>
        <v/>
      </c>
    </row>
    <row r="27" spans="1:60" ht="60" customHeight="1">
      <c r="A27" s="87" t="s">
        <v>217</v>
      </c>
      <c r="B27" s="162" t="s">
        <v>115</v>
      </c>
      <c r="C27" s="137" t="s">
        <v>381</v>
      </c>
      <c r="D27" s="137" t="s">
        <v>382</v>
      </c>
      <c r="E27" s="87" t="s">
        <v>116</v>
      </c>
      <c r="F27" s="137" t="s">
        <v>383</v>
      </c>
      <c r="H27" s="137" t="s">
        <v>384</v>
      </c>
      <c r="I27" s="87" t="s">
        <v>222</v>
      </c>
      <c r="J27" s="87" t="s">
        <v>222</v>
      </c>
      <c r="K27" s="87" t="s">
        <v>222</v>
      </c>
      <c r="M27" s="137" t="s">
        <v>385</v>
      </c>
      <c r="N27" s="122">
        <v>0.13700000000000001</v>
      </c>
      <c r="O27" s="122"/>
      <c r="P27" s="122"/>
      <c r="Q27" s="122"/>
      <c r="R27" s="118"/>
      <c r="S27" s="118"/>
      <c r="T27" s="118">
        <v>0.05</v>
      </c>
      <c r="U27" s="118">
        <v>0.125</v>
      </c>
      <c r="V27" s="118">
        <v>0</v>
      </c>
      <c r="W27" s="118">
        <v>0.13700000000000001</v>
      </c>
      <c r="X27" s="118">
        <v>0.13700000000000001</v>
      </c>
      <c r="Y27" s="118" t="s">
        <v>160</v>
      </c>
      <c r="Z27" s="119" t="s">
        <v>231</v>
      </c>
      <c r="AB27" s="137" t="s">
        <v>260</v>
      </c>
      <c r="AC27" s="105" t="s">
        <v>226</v>
      </c>
      <c r="AD27" s="105" t="s">
        <v>271</v>
      </c>
      <c r="AE27" s="118">
        <v>0.13700000000000001</v>
      </c>
      <c r="AF27" s="120" t="s">
        <v>386</v>
      </c>
      <c r="AG27" s="137" t="s">
        <v>387</v>
      </c>
      <c r="AI27" s="120" t="s">
        <v>388</v>
      </c>
      <c r="AJ27" s="120" t="s">
        <v>389</v>
      </c>
      <c r="AK27" s="120" t="s">
        <v>390</v>
      </c>
      <c r="AL27" s="120" t="s">
        <v>231</v>
      </c>
      <c r="AM27" s="120" t="s">
        <v>231</v>
      </c>
      <c r="AN27" s="120" t="s">
        <v>231</v>
      </c>
      <c r="AO27" s="120" t="s">
        <v>231</v>
      </c>
      <c r="AP27" s="120" t="s">
        <v>231</v>
      </c>
      <c r="AQ27" s="124" t="s">
        <v>231</v>
      </c>
      <c r="AR27" s="124" t="s">
        <v>231</v>
      </c>
      <c r="AS27" s="124" t="s">
        <v>231</v>
      </c>
      <c r="AT27" s="124" t="s">
        <v>231</v>
      </c>
      <c r="AU27" s="121" t="s">
        <v>391</v>
      </c>
      <c r="AV27" s="121" t="s">
        <v>392</v>
      </c>
      <c r="AW27" s="121" t="s">
        <v>231</v>
      </c>
      <c r="AX27" s="121" t="s">
        <v>231</v>
      </c>
      <c r="AY27" s="121" t="s">
        <v>231</v>
      </c>
      <c r="BA27" s="87" t="str">
        <f t="array" ref="BA27">_xlfn.CONCAT(IF(NOT(ISERROR(SEARCH(BA$10&amp;". ",$AI27:$AY27))),$AI27:$AY27,""))</f>
        <v>B. Residential parking demand</v>
      </c>
      <c r="BB27" s="87" t="str">
        <f t="array" ref="BB27">_xlfn.CONCAT(IF(NOT(ISERROR(SEARCH(BB$10&amp;". ",$AI27:$AY27))),$AI27:$AY27,""))</f>
        <v>C. Project residential parking supply</v>
      </c>
      <c r="BC27" s="87" t="str">
        <f t="array" ref="BC27">_xlfn.CONCAT(IF(NOT(ISERROR(SEARCH(BC$10&amp;". ",$AI27:$AY27))),$AI27:$AY27,""))</f>
        <v>D. Percentage of project VMT generated by residents</v>
      </c>
      <c r="BD27" s="87" t="str">
        <f t="array" ref="BD27">_xlfn.CONCAT(IF(NOT(ISERROR(SEARCH(BD$10&amp;". ",$AI27:$AY27))),$AI27:$AY27,""))</f>
        <v>E. Percent of household VMT that is commute based</v>
      </c>
      <c r="BE27" s="87" t="str">
        <f t="array" ref="BE27">_xlfn.CONCAT(IF(NOT(ISERROR(SEARCH(BE$10&amp;". ",$AI27:$AY27))),$AI27:$AY27,""))</f>
        <v>F. Percent reduction in commute mode share by
driving among households in areas with scarce
parking</v>
      </c>
      <c r="BF27" s="87" t="str">
        <f t="array" ref="BF27">_xlfn.CONCAT(IF(NOT(ISERROR(SEARCH(BF$10&amp;". ",$AI27:$AY27))),$AI27:$AY27,""))</f>
        <v/>
      </c>
      <c r="BG27" s="87" t="str">
        <f t="array" ref="BG27">_xlfn.CONCAT(IF(NOT(ISERROR(SEARCH(BG$10&amp;". ",$AI27:$AY27))),$AI27:$AY27,""))</f>
        <v/>
      </c>
      <c r="BH27" s="87" t="str">
        <f t="array" ref="BH27">_xlfn.CONCAT(IF(NOT(ISERROR(SEARCH(BH$10&amp;". ",$AI27:$AY27))),$AI27:$AY27,""))</f>
        <v/>
      </c>
    </row>
    <row r="28" spans="1:60" ht="60" customHeight="1">
      <c r="A28" s="87" t="s">
        <v>337</v>
      </c>
      <c r="B28" s="162" t="s">
        <v>56</v>
      </c>
      <c r="C28" s="137" t="s">
        <v>293</v>
      </c>
      <c r="D28" s="137" t="s">
        <v>393</v>
      </c>
      <c r="E28" s="87" t="s">
        <v>57</v>
      </c>
      <c r="H28" s="137" t="s">
        <v>394</v>
      </c>
      <c r="I28" s="87" t="s">
        <v>222</v>
      </c>
      <c r="J28" s="87" t="s">
        <v>222</v>
      </c>
      <c r="K28" s="87" t="s">
        <v>221</v>
      </c>
      <c r="L28" s="123">
        <v>0.06</v>
      </c>
      <c r="M28" s="137" t="s">
        <v>293</v>
      </c>
      <c r="N28" s="125">
        <v>0.3</v>
      </c>
      <c r="O28" s="125"/>
      <c r="P28" s="125"/>
      <c r="Q28" s="125"/>
      <c r="R28" s="118">
        <v>0</v>
      </c>
      <c r="S28" s="118">
        <v>0.06</v>
      </c>
      <c r="T28" s="118"/>
      <c r="U28" s="118"/>
      <c r="V28" s="118">
        <v>0</v>
      </c>
      <c r="W28" s="126">
        <v>0.14000000000000001</v>
      </c>
      <c r="X28" s="126">
        <v>0.14000000000000001</v>
      </c>
      <c r="Y28" s="118" t="s">
        <v>160</v>
      </c>
      <c r="Z28" s="119">
        <v>8.0000000000000016E-2</v>
      </c>
      <c r="AB28" s="137" t="s">
        <v>285</v>
      </c>
      <c r="AC28" s="105" t="s">
        <v>344</v>
      </c>
      <c r="AD28" s="105" t="s">
        <v>345</v>
      </c>
      <c r="AE28" s="118">
        <v>0.3</v>
      </c>
      <c r="AF28" s="120" t="s">
        <v>395</v>
      </c>
      <c r="AG28" s="137" t="s">
        <v>396</v>
      </c>
      <c r="AI28" s="120" t="s">
        <v>397</v>
      </c>
      <c r="AJ28" s="120" t="s">
        <v>231</v>
      </c>
      <c r="AK28" s="120" t="s">
        <v>231</v>
      </c>
      <c r="AL28" s="120" t="s">
        <v>231</v>
      </c>
      <c r="AM28" s="120" t="s">
        <v>231</v>
      </c>
      <c r="AN28" s="120" t="s">
        <v>231</v>
      </c>
      <c r="AO28" s="120" t="s">
        <v>231</v>
      </c>
      <c r="AP28" s="120" t="s">
        <v>231</v>
      </c>
      <c r="AQ28" s="124" t="s">
        <v>398</v>
      </c>
      <c r="AR28" s="124" t="s">
        <v>231</v>
      </c>
      <c r="AS28" s="124" t="s">
        <v>231</v>
      </c>
      <c r="AT28" s="124" t="s">
        <v>231</v>
      </c>
      <c r="AU28" s="121" t="s">
        <v>399</v>
      </c>
      <c r="AV28" s="121" t="s">
        <v>231</v>
      </c>
      <c r="AW28" s="121" t="s">
        <v>231</v>
      </c>
      <c r="AX28" s="121" t="s">
        <v>231</v>
      </c>
      <c r="AY28" s="121" t="s">
        <v>231</v>
      </c>
      <c r="BA28" s="87" t="str">
        <f t="array" ref="BA28">_xlfn.CONCAT(IF(NOT(ISERROR(SEARCH(BA$10&amp;". ",$AI28:$AY28))),$AI28:$AY28,""))</f>
        <v>B. Intersection density in project site with measure</v>
      </c>
      <c r="BB28" s="87" t="str">
        <f t="array" ref="BB28">_xlfn.CONCAT(IF(NOT(ISERROR(SEARCH(BB$10&amp;". ",$AI28:$AY28))),$AI28:$AY28,""))</f>
        <v>C. Average intersection density</v>
      </c>
      <c r="BC28" s="87" t="str">
        <f t="array" ref="BC28">_xlfn.CONCAT(IF(NOT(ISERROR(SEARCH(BC$10&amp;". ",$AI28:$AY28))),$AI28:$AY28,""))</f>
        <v>D. Elasticity of VMT with respect to intersection density</v>
      </c>
      <c r="BD28" s="87" t="str">
        <f t="array" ref="BD28">_xlfn.CONCAT(IF(NOT(ISERROR(SEARCH(BD$10&amp;". ",$AI28:$AY28))),$AI28:$AY28,""))</f>
        <v/>
      </c>
      <c r="BE28" s="87" t="str">
        <f t="array" ref="BE28">_xlfn.CONCAT(IF(NOT(ISERROR(SEARCH(BE$10&amp;". ",$AI28:$AY28))),$AI28:$AY28,""))</f>
        <v/>
      </c>
      <c r="BF28" s="87" t="str">
        <f t="array" ref="BF28">_xlfn.CONCAT(IF(NOT(ISERROR(SEARCH(BF$10&amp;". ",$AI28:$AY28))),$AI28:$AY28,""))</f>
        <v/>
      </c>
      <c r="BG28" s="87" t="str">
        <f t="array" ref="BG28">_xlfn.CONCAT(IF(NOT(ISERROR(SEARCH(BG$10&amp;". ",$AI28:$AY28))),$AI28:$AY28,""))</f>
        <v/>
      </c>
      <c r="BH28" s="87" t="str">
        <f t="array" ref="BH28">_xlfn.CONCAT(IF(NOT(ISERROR(SEARCH(BH$10&amp;". ",$AI28:$AY28))),$AI28:$AY28,""))</f>
        <v/>
      </c>
    </row>
    <row r="29" spans="1:60" ht="60" customHeight="1">
      <c r="A29" s="87" t="s">
        <v>337</v>
      </c>
      <c r="B29" s="162" t="s">
        <v>60</v>
      </c>
      <c r="C29" s="137" t="s">
        <v>400</v>
      </c>
      <c r="D29" s="137" t="s">
        <v>401</v>
      </c>
      <c r="E29" s="87" t="s">
        <v>61</v>
      </c>
      <c r="H29" s="137" t="s">
        <v>402</v>
      </c>
      <c r="I29" s="87" t="s">
        <v>222</v>
      </c>
      <c r="J29" s="87" t="s">
        <v>222</v>
      </c>
      <c r="K29" s="87" t="s">
        <v>221</v>
      </c>
      <c r="L29" s="116">
        <v>1.4E-2</v>
      </c>
      <c r="M29" s="117">
        <v>0.02</v>
      </c>
      <c r="N29" s="122">
        <v>3.4000000000000002E-2</v>
      </c>
      <c r="O29" s="122"/>
      <c r="P29" s="122"/>
      <c r="Q29" s="122"/>
      <c r="R29" s="118">
        <v>0</v>
      </c>
      <c r="S29" s="118">
        <v>1.4E-2</v>
      </c>
      <c r="T29" s="118">
        <v>0</v>
      </c>
      <c r="U29" s="118">
        <v>0.02</v>
      </c>
      <c r="V29" s="118">
        <v>0</v>
      </c>
      <c r="W29" s="118">
        <v>3.4000000000000002E-2</v>
      </c>
      <c r="X29" s="118">
        <v>3.4000000000000002E-2</v>
      </c>
      <c r="Y29" s="118" t="s">
        <v>160</v>
      </c>
      <c r="Z29" s="119">
        <v>2.0000000000000004E-2</v>
      </c>
      <c r="AB29" s="137" t="s">
        <v>403</v>
      </c>
      <c r="AC29" s="105" t="s">
        <v>344</v>
      </c>
      <c r="AD29" s="105" t="s">
        <v>345</v>
      </c>
      <c r="AE29" s="118">
        <v>3.4000000000000002E-2</v>
      </c>
      <c r="AF29" s="120" t="s">
        <v>404</v>
      </c>
      <c r="AG29" s="137" t="s">
        <v>405</v>
      </c>
      <c r="AI29" s="120" t="s">
        <v>406</v>
      </c>
      <c r="AJ29" s="120" t="s">
        <v>407</v>
      </c>
      <c r="AK29" s="120" t="s">
        <v>408</v>
      </c>
      <c r="AL29" s="120" t="s">
        <v>231</v>
      </c>
      <c r="AM29" s="120" t="s">
        <v>231</v>
      </c>
      <c r="AN29" s="120" t="s">
        <v>231</v>
      </c>
      <c r="AO29" s="120" t="s">
        <v>231</v>
      </c>
      <c r="AP29" s="120" t="s">
        <v>231</v>
      </c>
      <c r="AQ29" s="124" t="s">
        <v>231</v>
      </c>
      <c r="AR29" s="124" t="s">
        <v>231</v>
      </c>
      <c r="AS29" s="124" t="s">
        <v>231</v>
      </c>
      <c r="AT29" s="124" t="s">
        <v>231</v>
      </c>
      <c r="AU29" s="121" t="s">
        <v>409</v>
      </c>
      <c r="AV29" s="121" t="s">
        <v>231</v>
      </c>
      <c r="AW29" s="121" t="s">
        <v>231</v>
      </c>
      <c r="AX29" s="121" t="s">
        <v>231</v>
      </c>
      <c r="AY29" s="121" t="s">
        <v>231</v>
      </c>
      <c r="BA29" s="87" t="str">
        <f t="array" ref="BA29">_xlfn.CONCAT(IF(NOT(ISERROR(SEARCH(BA$10&amp;". ",$AI29:$AY29))),$AI29:$AY29,""))</f>
        <v>B. Existing street length in study area</v>
      </c>
      <c r="BB29" s="87" t="str">
        <f t="array" ref="BB29">_xlfn.CONCAT(IF(NOT(ISERROR(SEARCH(BB$10&amp;". ",$AI29:$AY29))),$AI29:$AY29,""))</f>
        <v>C. Existing sidewalk length in study area</v>
      </c>
      <c r="BC29" s="87" t="str">
        <f t="array" ref="BC29">_xlfn.CONCAT(IF(NOT(ISERROR(SEARCH(BC$10&amp;". ",$AI29:$AY29))),$AI29:$AY29,""))</f>
        <v>D. Sidewalk length in study area with measure</v>
      </c>
      <c r="BD29" s="87" t="str">
        <f t="array" ref="BD29">_xlfn.CONCAT(IF(NOT(ISERROR(SEARCH(BD$10&amp;". ",$AI29:$AY29))),$AI29:$AY29,""))</f>
        <v>E. Elasticity of VMT with respect to the ratio of
sidewalks-to-streets</v>
      </c>
      <c r="BE29" s="87" t="str">
        <f t="array" ref="BE29">_xlfn.CONCAT(IF(NOT(ISERROR(SEARCH(BE$10&amp;". ",$AI29:$AY29))),$AI29:$AY29,""))</f>
        <v/>
      </c>
      <c r="BF29" s="87" t="str">
        <f t="array" ref="BF29">_xlfn.CONCAT(IF(NOT(ISERROR(SEARCH(BF$10&amp;". ",$AI29:$AY29))),$AI29:$AY29,""))</f>
        <v/>
      </c>
      <c r="BG29" s="87" t="str">
        <f t="array" ref="BG29">_xlfn.CONCAT(IF(NOT(ISERROR(SEARCH(BG$10&amp;". ",$AI29:$AY29))),$AI29:$AY29,""))</f>
        <v/>
      </c>
      <c r="BH29" s="87" t="str">
        <f t="array" ref="BH29">_xlfn.CONCAT(IF(NOT(ISERROR(SEARCH(BH$10&amp;". ",$AI29:$AY29))),$AI29:$AY29,""))</f>
        <v/>
      </c>
    </row>
    <row r="30" spans="1:60" ht="60" customHeight="1">
      <c r="A30" s="87" t="s">
        <v>337</v>
      </c>
      <c r="B30" s="162" t="s">
        <v>64</v>
      </c>
      <c r="C30" s="137" t="s">
        <v>293</v>
      </c>
      <c r="D30" s="137" t="s">
        <v>410</v>
      </c>
      <c r="E30" s="87" t="s">
        <v>65</v>
      </c>
      <c r="H30" s="137" t="s">
        <v>411</v>
      </c>
      <c r="I30" s="87" t="s">
        <v>222</v>
      </c>
      <c r="J30" s="87" t="s">
        <v>222</v>
      </c>
      <c r="K30" s="87" t="s">
        <v>221</v>
      </c>
      <c r="L30" s="123">
        <v>0.05</v>
      </c>
      <c r="M30" s="137" t="s">
        <v>293</v>
      </c>
      <c r="N30" s="122">
        <v>5.0000000000000001E-3</v>
      </c>
      <c r="O30" s="122"/>
      <c r="P30" s="122"/>
      <c r="Q30" s="122"/>
      <c r="R30" s="118">
        <v>0</v>
      </c>
      <c r="S30" s="118">
        <v>0.05</v>
      </c>
      <c r="T30" s="118"/>
      <c r="U30" s="118"/>
      <c r="V30" s="118">
        <v>0</v>
      </c>
      <c r="W30" s="118">
        <v>5.0000000000000001E-3</v>
      </c>
      <c r="X30" s="118">
        <v>5.0000000000000001E-3</v>
      </c>
      <c r="Y30" s="118" t="s">
        <v>160</v>
      </c>
      <c r="Z30" s="119">
        <v>-4.5000000000000005E-2</v>
      </c>
      <c r="AB30" s="137" t="s">
        <v>285</v>
      </c>
      <c r="AC30" s="105" t="s">
        <v>344</v>
      </c>
      <c r="AD30" s="105" t="s">
        <v>345</v>
      </c>
      <c r="AE30" s="118">
        <v>5.0000000000000001E-3</v>
      </c>
      <c r="AF30" s="120" t="s">
        <v>412</v>
      </c>
      <c r="AG30" s="137" t="s">
        <v>413</v>
      </c>
      <c r="AI30" s="120" t="s">
        <v>414</v>
      </c>
      <c r="AJ30" s="120" t="s">
        <v>415</v>
      </c>
      <c r="AK30" s="120" t="s">
        <v>231</v>
      </c>
      <c r="AL30" s="120" t="s">
        <v>231</v>
      </c>
      <c r="AM30" s="120" t="s">
        <v>231</v>
      </c>
      <c r="AN30" s="120" t="s">
        <v>231</v>
      </c>
      <c r="AO30" s="120" t="s">
        <v>231</v>
      </c>
      <c r="AP30" s="120" t="s">
        <v>231</v>
      </c>
      <c r="AQ30" s="124" t="s">
        <v>416</v>
      </c>
      <c r="AR30" s="124" t="s">
        <v>417</v>
      </c>
      <c r="AS30" s="124" t="s">
        <v>418</v>
      </c>
      <c r="AT30" s="124" t="s">
        <v>419</v>
      </c>
      <c r="AU30" s="121" t="s">
        <v>420</v>
      </c>
      <c r="AV30" s="121" t="s">
        <v>231</v>
      </c>
      <c r="AW30" s="121" t="s">
        <v>231</v>
      </c>
      <c r="AX30" s="121" t="s">
        <v>231</v>
      </c>
      <c r="AY30" s="121" t="s">
        <v>231</v>
      </c>
      <c r="BA30" s="87" t="str">
        <f t="array" ref="BA30">_xlfn.CONCAT(IF(NOT(ISERROR(SEARCH(BA$10&amp;". ",$AI30:$AY30))),$AI30:$AY30,""))</f>
        <v>B. Existing bikeway miles (only Class I, II, and
IV) in neighborhood/city</v>
      </c>
      <c r="BB30" s="87" t="str">
        <f t="array" ref="BB30">_xlfn.CONCAT(IF(NOT(ISERROR(SEARCH(BB$10&amp;". ",$AI30:$AY30))),$AI30:$AY30,""))</f>
        <v>C. Bikeway miles (only Class I, II, and IV) in
neighborhood/city with measure</v>
      </c>
      <c r="BC30" s="87" t="str">
        <f t="array" ref="BC30">_xlfn.CONCAT(IF(NOT(ISERROR(SEARCH(BC$10&amp;". ",$AI30:$AY30))),$AI30:$AY30,""))</f>
        <v>D. Bicycle mode share in neighborhood/city</v>
      </c>
      <c r="BD30" s="87" t="str">
        <f t="array" ref="BD30">_xlfn.CONCAT(IF(NOT(ISERROR(SEARCH(BD$10&amp;". ",$AI30:$AY30))),$AI30:$AY30,""))</f>
        <v>E. Vehicle mode share in neighborhood/city</v>
      </c>
      <c r="BE30" s="87" t="str">
        <f t="array" ref="BE30">_xlfn.CONCAT(IF(NOT(ISERROR(SEARCH(BE$10&amp;". ",$AI30:$AY30))),$AI30:$AY30,""))</f>
        <v>F. Average one-way bicycle trip length in
neighborhood/city</v>
      </c>
      <c r="BF30" s="87" t="str">
        <f t="array" ref="BF30">_xlfn.CONCAT(IF(NOT(ISERROR(SEARCH(BF$10&amp;". ",$AI30:$AY30))),$AI30:$AY30,""))</f>
        <v>G. Average one-way vehicle trip length in
neighborhood/city</v>
      </c>
      <c r="BG30" s="87" t="str">
        <f t="array" ref="BG30">_xlfn.CONCAT(IF(NOT(ISERROR(SEARCH(BG$10&amp;". ",$AI30:$AY30))),$AI30:$AY30,""))</f>
        <v>H. Elasticity of bike commuters with respect to
bikeway miles per 10,000 population</v>
      </c>
      <c r="BH30" s="87" t="str">
        <f t="array" ref="BH30">_xlfn.CONCAT(IF(NOT(ISERROR(SEARCH(BH$10&amp;". ",$AI30:$AY30))),$AI30:$AY30,""))</f>
        <v/>
      </c>
    </row>
    <row r="31" spans="1:60" ht="60" customHeight="1">
      <c r="A31" s="87" t="s">
        <v>337</v>
      </c>
      <c r="B31" s="162" t="s">
        <v>68</v>
      </c>
      <c r="C31" s="137" t="s">
        <v>421</v>
      </c>
      <c r="D31" s="137" t="s">
        <v>422</v>
      </c>
      <c r="E31" s="87" t="s">
        <v>69</v>
      </c>
      <c r="G31" s="137" t="s">
        <v>423</v>
      </c>
      <c r="H31" s="137" t="s">
        <v>424</v>
      </c>
      <c r="I31" s="87" t="s">
        <v>222</v>
      </c>
      <c r="J31" s="87" t="s">
        <v>222</v>
      </c>
      <c r="K31" s="87" t="s">
        <v>222</v>
      </c>
      <c r="L31" s="116">
        <v>3.0000000000000001E-3</v>
      </c>
      <c r="M31" s="137" t="s">
        <v>425</v>
      </c>
      <c r="N31" s="117">
        <v>5.0000000000000001E-3</v>
      </c>
      <c r="O31" s="117"/>
      <c r="P31" s="117"/>
      <c r="Q31" s="117"/>
      <c r="R31" s="118">
        <v>0</v>
      </c>
      <c r="S31" s="118">
        <v>3.0000000000000001E-3</v>
      </c>
      <c r="T31" s="118"/>
      <c r="U31" s="118"/>
      <c r="V31" s="118">
        <v>0</v>
      </c>
      <c r="W31" s="118">
        <v>5.0000000000000001E-3</v>
      </c>
      <c r="X31" s="118">
        <v>5.0000000000000001E-3</v>
      </c>
      <c r="Y31" s="118" t="s">
        <v>160</v>
      </c>
      <c r="Z31" s="119">
        <v>2E-3</v>
      </c>
      <c r="AB31" s="136" t="s">
        <v>403</v>
      </c>
      <c r="AC31" s="105" t="s">
        <v>344</v>
      </c>
      <c r="AD31" s="105" t="s">
        <v>426</v>
      </c>
      <c r="AE31" s="118">
        <v>5.0000000000000001E-3</v>
      </c>
      <c r="AF31" s="120" t="s">
        <v>427</v>
      </c>
      <c r="AG31" s="137" t="s">
        <v>428</v>
      </c>
      <c r="AI31" s="120" t="s">
        <v>429</v>
      </c>
      <c r="AJ31" s="120" t="s">
        <v>430</v>
      </c>
      <c r="AK31" s="120" t="s">
        <v>431</v>
      </c>
      <c r="AL31" s="120" t="s">
        <v>432</v>
      </c>
      <c r="AM31" s="120" t="s">
        <v>433</v>
      </c>
      <c r="AN31" s="120" t="s">
        <v>434</v>
      </c>
      <c r="AO31" s="120" t="s">
        <v>435</v>
      </c>
      <c r="AP31" s="120" t="s">
        <v>436</v>
      </c>
      <c r="AQ31" s="124" t="s">
        <v>437</v>
      </c>
      <c r="AR31" s="124" t="s">
        <v>438</v>
      </c>
      <c r="AS31" s="124" t="s">
        <v>231</v>
      </c>
      <c r="AT31" s="124" t="s">
        <v>231</v>
      </c>
      <c r="AU31" s="121" t="s">
        <v>439</v>
      </c>
      <c r="AV31" s="121" t="s">
        <v>440</v>
      </c>
      <c r="AW31" s="121" t="s">
        <v>441</v>
      </c>
      <c r="AX31" s="121" t="s">
        <v>442</v>
      </c>
      <c r="AY31" s="121" t="s">
        <v>443</v>
      </c>
      <c r="BA31" s="87" t="str">
        <f t="array" ref="BA31">_xlfn.CONCAT(IF(NOT(ISERROR(SEARCH(BA$10&amp;". ",$AI31:$AY31))),$AI31:$AY31,""))</f>
        <v>B. Percent of neighborhood/city VMT on parallel
roadway</v>
      </c>
      <c r="BB31" s="87" t="str">
        <f t="array" ref="BB31">_xlfn.CONCAT(IF(NOT(ISERROR(SEARCH(BB$10&amp;". ",$AI31:$AY31))),$AI31:$AY31,""))</f>
        <v>C. Active transportation adjustment factor</v>
      </c>
      <c r="BC31" s="87" t="str">
        <f t="array" ref="BC31">_xlfn.CONCAT(IF(NOT(ISERROR(SEARCH(BC$10&amp;". ",$AI31:$AY31))),$AI31:$AY31,""))</f>
        <v>D. Credits for activity centers near project</v>
      </c>
      <c r="BD31" s="87" t="str">
        <f t="array" ref="BD31">_xlfn.CONCAT(IF(NOT(ISERROR(SEARCH(BD$10&amp;". ",$AI31:$AY31))),$AI31:$AY31,""))</f>
        <v>E. Growth factor adjustment for facility type</v>
      </c>
      <c r="BE31" s="87" t="str">
        <f t="array" ref="BE31">_xlfn.CONCAT(IF(NOT(ISERROR(SEARCH(BE$10&amp;". ",$AI31:$AY31))),$AI31:$AY31,""))</f>
        <v>F. Annual days of use of new facility</v>
      </c>
      <c r="BF31" s="87" t="str">
        <f t="array" ref="BF31">_xlfn.CONCAT(IF(NOT(ISERROR(SEARCH(BF$10&amp;". ",$AI31:$AY31))),$AI31:$AY31,""))</f>
        <v>G. Existing regional average one-way bicycle trip length</v>
      </c>
      <c r="BG31" s="87" t="str">
        <f t="array" ref="BG31">_xlfn.CONCAT(IF(NOT(ISERROR(SEARCH(BG$10&amp;". ",$AI31:$AY31))),$AI31:$AY31,""))</f>
        <v>H. Existing regional average one-way vehicle trip length</v>
      </c>
      <c r="BH31" s="87" t="str">
        <f t="array" ref="BH31">_xlfn.CONCAT(IF(NOT(ISERROR(SEARCH(BH$10&amp;". ",$AI31:$AY31))),$AI31:$AY31,""))</f>
        <v>I. Days per year</v>
      </c>
    </row>
    <row r="32" spans="1:60" ht="60" customHeight="1">
      <c r="A32" s="87" t="s">
        <v>337</v>
      </c>
      <c r="B32" s="162" t="s">
        <v>72</v>
      </c>
      <c r="C32" s="137" t="s">
        <v>444</v>
      </c>
      <c r="D32" s="137" t="s">
        <v>445</v>
      </c>
      <c r="E32" s="87" t="s">
        <v>73</v>
      </c>
      <c r="F32" s="137" t="s">
        <v>446</v>
      </c>
      <c r="H32" s="137" t="s">
        <v>447</v>
      </c>
      <c r="I32" s="87" t="s">
        <v>222</v>
      </c>
      <c r="J32" s="87" t="s">
        <v>222</v>
      </c>
      <c r="K32" s="87" t="s">
        <v>221</v>
      </c>
      <c r="L32" s="116">
        <v>1E-3</v>
      </c>
      <c r="M32" s="137" t="s">
        <v>343</v>
      </c>
      <c r="N32" s="122">
        <v>1E-3</v>
      </c>
      <c r="O32" s="122"/>
      <c r="P32" s="122"/>
      <c r="Q32" s="122"/>
      <c r="R32" s="118">
        <v>0</v>
      </c>
      <c r="S32" s="118">
        <v>1E-3</v>
      </c>
      <c r="T32" s="118"/>
      <c r="U32" s="118"/>
      <c r="V32" s="118">
        <v>0</v>
      </c>
      <c r="W32" s="118">
        <v>1E-3</v>
      </c>
      <c r="X32" s="118">
        <v>1E-3</v>
      </c>
      <c r="Y32" s="118" t="s">
        <v>160</v>
      </c>
      <c r="Z32" s="119">
        <v>0</v>
      </c>
      <c r="AB32" s="137" t="s">
        <v>285</v>
      </c>
      <c r="AC32" s="105" t="s">
        <v>344</v>
      </c>
      <c r="AD32" s="105" t="s">
        <v>345</v>
      </c>
      <c r="AE32" s="118">
        <v>1E-3</v>
      </c>
      <c r="AF32" s="120" t="s">
        <v>448</v>
      </c>
      <c r="AG32" s="137" t="s">
        <v>449</v>
      </c>
      <c r="AI32" s="120" t="s">
        <v>450</v>
      </c>
      <c r="AJ32" s="120" t="s">
        <v>451</v>
      </c>
      <c r="AK32" s="120" t="s">
        <v>231</v>
      </c>
      <c r="AL32" s="120" t="s">
        <v>231</v>
      </c>
      <c r="AM32" s="120" t="s">
        <v>231</v>
      </c>
      <c r="AN32" s="120" t="s">
        <v>231</v>
      </c>
      <c r="AO32" s="120" t="s">
        <v>231</v>
      </c>
      <c r="AP32" s="120" t="s">
        <v>231</v>
      </c>
      <c r="AQ32" s="124" t="s">
        <v>452</v>
      </c>
      <c r="AR32" s="124" t="s">
        <v>231</v>
      </c>
      <c r="AS32" s="124" t="s">
        <v>231</v>
      </c>
      <c r="AT32" s="124" t="s">
        <v>231</v>
      </c>
      <c r="AU32" s="121" t="s">
        <v>453</v>
      </c>
      <c r="AV32" s="121" t="s">
        <v>454</v>
      </c>
      <c r="AW32" s="121" t="s">
        <v>455</v>
      </c>
      <c r="AX32" s="121" t="s">
        <v>456</v>
      </c>
      <c r="AY32" s="121" t="s">
        <v>231</v>
      </c>
      <c r="BA32" s="87" t="str">
        <f t="array" ref="BA32">_xlfn.CONCAT(IF(NOT(ISERROR(SEARCH(BA$10&amp;". ",$AI32:$AY32))),$AI32:$AY32,""))</f>
        <v>B. Percent of residences in neighborhood/city
with access to bikeshare system without
measure</v>
      </c>
      <c r="BB32" s="87" t="str">
        <f t="array" ref="BB32">_xlfn.CONCAT(IF(NOT(ISERROR(SEARCH(BB$10&amp;". ",$AI32:$AY32))),$AI32:$AY32,""))</f>
        <v>C. Percent of residences in neighborhood/city
with access to bikeshare system with measure</v>
      </c>
      <c r="BC32" s="87" t="str">
        <f t="array" ref="BC32">_xlfn.CONCAT(IF(NOT(ISERROR(SEARCH(BC$10&amp;". ",$AI32:$AY32))),$AI32:$AY32,""))</f>
        <v>D. Daily bikeshare trips per person</v>
      </c>
      <c r="BD32" s="87" t="str">
        <f t="array" ref="BD32">_xlfn.CONCAT(IF(NOT(ISERROR(SEARCH(BD$10&amp;". ",$AI32:$AY32))),$AI32:$AY32,""))</f>
        <v>E. Vehicle to bikeshare substitution rate</v>
      </c>
      <c r="BE32" s="87" t="str">
        <f t="array" ref="BE32">_xlfn.CONCAT(IF(NOT(ISERROR(SEARCH(BE$10&amp;". ",$AI32:$AY32))),$AI32:$AY32,""))</f>
        <v>F. Bikeshare average one-way trip length</v>
      </c>
      <c r="BF32" s="87" t="str">
        <f t="array" ref="BF32">_xlfn.CONCAT(IF(NOT(ISERROR(SEARCH(BF$10&amp;". ",$AI32:$AY32))),$AI32:$AY32,""))</f>
        <v>G. Daily vehicle trips per person</v>
      </c>
      <c r="BG32" s="87" t="str">
        <f t="array" ref="BG32">_xlfn.CONCAT(IF(NOT(ISERROR(SEARCH(BG$10&amp;". ",$AI32:$AY32))),$AI32:$AY32,""))</f>
        <v>H. Regional average one-way vehicle trip length</v>
      </c>
      <c r="BH32" s="87" t="str">
        <f t="array" ref="BH32">_xlfn.CONCAT(IF(NOT(ISERROR(SEARCH(BH$10&amp;". ",$AI32:$AY32))),$AI32:$AY32,""))</f>
        <v/>
      </c>
    </row>
    <row r="33" spans="1:60" ht="60" customHeight="1">
      <c r="A33" s="87" t="s">
        <v>337</v>
      </c>
      <c r="B33" s="162" t="s">
        <v>76</v>
      </c>
      <c r="C33" s="137" t="s">
        <v>457</v>
      </c>
      <c r="D33" s="137" t="s">
        <v>458</v>
      </c>
      <c r="E33" s="87" t="s">
        <v>77</v>
      </c>
      <c r="H33" s="137" t="s">
        <v>459</v>
      </c>
      <c r="I33" s="87" t="s">
        <v>222</v>
      </c>
      <c r="J33" s="87" t="s">
        <v>222</v>
      </c>
      <c r="K33" s="87" t="s">
        <v>221</v>
      </c>
      <c r="L33" s="116">
        <v>7.0000000000000001E-3</v>
      </c>
      <c r="M33" s="137" t="s">
        <v>460</v>
      </c>
      <c r="N33" s="122">
        <v>7.0000000000000001E-3</v>
      </c>
      <c r="O33" s="122"/>
      <c r="P33" s="122"/>
      <c r="Q33" s="122"/>
      <c r="R33" s="118">
        <v>0</v>
      </c>
      <c r="S33" s="118">
        <v>7.0000000000000001E-3</v>
      </c>
      <c r="T33" s="118">
        <v>4.0000000000000001E-3</v>
      </c>
      <c r="U33" s="118">
        <v>7.0000000000000001E-3</v>
      </c>
      <c r="V33" s="118">
        <v>0</v>
      </c>
      <c r="W33" s="118">
        <v>7.0000000000000001E-3</v>
      </c>
      <c r="X33" s="118">
        <v>7.0000000000000001E-3</v>
      </c>
      <c r="Y33" s="118" t="s">
        <v>160</v>
      </c>
      <c r="Z33" s="119">
        <v>0</v>
      </c>
      <c r="AB33" s="137" t="s">
        <v>403</v>
      </c>
      <c r="AC33" s="105" t="s">
        <v>344</v>
      </c>
      <c r="AD33" s="105" t="s">
        <v>345</v>
      </c>
      <c r="AE33" s="118">
        <v>7.0000000000000001E-3</v>
      </c>
      <c r="AF33" s="120" t="s">
        <v>461</v>
      </c>
      <c r="AG33" s="137" t="s">
        <v>462</v>
      </c>
      <c r="AI33" s="120" t="s">
        <v>463</v>
      </c>
      <c r="AJ33" s="120" t="s">
        <v>464</v>
      </c>
      <c r="AK33" s="120" t="s">
        <v>231</v>
      </c>
      <c r="AL33" s="120" t="s">
        <v>231</v>
      </c>
      <c r="AM33" s="120" t="s">
        <v>231</v>
      </c>
      <c r="AN33" s="120" t="s">
        <v>231</v>
      </c>
      <c r="AO33" s="120" t="s">
        <v>231</v>
      </c>
      <c r="AP33" s="120" t="s">
        <v>231</v>
      </c>
      <c r="AQ33" s="124" t="s">
        <v>231</v>
      </c>
      <c r="AR33" s="124" t="s">
        <v>231</v>
      </c>
      <c r="AS33" s="124" t="s">
        <v>231</v>
      </c>
      <c r="AT33" s="124" t="s">
        <v>231</v>
      </c>
      <c r="AU33" s="121" t="s">
        <v>465</v>
      </c>
      <c r="AV33" s="121" t="s">
        <v>466</v>
      </c>
      <c r="AW33" s="121" t="s">
        <v>231</v>
      </c>
      <c r="AX33" s="121" t="s">
        <v>231</v>
      </c>
      <c r="AY33" s="121" t="s">
        <v>231</v>
      </c>
      <c r="BA33" s="87" t="str">
        <f t="array" ref="BA33">_xlfn.CONCAT(IF(NOT(ISERROR(SEARCH(BA$10&amp;". ",$AI33:$AY33))),$AI33:$AY33,""))</f>
        <v>B. Percent of residences in neighborhood/city with
access to carsharing without measure</v>
      </c>
      <c r="BB33" s="87" t="str">
        <f t="array" ref="BB33">_xlfn.CONCAT(IF(NOT(ISERROR(SEARCH(BB$10&amp;". ",$AI33:$AY33))),$AI33:$AY33,""))</f>
        <v>C. Percent of residences in neighborhood/city with
access to carsharing with measure</v>
      </c>
      <c r="BC33" s="87" t="str">
        <f t="array" ref="BC33">_xlfn.CONCAT(IF(NOT(ISERROR(SEARCH(BC$10&amp;". ",$AI33:$AY33))),$AI33:$AY33,""))</f>
        <v>D. Percent of adults with carshare access who
become members</v>
      </c>
      <c r="BD33" s="87" t="str">
        <f t="array" ref="BD33">_xlfn.CONCAT(IF(NOT(ISERROR(SEARCH(BD$10&amp;". ",$AI33:$AY33))),$AI33:$AY33,""))</f>
        <v>E. Percent VMT reduction by carshare members</v>
      </c>
      <c r="BE33" s="87" t="str">
        <f t="array" ref="BE33">_xlfn.CONCAT(IF(NOT(ISERROR(SEARCH(BE$10&amp;". ",$AI33:$AY33))),$AI33:$AY33,""))</f>
        <v/>
      </c>
      <c r="BF33" s="87" t="str">
        <f t="array" ref="BF33">_xlfn.CONCAT(IF(NOT(ISERROR(SEARCH(BF$10&amp;". ",$AI33:$AY33))),$AI33:$AY33,""))</f>
        <v/>
      </c>
      <c r="BG33" s="87" t="str">
        <f t="array" ref="BG33">_xlfn.CONCAT(IF(NOT(ISERROR(SEARCH(BG$10&amp;". ",$AI33:$AY33))),$AI33:$AY33,""))</f>
        <v/>
      </c>
      <c r="BH33" s="87" t="str">
        <f t="array" ref="BH33">_xlfn.CONCAT(IF(NOT(ISERROR(SEARCH(BH$10&amp;". ",$AI33:$AY33))),$AI33:$AY33,""))</f>
        <v/>
      </c>
    </row>
    <row r="34" spans="1:60" ht="60" customHeight="1">
      <c r="A34" s="87" t="s">
        <v>337</v>
      </c>
      <c r="B34" s="162" t="s">
        <v>80</v>
      </c>
      <c r="C34" s="137" t="s">
        <v>293</v>
      </c>
      <c r="D34" s="137" t="s">
        <v>467</v>
      </c>
      <c r="E34" s="87" t="s">
        <v>81</v>
      </c>
      <c r="G34" s="137" t="s">
        <v>468</v>
      </c>
      <c r="H34" s="137" t="s">
        <v>469</v>
      </c>
      <c r="I34" s="87" t="s">
        <v>222</v>
      </c>
      <c r="J34" s="87" t="s">
        <v>222</v>
      </c>
      <c r="K34" s="87" t="s">
        <v>221</v>
      </c>
      <c r="L34" s="123">
        <v>0.02</v>
      </c>
      <c r="M34" s="137" t="s">
        <v>293</v>
      </c>
      <c r="N34" s="122">
        <v>2.3E-2</v>
      </c>
      <c r="O34" s="122"/>
      <c r="P34" s="122"/>
      <c r="Q34" s="122"/>
      <c r="R34" s="118">
        <v>0</v>
      </c>
      <c r="S34" s="118">
        <v>0.02</v>
      </c>
      <c r="T34" s="118">
        <v>0</v>
      </c>
      <c r="U34" s="118">
        <v>0.02</v>
      </c>
      <c r="V34" s="118">
        <v>0</v>
      </c>
      <c r="W34" s="118">
        <v>2.3E-2</v>
      </c>
      <c r="X34" s="118">
        <v>2.3E-2</v>
      </c>
      <c r="Y34" s="118" t="s">
        <v>160</v>
      </c>
      <c r="Z34" s="119">
        <v>2.9999999999999992E-3</v>
      </c>
      <c r="AB34" s="137" t="s">
        <v>470</v>
      </c>
      <c r="AC34" s="105" t="s">
        <v>344</v>
      </c>
      <c r="AD34" s="105" t="s">
        <v>345</v>
      </c>
      <c r="AE34" s="118">
        <v>2.3E-2</v>
      </c>
      <c r="AF34" s="120" t="s">
        <v>471</v>
      </c>
      <c r="AG34" s="137" t="s">
        <v>472</v>
      </c>
      <c r="AI34" s="120" t="s">
        <v>473</v>
      </c>
      <c r="AJ34" s="120" t="s">
        <v>474</v>
      </c>
      <c r="AK34" s="120" t="s">
        <v>231</v>
      </c>
      <c r="AL34" s="120" t="s">
        <v>231</v>
      </c>
      <c r="AM34" s="120" t="s">
        <v>231</v>
      </c>
      <c r="AN34" s="120" t="s">
        <v>231</v>
      </c>
      <c r="AO34" s="120" t="s">
        <v>231</v>
      </c>
      <c r="AP34" s="120" t="s">
        <v>231</v>
      </c>
      <c r="AQ34" s="124" t="s">
        <v>231</v>
      </c>
      <c r="AR34" s="124" t="s">
        <v>231</v>
      </c>
      <c r="AS34" s="124" t="s">
        <v>231</v>
      </c>
      <c r="AT34" s="124" t="s">
        <v>231</v>
      </c>
      <c r="AU34" s="121" t="s">
        <v>475</v>
      </c>
      <c r="AV34" s="121" t="s">
        <v>476</v>
      </c>
      <c r="AW34" s="121" t="s">
        <v>371</v>
      </c>
      <c r="AX34" s="121" t="s">
        <v>231</v>
      </c>
      <c r="AY34" s="121" t="s">
        <v>231</v>
      </c>
      <c r="BA34" s="87" t="str">
        <f t="array" ref="BA34">_xlfn.CONCAT(IF(NOT(ISERROR(SEARCH(BA$10&amp;". ",$AI34:$AY34))),$AI34:$AY34,""))</f>
        <v>B. Residences in neighborhood/city</v>
      </c>
      <c r="BB34" s="87" t="str">
        <f t="array" ref="BB34">_xlfn.CONCAT(IF(NOT(ISERROR(SEARCH(BB$10&amp;". ",$AI34:$AY34))),$AI34:$AY34,""))</f>
        <v>C. Residences in neighborhood/city targeted
with CBTP</v>
      </c>
      <c r="BC34" s="87" t="str">
        <f t="array" ref="BC34">_xlfn.CONCAT(IF(NOT(ISERROR(SEARCH(BC$10&amp;". ",$AI34:$AY34))),$AI34:$AY34,""))</f>
        <v>D. Percent of targeted residences that
participate</v>
      </c>
      <c r="BD34" s="87" t="str">
        <f t="array" ref="BD34">_xlfn.CONCAT(IF(NOT(ISERROR(SEARCH(BD$10&amp;". ",$AI34:$AY34))),$AI34:$AY34,""))</f>
        <v>E. Percent vehicle trip reduction by
participating residences</v>
      </c>
      <c r="BE34" s="87" t="str">
        <f t="array" ref="BE34">_xlfn.CONCAT(IF(NOT(ISERROR(SEARCH(BE$10&amp;". ",$AI34:$AY34))),$AI34:$AY34,""))</f>
        <v>F. Adjustment factor from vehicle trips to VMT</v>
      </c>
      <c r="BF34" s="87" t="str">
        <f t="array" ref="BF34">_xlfn.CONCAT(IF(NOT(ISERROR(SEARCH(BF$10&amp;". ",$AI34:$AY34))),$AI34:$AY34,""))</f>
        <v/>
      </c>
      <c r="BG34" s="87" t="str">
        <f t="array" ref="BG34">_xlfn.CONCAT(IF(NOT(ISERROR(SEARCH(BG$10&amp;". ",$AI34:$AY34))),$AI34:$AY34,""))</f>
        <v/>
      </c>
      <c r="BH34" s="87" t="str">
        <f t="array" ref="BH34">_xlfn.CONCAT(IF(NOT(ISERROR(SEARCH(BH$10&amp;". ",$AI34:$AY34))),$AI34:$AY34,""))</f>
        <v/>
      </c>
    </row>
    <row r="35" spans="1:60" ht="60" customHeight="1">
      <c r="A35" s="87" t="s">
        <v>337</v>
      </c>
      <c r="B35" s="162" t="s">
        <v>82</v>
      </c>
      <c r="C35" s="137" t="s">
        <v>477</v>
      </c>
      <c r="D35" s="137" t="s">
        <v>478</v>
      </c>
      <c r="E35" s="87" t="s">
        <v>83</v>
      </c>
      <c r="F35" s="137" t="s">
        <v>340</v>
      </c>
      <c r="H35" s="137" t="s">
        <v>479</v>
      </c>
      <c r="I35" s="87" t="s">
        <v>222</v>
      </c>
      <c r="J35" s="87" t="s">
        <v>296</v>
      </c>
      <c r="K35" s="87" t="s">
        <v>222</v>
      </c>
      <c r="M35" s="137" t="s">
        <v>480</v>
      </c>
      <c r="N35" s="137" t="s">
        <v>343</v>
      </c>
      <c r="R35" s="118"/>
      <c r="S35" s="118"/>
      <c r="T35" s="118">
        <v>2.5000000000000001E-3</v>
      </c>
      <c r="U35" s="118">
        <v>0.01</v>
      </c>
      <c r="V35" s="118"/>
      <c r="W35" s="118"/>
      <c r="X35" s="118">
        <v>0.01</v>
      </c>
      <c r="Y35" s="118" t="s">
        <v>159</v>
      </c>
      <c r="Z35" s="119" t="s">
        <v>231</v>
      </c>
      <c r="AB35" s="137" t="s">
        <v>481</v>
      </c>
      <c r="AC35" s="105" t="s">
        <v>344</v>
      </c>
      <c r="AD35" s="105" t="s">
        <v>345</v>
      </c>
      <c r="AE35" s="118">
        <v>0.01</v>
      </c>
      <c r="AF35" s="120" t="s">
        <v>482</v>
      </c>
      <c r="AG35" s="137" t="s">
        <v>483</v>
      </c>
      <c r="AI35" s="120" t="s">
        <v>484</v>
      </c>
      <c r="AJ35" s="120" t="s">
        <v>485</v>
      </c>
      <c r="AK35" s="120" t="s">
        <v>231</v>
      </c>
      <c r="AL35" s="120" t="s">
        <v>231</v>
      </c>
      <c r="AM35" s="120" t="s">
        <v>231</v>
      </c>
      <c r="AN35" s="120" t="s">
        <v>231</v>
      </c>
      <c r="AO35" s="120" t="s">
        <v>231</v>
      </c>
      <c r="AP35" s="120" t="s">
        <v>231</v>
      </c>
      <c r="AQ35" s="124" t="s">
        <v>231</v>
      </c>
      <c r="AR35" s="124" t="s">
        <v>231</v>
      </c>
      <c r="AS35" s="124" t="s">
        <v>231</v>
      </c>
      <c r="AT35" s="124" t="s">
        <v>231</v>
      </c>
      <c r="AU35" s="121" t="s">
        <v>231</v>
      </c>
      <c r="AV35" s="121" t="s">
        <v>231</v>
      </c>
      <c r="AW35" s="121" t="s">
        <v>231</v>
      </c>
      <c r="AX35" s="121" t="s">
        <v>231</v>
      </c>
      <c r="AY35" s="121" t="s">
        <v>231</v>
      </c>
      <c r="BA35" s="87" t="str">
        <f t="array" ref="BA35">_xlfn.CONCAT(IF(NOT(ISERROR(SEARCH(BA$10&amp;". ",$AI35:$AY35))),$AI35:$AY35,""))</f>
        <v>B. Percentage of streets within project with traffic calming improvements</v>
      </c>
      <c r="BB35" s="87" t="str">
        <f t="array" ref="BB35">_xlfn.CONCAT(IF(NOT(ISERROR(SEARCH(BB$10&amp;". ",$AI35:$AY35))),$AI35:$AY35,""))</f>
        <v>C. Percentage of intersections within project with traffic calming improvements</v>
      </c>
      <c r="BC35" s="87" t="str">
        <f t="array" ref="BC35">_xlfn.CONCAT(IF(NOT(ISERROR(SEARCH(BC$10&amp;". ",$AI35:$AY35))),$AI35:$AY35,""))</f>
        <v/>
      </c>
      <c r="BD35" s="87" t="str">
        <f t="array" ref="BD35">_xlfn.CONCAT(IF(NOT(ISERROR(SEARCH(BD$10&amp;". ",$AI35:$AY35))),$AI35:$AY35,""))</f>
        <v/>
      </c>
      <c r="BE35" s="87" t="str">
        <f t="array" ref="BE35">_xlfn.CONCAT(IF(NOT(ISERROR(SEARCH(BE$10&amp;". ",$AI35:$AY35))),$AI35:$AY35,""))</f>
        <v/>
      </c>
      <c r="BF35" s="87" t="str">
        <f t="array" ref="BF35">_xlfn.CONCAT(IF(NOT(ISERROR(SEARCH(BF$10&amp;". ",$AI35:$AY35))),$AI35:$AY35,""))</f>
        <v/>
      </c>
      <c r="BG35" s="87" t="str">
        <f t="array" ref="BG35">_xlfn.CONCAT(IF(NOT(ISERROR(SEARCH(BG$10&amp;". ",$AI35:$AY35))),$AI35:$AY35,""))</f>
        <v/>
      </c>
      <c r="BH35" s="87" t="str">
        <f t="array" ref="BH35">_xlfn.CONCAT(IF(NOT(ISERROR(SEARCH(BH$10&amp;". ",$AI35:$AY35))),$AI35:$AY35,""))</f>
        <v/>
      </c>
    </row>
    <row r="36" spans="1:60" ht="60" customHeight="1">
      <c r="A36" s="87" t="s">
        <v>217</v>
      </c>
      <c r="B36" s="162" t="s">
        <v>117</v>
      </c>
      <c r="C36" s="137" t="s">
        <v>486</v>
      </c>
      <c r="D36" s="137" t="s">
        <v>487</v>
      </c>
      <c r="E36" s="87" t="s">
        <v>118</v>
      </c>
      <c r="F36" s="137" t="s">
        <v>340</v>
      </c>
      <c r="G36" s="137" t="s">
        <v>488</v>
      </c>
      <c r="I36" s="87" t="s">
        <v>222</v>
      </c>
      <c r="J36" s="87" t="s">
        <v>222</v>
      </c>
      <c r="K36" s="87" t="s">
        <v>221</v>
      </c>
      <c r="M36" s="137" t="s">
        <v>489</v>
      </c>
      <c r="N36" s="137" t="s">
        <v>490</v>
      </c>
      <c r="R36" s="118"/>
      <c r="S36" s="118"/>
      <c r="T36" s="118">
        <v>0</v>
      </c>
      <c r="U36" s="118">
        <v>6.2500000000000003E-3</v>
      </c>
      <c r="V36" s="118">
        <v>1E-3</v>
      </c>
      <c r="W36" s="118">
        <v>4.3999999999999997E-2</v>
      </c>
      <c r="X36" s="118">
        <v>4.3999999999999997E-2</v>
      </c>
      <c r="Y36" s="118" t="s">
        <v>160</v>
      </c>
      <c r="Z36" s="119" t="s">
        <v>231</v>
      </c>
      <c r="AB36" s="137" t="s">
        <v>260</v>
      </c>
      <c r="AC36" s="105" t="s">
        <v>226</v>
      </c>
      <c r="AD36" s="105" t="s">
        <v>271</v>
      </c>
      <c r="AE36" s="118">
        <v>4.3999999999999997E-2</v>
      </c>
      <c r="AF36" s="120" t="s">
        <v>491</v>
      </c>
      <c r="AG36" s="137" t="s">
        <v>492</v>
      </c>
      <c r="AI36" s="120" t="s">
        <v>231</v>
      </c>
      <c r="AJ36" s="120" t="s">
        <v>231</v>
      </c>
      <c r="AK36" s="120" t="s">
        <v>231</v>
      </c>
      <c r="AL36" s="120" t="s">
        <v>231</v>
      </c>
      <c r="AM36" s="120" t="s">
        <v>231</v>
      </c>
      <c r="AN36" s="120" t="s">
        <v>231</v>
      </c>
      <c r="AO36" s="120" t="s">
        <v>231</v>
      </c>
      <c r="AP36" s="120" t="s">
        <v>231</v>
      </c>
      <c r="AQ36" s="124" t="s">
        <v>493</v>
      </c>
      <c r="AR36" s="124" t="s">
        <v>494</v>
      </c>
      <c r="AS36" s="124" t="s">
        <v>495</v>
      </c>
      <c r="AT36" s="124" t="s">
        <v>496</v>
      </c>
      <c r="AU36" s="121" t="s">
        <v>497</v>
      </c>
      <c r="AV36" s="121" t="s">
        <v>231</v>
      </c>
      <c r="AW36" s="121" t="s">
        <v>231</v>
      </c>
      <c r="AX36" s="121" t="s">
        <v>231</v>
      </c>
      <c r="AY36" s="121" t="s">
        <v>231</v>
      </c>
      <c r="BA36" s="87" t="str">
        <f t="array" ref="BA36">_xlfn.CONCAT(IF(NOT(ISERROR(SEARCH(BA$10&amp;". ",$AI36:$AY36))),$AI36:$AY36,""))</f>
        <v>B. Bike mode adjustment factor</v>
      </c>
      <c r="BB36" s="87" t="str">
        <f t="array" ref="BB36">_xlfn.CONCAT(IF(NOT(ISERROR(SEARCH(BB$10&amp;". ",$AI36:$AY36))),$AI36:$AY36,""))</f>
        <v>C. Existing bicycle trip length for all trips in region</v>
      </c>
      <c r="BC36" s="87" t="str">
        <f t="array" ref="BC36">_xlfn.CONCAT(IF(NOT(ISERROR(SEARCH(BC$10&amp;". ",$AI36:$AY36))),$AI36:$AY36,""))</f>
        <v>D. Existing vehicle trip length for all trips in region</v>
      </c>
      <c r="BD36" s="87" t="str">
        <f t="array" ref="BD36">_xlfn.CONCAT(IF(NOT(ISERROR(SEARCH(BD$10&amp;". ",$AI36:$AY36))),$AI36:$AY36,""))</f>
        <v>E. Existing bicycle mode share for work trips in region</v>
      </c>
      <c r="BE36" s="87" t="str">
        <f t="array" ref="BE36">_xlfn.CONCAT(IF(NOT(ISERROR(SEARCH(BE$10&amp;". ",$AI36:$AY36))),$AI36:$AY36,""))</f>
        <v>F. Existing vehicle mode share for work trips in region</v>
      </c>
      <c r="BF36" s="87" t="str">
        <f t="array" ref="BF36">_xlfn.CONCAT(IF(NOT(ISERROR(SEARCH(BF$10&amp;". ",$AI36:$AY36))),$AI36:$AY36,""))</f>
        <v/>
      </c>
      <c r="BG36" s="87" t="str">
        <f t="array" ref="BG36">_xlfn.CONCAT(IF(NOT(ISERROR(SEARCH(BG$10&amp;". ",$AI36:$AY36))),$AI36:$AY36,""))</f>
        <v/>
      </c>
      <c r="BH36" s="87" t="str">
        <f t="array" ref="BH36">_xlfn.CONCAT(IF(NOT(ISERROR(SEARCH(BH$10&amp;". ",$AI36:$AY36))),$AI36:$AY36,""))</f>
        <v/>
      </c>
    </row>
    <row r="37" spans="1:60" ht="60" customHeight="1">
      <c r="A37" s="87" t="s">
        <v>337</v>
      </c>
      <c r="B37" s="162" t="s">
        <v>94</v>
      </c>
      <c r="C37" s="137" t="s">
        <v>498</v>
      </c>
      <c r="D37" s="137" t="s">
        <v>499</v>
      </c>
      <c r="E37" s="87" t="s">
        <v>95</v>
      </c>
      <c r="H37" s="137" t="s">
        <v>500</v>
      </c>
      <c r="I37" s="87" t="s">
        <v>222</v>
      </c>
      <c r="J37" s="87" t="s">
        <v>222</v>
      </c>
      <c r="K37" s="87" t="s">
        <v>221</v>
      </c>
      <c r="L37" s="116">
        <v>5.8999999999999997E-2</v>
      </c>
      <c r="M37" s="137" t="s">
        <v>501</v>
      </c>
      <c r="N37" s="122">
        <v>4.5999999999999999E-2</v>
      </c>
      <c r="O37" s="122"/>
      <c r="P37" s="122"/>
      <c r="Q37" s="122"/>
      <c r="R37" s="118">
        <v>0</v>
      </c>
      <c r="S37" s="118">
        <v>5.8999999999999997E-2</v>
      </c>
      <c r="T37" s="118">
        <v>1E-3</v>
      </c>
      <c r="U37" s="118">
        <v>8.2000000000000003E-2</v>
      </c>
      <c r="V37" s="118">
        <v>0</v>
      </c>
      <c r="W37" s="118">
        <v>4.5999999999999999E-2</v>
      </c>
      <c r="X37" s="118">
        <v>4.5999999999999999E-2</v>
      </c>
      <c r="Y37" s="118" t="s">
        <v>160</v>
      </c>
      <c r="Z37" s="119">
        <v>-1.2999999999999998E-2</v>
      </c>
      <c r="AB37" s="137" t="s">
        <v>502</v>
      </c>
      <c r="AC37" s="105" t="s">
        <v>344</v>
      </c>
      <c r="AD37" s="105" t="s">
        <v>345</v>
      </c>
      <c r="AE37" s="118">
        <v>4.5999999999999999E-2</v>
      </c>
      <c r="AF37" s="120" t="s">
        <v>503</v>
      </c>
      <c r="AG37" s="137" t="s">
        <v>504</v>
      </c>
      <c r="AI37" s="120" t="s">
        <v>505</v>
      </c>
      <c r="AJ37" s="120" t="s">
        <v>506</v>
      </c>
      <c r="AK37" s="120"/>
      <c r="AL37" s="120" t="s">
        <v>231</v>
      </c>
      <c r="AM37" s="120" t="s">
        <v>231</v>
      </c>
      <c r="AN37" s="120" t="s">
        <v>231</v>
      </c>
      <c r="AO37" s="120" t="s">
        <v>231</v>
      </c>
      <c r="AP37" s="120" t="s">
        <v>231</v>
      </c>
      <c r="AQ37" s="124" t="s">
        <v>507</v>
      </c>
      <c r="AR37" s="124" t="s">
        <v>231</v>
      </c>
      <c r="AS37" s="124" t="s">
        <v>231</v>
      </c>
      <c r="AT37" s="124" t="s">
        <v>231</v>
      </c>
      <c r="AU37" s="121" t="s">
        <v>508</v>
      </c>
      <c r="AV37" s="121" t="s">
        <v>509</v>
      </c>
      <c r="AW37" s="121" t="s">
        <v>510</v>
      </c>
      <c r="AX37" s="121" t="s">
        <v>231</v>
      </c>
      <c r="AY37" s="121" t="s">
        <v>231</v>
      </c>
      <c r="BA37" s="87" t="str">
        <f t="array" ref="BA37">_xlfn.CONCAT(IF(NOT(ISERROR(SEARCH(BA$10&amp;". ",$AI37:$AY37))),$AI37:$AY37,""))</f>
        <v>B. Total transit service miles in
neighborhood/city before expansion</v>
      </c>
      <c r="BB37" s="87" t="str">
        <f t="array" ref="BB37">_xlfn.CONCAT(IF(NOT(ISERROR(SEARCH(BB$10&amp;". ",$AI37:$AY37))),$AI37:$AY37,""))</f>
        <v>C. Total transit service miles in
neighborhood/city after expansion</v>
      </c>
      <c r="BC37" s="87" t="str">
        <f t="array" ref="BC37">_xlfn.CONCAT(IF(NOT(ISERROR(SEARCH(BC$10&amp;". ",$AI37:$AY37))),$AI37:$AY37,""))</f>
        <v>D. Transit mode share in neighborhood/city</v>
      </c>
      <c r="BD37" s="87" t="str">
        <f t="array" ref="BD37">_xlfn.CONCAT(IF(NOT(ISERROR(SEARCH(BD$10&amp;". ",$AI37:$AY37))),$AI37:$AY37,""))</f>
        <v>E. Elasticity of transit demand with respect to
service miles</v>
      </c>
      <c r="BE37" s="87" t="str">
        <f t="array" ref="BE37">_xlfn.CONCAT(IF(NOT(ISERROR(SEARCH(BE$10&amp;". ",$AI37:$AY37))),$AI37:$AY37,""))</f>
        <v>F. Statewide mode shift factor</v>
      </c>
      <c r="BF37" s="87" t="str">
        <f t="array" ref="BF37">_xlfn.CONCAT(IF(NOT(ISERROR(SEARCH(BF$10&amp;". ",$AI37:$AY37))),$AI37:$AY37,""))</f>
        <v>G. Ratio of vehicle trip reduction to VMT</v>
      </c>
      <c r="BG37" s="87" t="str">
        <f t="array" ref="BG37">_xlfn.CONCAT(IF(NOT(ISERROR(SEARCH(BG$10&amp;". ",$AI37:$AY37))),$AI37:$AY37,""))</f>
        <v/>
      </c>
      <c r="BH37" s="87" t="str">
        <f t="array" ref="BH37">_xlfn.CONCAT(IF(NOT(ISERROR(SEARCH(BH$10&amp;". ",$AI37:$AY37))),$AI37:$AY37,""))</f>
        <v/>
      </c>
    </row>
    <row r="38" spans="1:60" ht="60" customHeight="1">
      <c r="A38" s="87" t="s">
        <v>337</v>
      </c>
      <c r="B38" s="162" t="s">
        <v>98</v>
      </c>
      <c r="C38" s="137" t="s">
        <v>511</v>
      </c>
      <c r="D38" s="137" t="s">
        <v>512</v>
      </c>
      <c r="E38" s="87" t="s">
        <v>99</v>
      </c>
      <c r="H38" s="137" t="s">
        <v>513</v>
      </c>
      <c r="I38" s="87" t="s">
        <v>222</v>
      </c>
      <c r="J38" s="87" t="s">
        <v>222</v>
      </c>
      <c r="K38" s="87" t="s">
        <v>221</v>
      </c>
      <c r="L38" s="116">
        <v>8.2000000000000003E-2</v>
      </c>
      <c r="M38" s="137" t="s">
        <v>514</v>
      </c>
      <c r="N38" s="122">
        <v>0.113</v>
      </c>
      <c r="O38" s="122"/>
      <c r="P38" s="122"/>
      <c r="Q38" s="122"/>
      <c r="R38" s="118">
        <v>0</v>
      </c>
      <c r="S38" s="118">
        <v>8.2000000000000003E-2</v>
      </c>
      <c r="T38" s="118">
        <v>2.0000000000000001E-4</v>
      </c>
      <c r="U38" s="118">
        <v>2.5000000000000001E-2</v>
      </c>
      <c r="V38" s="118">
        <v>0</v>
      </c>
      <c r="W38" s="118">
        <v>0.113</v>
      </c>
      <c r="X38" s="118">
        <v>0.113</v>
      </c>
      <c r="Y38" s="118" t="s">
        <v>160</v>
      </c>
      <c r="Z38" s="119">
        <v>3.1E-2</v>
      </c>
      <c r="AB38" s="137" t="s">
        <v>285</v>
      </c>
      <c r="AC38" s="105" t="s">
        <v>344</v>
      </c>
      <c r="AD38" s="105" t="s">
        <v>345</v>
      </c>
      <c r="AE38" s="118">
        <v>0.113</v>
      </c>
      <c r="AF38" s="120" t="s">
        <v>515</v>
      </c>
      <c r="AG38" s="137" t="s">
        <v>516</v>
      </c>
      <c r="AI38" s="120" t="s">
        <v>517</v>
      </c>
      <c r="AJ38" s="120" t="s">
        <v>518</v>
      </c>
      <c r="AK38" s="120" t="s">
        <v>231</v>
      </c>
      <c r="AL38" s="120" t="s">
        <v>231</v>
      </c>
      <c r="AM38" s="120" t="s">
        <v>231</v>
      </c>
      <c r="AN38" s="120" t="s">
        <v>231</v>
      </c>
      <c r="AO38" s="120" t="s">
        <v>231</v>
      </c>
      <c r="AP38" s="120" t="s">
        <v>231</v>
      </c>
      <c r="AQ38" s="124" t="s">
        <v>519</v>
      </c>
      <c r="AR38" s="124" t="s">
        <v>520</v>
      </c>
      <c r="AS38" s="124" t="s">
        <v>231</v>
      </c>
      <c r="AT38" s="124" t="s">
        <v>231</v>
      </c>
      <c r="AU38" s="121" t="s">
        <v>521</v>
      </c>
      <c r="AV38" s="121" t="s">
        <v>522</v>
      </c>
      <c r="AW38" s="121" t="s">
        <v>231</v>
      </c>
      <c r="AX38" s="121" t="s">
        <v>231</v>
      </c>
      <c r="AY38" s="121" t="s">
        <v>231</v>
      </c>
      <c r="BA38" s="87" t="str">
        <f t="array" ref="BA38">_xlfn.CONCAT(IF(NOT(ISERROR(SEARCH(BA$10&amp;". ",$AI38:$AY38))),$AI38:$AY38,""))</f>
        <v>B. Percent increase in transit frequency</v>
      </c>
      <c r="BB38" s="87" t="str">
        <f t="array" ref="BB38">_xlfn.CONCAT(IF(NOT(ISERROR(SEARCH(BB$10&amp;". ",$AI38:$AY38))),$AI38:$AY38,""))</f>
        <v>C. Level of implementation</v>
      </c>
      <c r="BC38" s="87" t="str">
        <f t="array" ref="BC38">_xlfn.CONCAT(IF(NOT(ISERROR(SEARCH(BC$10&amp;". ",$AI38:$AY38))),$AI38:$AY38,""))</f>
        <v>D. Elasticity of transit ridership with respect to
frequency of service</v>
      </c>
      <c r="BD38" s="87" t="str">
        <f t="array" ref="BD38">_xlfn.CONCAT(IF(NOT(ISERROR(SEARCH(BD$10&amp;". ",$AI38:$AY38))),$AI38:$AY38,""))</f>
        <v>E. Transit mode share in neighborhood/city</v>
      </c>
      <c r="BE38" s="87" t="str">
        <f t="array" ref="BE38">_xlfn.CONCAT(IF(NOT(ISERROR(SEARCH(BE$10&amp;". ",$AI38:$AY38))),$AI38:$AY38,""))</f>
        <v>F. Vehicle mode share in neighborhood/city</v>
      </c>
      <c r="BF38" s="87" t="str">
        <f t="array" ref="BF38">_xlfn.CONCAT(IF(NOT(ISERROR(SEARCH(BF$10&amp;". ",$AI38:$AY38))),$AI38:$AY38,""))</f>
        <v>G. Statewide mode shift factor</v>
      </c>
      <c r="BG38" s="87" t="str">
        <f t="array" ref="BG38">_xlfn.CONCAT(IF(NOT(ISERROR(SEARCH(BG$10&amp;". ",$AI38:$AY38))),$AI38:$AY38,""))</f>
        <v/>
      </c>
      <c r="BH38" s="87" t="str">
        <f t="array" ref="BH38">_xlfn.CONCAT(IF(NOT(ISERROR(SEARCH(BH$10&amp;". ",$AI38:$AY38))),$AI38:$AY38,""))</f>
        <v/>
      </c>
    </row>
    <row r="39" spans="1:60" ht="60" customHeight="1">
      <c r="A39" s="87" t="s">
        <v>337</v>
      </c>
      <c r="B39" s="162" t="s">
        <v>100</v>
      </c>
      <c r="C39" s="137" t="s">
        <v>523</v>
      </c>
      <c r="D39" s="137" t="s">
        <v>524</v>
      </c>
      <c r="E39" s="87" t="s">
        <v>101</v>
      </c>
      <c r="G39" s="137" t="s">
        <v>525</v>
      </c>
      <c r="H39" s="137" t="s">
        <v>526</v>
      </c>
      <c r="I39" s="87" t="s">
        <v>222</v>
      </c>
      <c r="J39" s="87" t="s">
        <v>222</v>
      </c>
      <c r="K39" s="87" t="s">
        <v>221</v>
      </c>
      <c r="L39" s="116">
        <v>4.0000000000000001E-3</v>
      </c>
      <c r="M39" s="137" t="s">
        <v>343</v>
      </c>
      <c r="N39" s="122">
        <v>6.0000000000000001E-3</v>
      </c>
      <c r="O39" s="122"/>
      <c r="P39" s="122"/>
      <c r="Q39" s="122"/>
      <c r="R39" s="118">
        <v>0</v>
      </c>
      <c r="S39" s="118">
        <v>4.0000000000000001E-3</v>
      </c>
      <c r="T39" s="118"/>
      <c r="U39" s="118"/>
      <c r="V39" s="118">
        <v>0</v>
      </c>
      <c r="W39" s="118">
        <v>6.0000000000000001E-3</v>
      </c>
      <c r="X39" s="118">
        <v>6.0000000000000001E-3</v>
      </c>
      <c r="Y39" s="118" t="s">
        <v>160</v>
      </c>
      <c r="Z39" s="119">
        <v>2E-3</v>
      </c>
      <c r="AB39" s="137" t="s">
        <v>285</v>
      </c>
      <c r="AC39" s="105" t="s">
        <v>344</v>
      </c>
      <c r="AD39" s="105" t="s">
        <v>345</v>
      </c>
      <c r="AE39" s="118">
        <v>6.0000000000000001E-3</v>
      </c>
      <c r="AF39" s="120" t="s">
        <v>527</v>
      </c>
      <c r="AG39" s="137" t="s">
        <v>528</v>
      </c>
      <c r="AI39" s="120" t="s">
        <v>529</v>
      </c>
      <c r="AJ39" s="120" t="s">
        <v>231</v>
      </c>
      <c r="AK39" s="120" t="s">
        <v>231</v>
      </c>
      <c r="AL39" s="120" t="s">
        <v>231</v>
      </c>
      <c r="AM39" s="120" t="s">
        <v>231</v>
      </c>
      <c r="AN39" s="120" t="s">
        <v>231</v>
      </c>
      <c r="AO39" s="120" t="s">
        <v>231</v>
      </c>
      <c r="AP39" s="120" t="s">
        <v>231</v>
      </c>
      <c r="AQ39" s="124" t="s">
        <v>530</v>
      </c>
      <c r="AR39" s="124" t="s">
        <v>531</v>
      </c>
      <c r="AS39" s="124" t="s">
        <v>532</v>
      </c>
      <c r="AT39" s="124" t="s">
        <v>231</v>
      </c>
      <c r="AU39" s="121" t="s">
        <v>533</v>
      </c>
      <c r="AV39" s="121" t="s">
        <v>522</v>
      </c>
      <c r="AW39" s="121" t="s">
        <v>231</v>
      </c>
      <c r="AX39" s="121" t="s">
        <v>231</v>
      </c>
      <c r="AY39" s="121" t="s">
        <v>231</v>
      </c>
      <c r="BA39" s="87" t="str">
        <f t="array" ref="BA39">_xlfn.CONCAT(IF(NOT(ISERROR(SEARCH(BA$10&amp;". ",$AI39:$AY39))),$AI39:$AY39,""))</f>
        <v>B. Percent of neighborhood/city transit
routes that receive treatments</v>
      </c>
      <c r="BB39" s="87" t="str">
        <f t="array" ref="BB39">_xlfn.CONCAT(IF(NOT(ISERROR(SEARCH(BB$10&amp;". ",$AI39:$AY39))),$AI39:$AY39,""))</f>
        <v>C. Percent change in transit travel time due
to treatments</v>
      </c>
      <c r="BC39" s="87" t="str">
        <f t="array" ref="BC39">_xlfn.CONCAT(IF(NOT(ISERROR(SEARCH(BC$10&amp;". ",$AI39:$AY39))),$AI39:$AY39,""))</f>
        <v>D. Elasticity of transit ridership with
respect to transit travel time</v>
      </c>
      <c r="BD39" s="87" t="str">
        <f t="array" ref="BD39">_xlfn.CONCAT(IF(NOT(ISERROR(SEARCH(BD$10&amp;". ",$AI39:$AY39))),$AI39:$AY39,""))</f>
        <v>E. Transit mode share in
neighborhood/city</v>
      </c>
      <c r="BE39" s="87" t="str">
        <f t="array" ref="BE39">_xlfn.CONCAT(IF(NOT(ISERROR(SEARCH(BE$10&amp;". ",$AI39:$AY39))),$AI39:$AY39,""))</f>
        <v>F. Vehicle mode share in
neighborhood/city</v>
      </c>
      <c r="BF39" s="87" t="str">
        <f t="array" ref="BF39">_xlfn.CONCAT(IF(NOT(ISERROR(SEARCH(BF$10&amp;". ",$AI39:$AY39))),$AI39:$AY39,""))</f>
        <v>G. Statewide mode shift factor</v>
      </c>
      <c r="BG39" s="87" t="str">
        <f t="array" ref="BG39">_xlfn.CONCAT(IF(NOT(ISERROR(SEARCH(BG$10&amp;". ",$AI39:$AY39))),$AI39:$AY39,""))</f>
        <v/>
      </c>
      <c r="BH39" s="87" t="str">
        <f t="array" ref="BH39">_xlfn.CONCAT(IF(NOT(ISERROR(SEARCH(BH$10&amp;". ",$AI39:$AY39))),$AI39:$AY39,""))</f>
        <v/>
      </c>
    </row>
    <row r="40" spans="1:60" ht="60" customHeight="1">
      <c r="A40" s="87" t="s">
        <v>337</v>
      </c>
      <c r="B40" s="162" t="s">
        <v>103</v>
      </c>
      <c r="C40" s="137" t="s">
        <v>293</v>
      </c>
      <c r="D40" s="137" t="s">
        <v>534</v>
      </c>
      <c r="E40" s="87" t="s">
        <v>104</v>
      </c>
      <c r="H40" s="137" t="s">
        <v>535</v>
      </c>
      <c r="I40" s="87" t="s">
        <v>222</v>
      </c>
      <c r="J40" s="87" t="s">
        <v>222</v>
      </c>
      <c r="K40" s="87" t="s">
        <v>221</v>
      </c>
      <c r="L40" s="116">
        <v>1.2E-2</v>
      </c>
      <c r="M40" s="137" t="s">
        <v>293</v>
      </c>
      <c r="N40" s="122">
        <v>1.2E-2</v>
      </c>
      <c r="O40" s="122"/>
      <c r="P40" s="122"/>
      <c r="Q40" s="122"/>
      <c r="R40" s="118">
        <v>0</v>
      </c>
      <c r="S40" s="118">
        <v>1.2E-2</v>
      </c>
      <c r="T40" s="118"/>
      <c r="U40" s="118"/>
      <c r="V40" s="118">
        <v>0</v>
      </c>
      <c r="W40" s="118">
        <v>1.2E-2</v>
      </c>
      <c r="X40" s="118">
        <v>1.2E-2</v>
      </c>
      <c r="Y40" s="118" t="s">
        <v>160</v>
      </c>
      <c r="Z40" s="119">
        <v>0</v>
      </c>
      <c r="AB40" s="137" t="s">
        <v>536</v>
      </c>
      <c r="AC40" s="105" t="s">
        <v>344</v>
      </c>
      <c r="AD40" s="105" t="s">
        <v>345</v>
      </c>
      <c r="AE40" s="118">
        <v>1.2E-2</v>
      </c>
      <c r="AF40" s="120" t="s">
        <v>537</v>
      </c>
      <c r="AG40" s="137" t="s">
        <v>516</v>
      </c>
      <c r="AI40" s="120" t="s">
        <v>538</v>
      </c>
      <c r="AJ40" s="120" t="s">
        <v>539</v>
      </c>
      <c r="AK40" s="120" t="s">
        <v>231</v>
      </c>
      <c r="AL40" s="120" t="s">
        <v>231</v>
      </c>
      <c r="AM40" s="120" t="s">
        <v>231</v>
      </c>
      <c r="AN40" s="120" t="s">
        <v>231</v>
      </c>
      <c r="AO40" s="120" t="s">
        <v>231</v>
      </c>
      <c r="AP40" s="120" t="s">
        <v>231</v>
      </c>
      <c r="AQ40" s="124" t="s">
        <v>519</v>
      </c>
      <c r="AR40" s="124" t="s">
        <v>520</v>
      </c>
      <c r="AS40" s="124" t="s">
        <v>231</v>
      </c>
      <c r="AT40" s="124" t="s">
        <v>231</v>
      </c>
      <c r="AU40" s="121" t="s">
        <v>540</v>
      </c>
      <c r="AV40" s="121" t="s">
        <v>522</v>
      </c>
      <c r="AW40" s="121" t="s">
        <v>231</v>
      </c>
      <c r="AX40" s="121" t="s">
        <v>231</v>
      </c>
      <c r="AY40" s="121" t="s">
        <v>231</v>
      </c>
      <c r="BA40" s="87" t="str">
        <f t="array" ref="BA40">_xlfn.CONCAT(IF(NOT(ISERROR(SEARCH(BA$10&amp;". ",$AI40:$AY40))),$AI40:$AY40,""))</f>
        <v>B. Percent reduction in transit fare with
measure</v>
      </c>
      <c r="BB40" s="87" t="str">
        <f t="array" ref="BB40">_xlfn.CONCAT(IF(NOT(ISERROR(SEARCH(BB$10&amp;". ",$AI40:$AY40))),$AI40:$AY40,""))</f>
        <v>C. Percent of neighborhood/city transit
routes that receive reduced fares</v>
      </c>
      <c r="BC40" s="87" t="str">
        <f t="array" ref="BC40">_xlfn.CONCAT(IF(NOT(ISERROR(SEARCH(BC$10&amp;". ",$AI40:$AY40))),$AI40:$AY40,""))</f>
        <v>D. Elasticity of transit ridership with respect
to transit fare</v>
      </c>
      <c r="BD40" s="87" t="str">
        <f t="array" ref="BD40">_xlfn.CONCAT(IF(NOT(ISERROR(SEARCH(BD$10&amp;". ",$AI40:$AY40))),$AI40:$AY40,""))</f>
        <v>E. Transit mode share in neighborhood/city</v>
      </c>
      <c r="BE40" s="87" t="str">
        <f t="array" ref="BE40">_xlfn.CONCAT(IF(NOT(ISERROR(SEARCH(BE$10&amp;". ",$AI40:$AY40))),$AI40:$AY40,""))</f>
        <v>F. Vehicle mode share in neighborhood/city</v>
      </c>
      <c r="BF40" s="87" t="str">
        <f t="array" ref="BF40">_xlfn.CONCAT(IF(NOT(ISERROR(SEARCH(BF$10&amp;". ",$AI40:$AY40))),$AI40:$AY40,""))</f>
        <v>G. Statewide mode shift factor</v>
      </c>
      <c r="BG40" s="87" t="str">
        <f t="array" ref="BG40">_xlfn.CONCAT(IF(NOT(ISERROR(SEARCH(BG$10&amp;". ",$AI40:$AY40))),$AI40:$AY40,""))</f>
        <v/>
      </c>
      <c r="BH40" s="87" t="str">
        <f t="array" ref="BH40">_xlfn.CONCAT(IF(NOT(ISERROR(SEARCH(BH$10&amp;". ",$AI40:$AY40))),$AI40:$AY40,""))</f>
        <v/>
      </c>
    </row>
    <row r="41" spans="1:60" ht="60" customHeight="1">
      <c r="A41" s="127" t="s">
        <v>337</v>
      </c>
      <c r="B41" s="163" t="s">
        <v>106</v>
      </c>
      <c r="C41" s="128" t="s">
        <v>541</v>
      </c>
      <c r="D41" s="128" t="s">
        <v>293</v>
      </c>
      <c r="E41" s="127" t="s">
        <v>107</v>
      </c>
      <c r="F41" s="128"/>
      <c r="G41" s="128"/>
      <c r="H41" s="128" t="s">
        <v>542</v>
      </c>
      <c r="I41" s="127" t="s">
        <v>222</v>
      </c>
      <c r="J41" s="127" t="s">
        <v>296</v>
      </c>
      <c r="K41" s="127" t="s">
        <v>221</v>
      </c>
      <c r="L41" s="129">
        <v>1E-3</v>
      </c>
      <c r="M41" s="128" t="s">
        <v>543</v>
      </c>
      <c r="N41" s="128" t="s">
        <v>293</v>
      </c>
      <c r="O41" s="128"/>
      <c r="P41" s="128"/>
      <c r="Q41" s="128"/>
      <c r="R41" s="130">
        <v>0</v>
      </c>
      <c r="S41" s="130">
        <v>1E-3</v>
      </c>
      <c r="T41" s="130">
        <v>5.0000000000000001E-3</v>
      </c>
      <c r="U41" s="130">
        <v>0.127</v>
      </c>
      <c r="V41" s="130"/>
      <c r="W41" s="130"/>
      <c r="X41" s="130">
        <v>1E-3</v>
      </c>
      <c r="Y41" s="130" t="s">
        <v>298</v>
      </c>
      <c r="Z41" s="131">
        <v>0</v>
      </c>
      <c r="AA41" s="127"/>
      <c r="AB41" s="128" t="s">
        <v>299</v>
      </c>
      <c r="AC41" s="105" t="s">
        <v>344</v>
      </c>
      <c r="AD41" s="105" t="s">
        <v>345</v>
      </c>
      <c r="AE41" s="87" t="s">
        <v>231</v>
      </c>
      <c r="AF41" s="106" t="s">
        <v>231</v>
      </c>
      <c r="AG41" s="87" t="s">
        <v>231</v>
      </c>
      <c r="AH41" s="87" t="s">
        <v>231</v>
      </c>
      <c r="AI41" s="120" t="s">
        <v>231</v>
      </c>
      <c r="AJ41" s="120" t="s">
        <v>231</v>
      </c>
      <c r="AK41" s="120" t="s">
        <v>231</v>
      </c>
      <c r="AL41" s="120" t="s">
        <v>231</v>
      </c>
      <c r="AM41" s="120" t="s">
        <v>231</v>
      </c>
      <c r="AN41" s="120" t="s">
        <v>231</v>
      </c>
      <c r="AO41" s="120" t="s">
        <v>231</v>
      </c>
      <c r="AP41" s="120" t="s">
        <v>231</v>
      </c>
      <c r="AQ41" s="124" t="s">
        <v>231</v>
      </c>
      <c r="AR41" s="124" t="s">
        <v>231</v>
      </c>
      <c r="AS41" s="124" t="s">
        <v>231</v>
      </c>
      <c r="AT41" s="124" t="s">
        <v>231</v>
      </c>
      <c r="AU41" s="121" t="s">
        <v>231</v>
      </c>
      <c r="AV41" s="121" t="s">
        <v>231</v>
      </c>
      <c r="AW41" s="121" t="s">
        <v>231</v>
      </c>
      <c r="AX41" s="121" t="s">
        <v>231</v>
      </c>
      <c r="AY41" s="121" t="s">
        <v>231</v>
      </c>
      <c r="BA41" s="87" t="str">
        <f t="array" ref="BA41">_xlfn.CONCAT(IF(NOT(ISERROR(SEARCH(BA$10&amp;". ",$AI41:$AY41))),$AI41:$AY41,""))</f>
        <v/>
      </c>
      <c r="BB41" s="87" t="str">
        <f t="array" ref="BB41">_xlfn.CONCAT(IF(NOT(ISERROR(SEARCH(BB$10&amp;". ",$AI41:$AY41))),$AI41:$AY41,""))</f>
        <v/>
      </c>
      <c r="BC41" s="87" t="str">
        <f t="array" ref="BC41">_xlfn.CONCAT(IF(NOT(ISERROR(SEARCH(BC$10&amp;". ",$AI41:$AY41))),$AI41:$AY41,""))</f>
        <v/>
      </c>
      <c r="BD41" s="87" t="str">
        <f t="array" ref="BD41">_xlfn.CONCAT(IF(NOT(ISERROR(SEARCH(BD$10&amp;". ",$AI41:$AY41))),$AI41:$AY41,""))</f>
        <v/>
      </c>
      <c r="BE41" s="87" t="str">
        <f t="array" ref="BE41">_xlfn.CONCAT(IF(NOT(ISERROR(SEARCH(BE$10&amp;". ",$AI41:$AY41))),$AI41:$AY41,""))</f>
        <v/>
      </c>
      <c r="BF41" s="87" t="str">
        <f t="array" ref="BF41">_xlfn.CONCAT(IF(NOT(ISERROR(SEARCH(BF$10&amp;". ",$AI41:$AY41))),$AI41:$AY41,""))</f>
        <v/>
      </c>
      <c r="BG41" s="87" t="str">
        <f t="array" ref="BG41">_xlfn.CONCAT(IF(NOT(ISERROR(SEARCH(BG$10&amp;". ",$AI41:$AY41))),$AI41:$AY41,""))</f>
        <v/>
      </c>
      <c r="BH41" s="87" t="str">
        <f t="array" ref="BH41">_xlfn.CONCAT(IF(NOT(ISERROR(SEARCH(BH$10&amp;". ",$AI41:$AY41))),$AI41:$AY41,""))</f>
        <v/>
      </c>
    </row>
  </sheetData>
  <sheetProtection algorithmName="SHA-512" hashValue="I5mOjx5PqIWEe3HQmd+14lMk0sc8RFruCXqdfXUZW56yc94Osli0czPAoPGBZsA1Z57sYnx75AyUEU4b/6tzJw==" saltValue="GnzfxFr80wGY9A6t74903w==" spinCount="100000" sheet="1" objects="1" scenarios="1"/>
  <sortState xmlns:xlrd2="http://schemas.microsoft.com/office/spreadsheetml/2017/richdata2" ref="A11:BD41">
    <sortCondition ref="B11:B41"/>
  </sortState>
  <conditionalFormatting sqref="Z11:Z41">
    <cfRule type="colorScale" priority="1">
      <colorScale>
        <cfvo type="min"/>
        <cfvo type="num" val="0"/>
        <cfvo type="max"/>
        <color rgb="FFF8696B"/>
        <color rgb="FFFCFCFF"/>
        <color rgb="FF63BE7B"/>
      </colorScale>
    </cfRule>
  </conditionalFormatting>
  <hyperlinks>
    <hyperlink ref="B38" location="'5B T freq'!A1" display="5B" xr:uid="{F73AFA0F-1526-4154-9033-00746DCA6FCF}"/>
    <hyperlink ref="B39" location="'5C T treatments'!A1" display="5C" xr:uid="{5DA86EFD-02EA-4C02-AAD1-8D122592A0C8}"/>
    <hyperlink ref="B40" location="'5D T fare reduction'!A1" display="5D" xr:uid="{0547776C-F693-415B-AED6-0F93149E5CE1}"/>
    <hyperlink ref="B41" location="'5E microtransit'!A1" display="5E" xr:uid="{B8B94866-E56A-49BF-AC75-4254E0075B1D}"/>
    <hyperlink ref="B37" location="'5A T network exp'!A1" display="5A" xr:uid="{5AE10A04-FD76-4AFC-B6AF-CD06D4FFFBF1}"/>
    <hyperlink ref="B36" location="'4I bike facility'!A1" display="4I" xr:uid="{29D0559F-8759-409A-97E7-240E4BB27EAB}"/>
    <hyperlink ref="B35" location="'4H traffic calming'!A1" display="4H" xr:uid="{0F787A86-2A06-410A-A92C-0FF1AAC7FD8E}"/>
    <hyperlink ref="B34" location="'4G CBTP'!A1" display="4G" xr:uid="{CE44B40D-60FF-417E-9A60-10365927692B}"/>
    <hyperlink ref="B33" location="'4F carshare'!A1" display="4F" xr:uid="{BF0B6E53-EE21-41EA-AD40-B24CF9679D2B}"/>
    <hyperlink ref="B32" location="'4E bikeshare'!A1" display="4E" xr:uid="{5894545F-27FB-4436-A1B6-80759B5545B0}"/>
    <hyperlink ref="B31" location="'4D bike project'!A1" display="4D" xr:uid="{8A28E946-8309-46DC-B99D-E3A3C3C882D6}"/>
    <hyperlink ref="B30" location="'4C bike network'!A1" display="4C" xr:uid="{9DBE2BA1-DA80-41D5-B13E-86771E55FB1C}"/>
    <hyperlink ref="B29" location="'4B sidewalks'!A1" display="4B" xr:uid="{D270B308-248F-46D7-B8AA-9A557F78B505}"/>
    <hyperlink ref="B28" location="'4A street connect'!A1" display="4A" xr:uid="{EEB12A27-778A-4507-8C9C-8AA12E34B849}"/>
    <hyperlink ref="B27" location="'3C limit parking'!A1" display="3C" xr:uid="{0EEE36C3-2D52-4A9E-B410-8BDE7A71EF50}"/>
    <hyperlink ref="B26" location="'3B parking cash-out'!A1" display="3B" xr:uid="{65552651-7496-4588-8046-BC7DD322E1B3}"/>
    <hyperlink ref="B24" location="'3A parking price'!A1" display="3A" xr:uid="{C1CC6BA7-DC8D-492C-9CF9-7CC6FDDE944D}"/>
    <hyperlink ref="B23" location="'2C affordable housing'!A1" display="2C" xr:uid="{EF83E079-5A3C-45C3-AD23-806CDF5575C7}"/>
    <hyperlink ref="B22" location="'2B2 Inc Emp Dens'!A1" display="2B2" xr:uid="{6243DD57-1C2D-4591-A7B6-AAA163021192}"/>
    <hyperlink ref="B21" location="'2B1 Inc Res Dens'!A1" display="2B1" xr:uid="{7F83CD6D-CC3F-448D-B6E7-A0C086865C49}"/>
    <hyperlink ref="B19" location="'2A TOD'!A1" display="2A" xr:uid="{EC5AEB5E-C727-450D-95D3-47FF2E053C22}"/>
    <hyperlink ref="B18" location="'1F telecommute'!A1" display="1F" xr:uid="{DF8A7531-60C8-4A53-9811-BF2AEE723387}"/>
    <hyperlink ref="B17" location="'1E vanpool'!A1" display="1E" xr:uid="{5BE986D0-718B-4D0E-B2E3-94471B872444}"/>
    <hyperlink ref="B14" location="'1D transit subsidy'!A1" display="1D" xr:uid="{440171DB-869E-4EFA-A9F0-ECB19EA79963}"/>
    <hyperlink ref="B13" location="'1C carpool'!A1" display="1C" xr:uid="{10208770-9DD9-486C-8CBF-B65DB1287AB8}"/>
    <hyperlink ref="B12" location="'1B CTR program'!A1" display="1B" xr:uid="{ABE89C02-2F1D-4521-B689-D8EA598568A4}"/>
    <hyperlink ref="B11" location="'1A VCTR program'!A1" display="1A" xr:uid="{4000C6A5-99CF-4B2E-9E6A-4C4CD38F2B54}"/>
    <hyperlink ref="B25" location="'3A2 price res parking'!A1" display="3A2" xr:uid="{F17721B2-8F29-41F0-9DCA-2F26D7DF82B4}"/>
    <hyperlink ref="B15" location="'1D2 transit subsidy (residents)'!A1" display="1D2" xr:uid="{069E53F1-7DFE-4C29-9EEC-47B408B829FE}"/>
  </hyperlink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2C3D5-FBCD-46A9-B092-1CF08A11209E}">
  <sheetPr codeName="Sheet29"/>
  <dimension ref="A1:CS22"/>
  <sheetViews>
    <sheetView workbookViewId="0">
      <selection activeCell="D15" sqref="D15"/>
    </sheetView>
  </sheetViews>
  <sheetFormatPr defaultRowHeight="15"/>
  <cols>
    <col min="1" max="1" width="17.42578125" bestFit="1" customWidth="1"/>
    <col min="4" max="4" width="49.42578125" bestFit="1" customWidth="1"/>
    <col min="5" max="5" width="16" customWidth="1"/>
    <col min="8" max="8" width="34.140625" bestFit="1" customWidth="1"/>
    <col min="9" max="9" width="15.140625" bestFit="1" customWidth="1"/>
    <col min="13" max="13" width="34.140625" bestFit="1" customWidth="1"/>
    <col min="14" max="14" width="15.140625" bestFit="1" customWidth="1"/>
    <col min="17" max="17" width="34.140625" bestFit="1" customWidth="1"/>
    <col min="21" max="21" width="34.140625" bestFit="1" customWidth="1"/>
    <col min="26" max="26" width="34.140625" bestFit="1" customWidth="1"/>
    <col min="46" max="46" width="38" bestFit="1" customWidth="1"/>
    <col min="54" max="54" width="34.140625" bestFit="1" customWidth="1"/>
    <col min="66" max="66" width="52" bestFit="1" customWidth="1"/>
    <col min="70" max="70" width="34.140625" bestFit="1" customWidth="1"/>
  </cols>
  <sheetData>
    <row r="1" spans="1:97">
      <c r="A1" s="87" t="s">
        <v>162</v>
      </c>
      <c r="C1" t="s">
        <v>62</v>
      </c>
      <c r="G1" t="s">
        <v>544</v>
      </c>
      <c r="L1" t="s">
        <v>545</v>
      </c>
      <c r="P1" t="s">
        <v>74</v>
      </c>
      <c r="T1" t="s">
        <v>546</v>
      </c>
      <c r="V1" t="s">
        <v>547</v>
      </c>
      <c r="Y1" t="s">
        <v>64</v>
      </c>
      <c r="AC1" t="s">
        <v>68</v>
      </c>
      <c r="AL1" t="s">
        <v>68</v>
      </c>
      <c r="AS1" t="s">
        <v>68</v>
      </c>
      <c r="AW1" t="s">
        <v>68</v>
      </c>
      <c r="BA1" t="s">
        <v>72</v>
      </c>
      <c r="BE1" t="s">
        <v>82</v>
      </c>
      <c r="BM1" t="s">
        <v>547</v>
      </c>
      <c r="BQ1" t="s">
        <v>547</v>
      </c>
      <c r="BV1" t="s">
        <v>548</v>
      </c>
      <c r="BY1" t="s">
        <v>549</v>
      </c>
      <c r="CB1" t="s">
        <v>550</v>
      </c>
      <c r="CE1" t="s">
        <v>551</v>
      </c>
      <c r="CH1" t="s">
        <v>78</v>
      </c>
    </row>
    <row r="2" spans="1:97">
      <c r="A2" s="87" t="s">
        <v>164</v>
      </c>
      <c r="C2" t="s">
        <v>552</v>
      </c>
      <c r="G2" t="s">
        <v>553</v>
      </c>
      <c r="L2" t="s">
        <v>554</v>
      </c>
      <c r="P2" t="s">
        <v>555</v>
      </c>
      <c r="T2" t="s">
        <v>556</v>
      </c>
      <c r="Y2" t="s">
        <v>557</v>
      </c>
      <c r="AC2" t="s">
        <v>558</v>
      </c>
      <c r="AL2" t="s">
        <v>559</v>
      </c>
      <c r="AS2" t="s">
        <v>560</v>
      </c>
      <c r="AW2" t="s">
        <v>561</v>
      </c>
      <c r="BA2" t="s">
        <v>562</v>
      </c>
      <c r="BE2" t="s">
        <v>478</v>
      </c>
      <c r="BM2" t="s">
        <v>563</v>
      </c>
      <c r="BQ2" t="s">
        <v>564</v>
      </c>
      <c r="BV2" t="s">
        <v>565</v>
      </c>
      <c r="BY2" t="s">
        <v>566</v>
      </c>
      <c r="CB2" t="s">
        <v>567</v>
      </c>
      <c r="CE2" t="s">
        <v>568</v>
      </c>
      <c r="CH2" t="s">
        <v>569</v>
      </c>
    </row>
    <row r="3" spans="1:97" ht="15" customHeight="1">
      <c r="A3" s="87" t="s">
        <v>570</v>
      </c>
      <c r="C3" s="156" t="e">
        <f>INDEX(E11:E14,MATCH(1,C11:C14,0),1)</f>
        <v>#N/A</v>
      </c>
      <c r="G3" s="156">
        <f>INDEX(I11:I16,MATCH(1,G11:G16,0),1)</f>
        <v>0.1138</v>
      </c>
      <c r="H3" s="156">
        <f>INDEX(J11:J16,MATCH(1,G11:G16,0),1)</f>
        <v>0.86960000000000004</v>
      </c>
      <c r="L3" s="156">
        <f>INDEX(N11:N16,MATCH(1,L11:L16,0),1)</f>
        <v>0.25600000000000001</v>
      </c>
      <c r="P3" s="156">
        <f>INDEX(R11:R16,MATCH(1,P11:P16,0),1)</f>
        <v>15.63</v>
      </c>
      <c r="T3" s="156">
        <f>INDEX(V11:V16,MATCH(1,T11:T16,0),1)</f>
        <v>2.1</v>
      </c>
      <c r="U3" s="156">
        <f>INDEX(W11:W16,MATCH(1,T11:T16,0),1)</f>
        <v>12.4</v>
      </c>
      <c r="Y3" s="156">
        <f>INDEX(AA11:AA16,MATCH(1,Y11:Y16,0),1)</f>
        <v>4.7000000000000002E-3</v>
      </c>
      <c r="AC3" s="156" t="e">
        <f>INDEX(AH11:AJ22,MATCH(1,AC11:AC22,0),MATCH(1,AH8:AJ8,0))</f>
        <v>#N/A</v>
      </c>
      <c r="AL3" s="156">
        <f>INDEX(AQ11:AQ14,MATCH(1,AM11:AM14,0),1)+INDEX(AP11:AP14,MATCH(1,AL11:AL14,0),1)</f>
        <v>0</v>
      </c>
      <c r="AS3" s="156" t="e">
        <f>INDEX(AU11:AU13,MATCH(1,AS11:AS13,0),1)</f>
        <v>#N/A</v>
      </c>
      <c r="BA3" s="156">
        <f>INDEX(BC11:BC16,MATCH(1,BA11:BA16,0),1)</f>
        <v>12.43</v>
      </c>
      <c r="BE3" s="156">
        <f>INDEX(BG11:BK15,MATCH(1,BE11:BE15,0),MATCH(1,BG8:BK8,0))</f>
        <v>0</v>
      </c>
      <c r="BM3" s="156" t="e">
        <f>INDEX(BO11:BO12,MATCH(1,BM11:BM12,0),1)</f>
        <v>#N/A</v>
      </c>
      <c r="BQ3" s="156">
        <f>INDEX(BS11:BS16,MATCH(1,BQ11:BQ16,0),1)</f>
        <v>2.8000000000000001E-2</v>
      </c>
      <c r="BR3" s="156">
        <f>INDEX(BT11:BT16,MATCH(1,BQ11:BQ16,0),1)</f>
        <v>0.67100000000000004</v>
      </c>
      <c r="CH3" s="180" t="e">
        <f>INDEX(CJ11:CJ14,MATCH(1,CH11:CH14,0),1)</f>
        <v>#N/A</v>
      </c>
      <c r="CI3" s="174"/>
      <c r="CJ3" s="174"/>
      <c r="CK3" s="174"/>
      <c r="CL3" s="174"/>
      <c r="CM3" s="174"/>
      <c r="CN3" s="174"/>
      <c r="CO3" s="174"/>
      <c r="CP3" s="174"/>
      <c r="CQ3" s="174"/>
      <c r="CR3" s="174"/>
      <c r="CS3" s="174"/>
    </row>
    <row r="4" spans="1:97" ht="177.75" customHeight="1">
      <c r="A4" s="87" t="s">
        <v>571</v>
      </c>
      <c r="CH4" s="174" t="s">
        <v>572</v>
      </c>
      <c r="CI4" s="174"/>
      <c r="CJ4" s="174"/>
      <c r="CK4" s="174"/>
      <c r="CL4" s="174"/>
      <c r="CM4" s="174"/>
      <c r="CN4" s="174"/>
      <c r="CO4" s="174"/>
      <c r="CP4" s="174"/>
      <c r="CQ4" s="174"/>
      <c r="CR4" s="174"/>
      <c r="CS4" s="174"/>
    </row>
    <row r="5" spans="1:97">
      <c r="A5" s="87"/>
      <c r="CH5" s="174"/>
      <c r="CI5" s="174"/>
      <c r="CJ5" s="174"/>
      <c r="CK5" s="174"/>
      <c r="CL5" s="174"/>
      <c r="CM5" s="174"/>
      <c r="CN5" s="174"/>
      <c r="CO5" s="174"/>
      <c r="CP5" s="174"/>
      <c r="CQ5" s="174"/>
      <c r="CR5" s="174"/>
      <c r="CS5" s="174"/>
    </row>
    <row r="6" spans="1:97" ht="15.75" thickBot="1">
      <c r="A6" s="87" t="s">
        <v>573</v>
      </c>
      <c r="D6" s="140" t="e">
        <f>'1C carpool'!E11</f>
        <v>#N/A</v>
      </c>
      <c r="H6" s="140" t="s">
        <v>574</v>
      </c>
      <c r="I6" s="140" t="e">
        <f>'1D1 transit subsidy (employees)'!#REF!</f>
        <v>#REF!</v>
      </c>
      <c r="M6" s="140" t="s">
        <v>574</v>
      </c>
      <c r="N6" s="140" t="e">
        <f>'1D1 transit subsidy (employees)'!#REF!</f>
        <v>#REF!</v>
      </c>
      <c r="Q6" s="140" t="s">
        <v>574</v>
      </c>
      <c r="U6" s="140" t="s">
        <v>574</v>
      </c>
      <c r="Z6" s="140" t="s">
        <v>574</v>
      </c>
      <c r="AD6" s="159">
        <f>'4D bike project'!F30</f>
        <v>0</v>
      </c>
      <c r="AF6" s="159">
        <f>'4D bike project'!F32</f>
        <v>0</v>
      </c>
      <c r="AH6" s="158" t="e">
        <f>'4D bike project'!F36</f>
        <v>#N/A</v>
      </c>
      <c r="AI6" s="158" t="e">
        <f>'4D bike project'!F34</f>
        <v>#N/A</v>
      </c>
      <c r="AP6" s="159">
        <f>'4D bike project'!F40</f>
        <v>0</v>
      </c>
      <c r="AQ6" s="159">
        <f>'4D bike project'!F38</f>
        <v>0</v>
      </c>
      <c r="AT6" s="160">
        <f>'4D bike project'!E42</f>
        <v>0</v>
      </c>
      <c r="BB6" s="140" t="s">
        <v>574</v>
      </c>
      <c r="BE6" s="155">
        <f>'4H traffic calming'!$F$14</f>
        <v>0</v>
      </c>
      <c r="BG6" s="155">
        <f>'4H traffic calming'!$F$12</f>
        <v>0</v>
      </c>
      <c r="BN6" s="140">
        <f>'3D bike parking'!$E$37</f>
        <v>0</v>
      </c>
      <c r="BR6" s="140" t="s">
        <v>574</v>
      </c>
      <c r="CI6" s="179">
        <f>'1F telecommute'!E12</f>
        <v>0</v>
      </c>
    </row>
    <row r="7" spans="1:97">
      <c r="A7" s="87"/>
      <c r="AH7" s="143" t="s">
        <v>575</v>
      </c>
      <c r="AI7" s="144"/>
      <c r="AJ7" s="145"/>
      <c r="BG7" s="154" t="s">
        <v>575</v>
      </c>
      <c r="BH7" s="144"/>
      <c r="BI7" s="144"/>
      <c r="BJ7" s="144"/>
      <c r="BK7" s="145"/>
    </row>
    <row r="8" spans="1:97" ht="15.75" thickBot="1">
      <c r="A8" s="87"/>
      <c r="AH8" s="150" t="e">
        <f>IF(AH6="Yes",1,0)</f>
        <v>#N/A</v>
      </c>
      <c r="AI8" s="151" t="e">
        <f>IF(AH6="Yes",0,IF(AI6=AI10,1,0))</f>
        <v>#N/A</v>
      </c>
      <c r="AJ8" s="152" t="e">
        <f>IF(AH6="Yes",0,IF(AI6=AJ10,1,0))</f>
        <v>#N/A</v>
      </c>
      <c r="BG8" s="150">
        <f>IF(BG10=$BG$6,1,0)</f>
        <v>1</v>
      </c>
      <c r="BH8" s="151">
        <f t="shared" ref="BH8:BI8" si="0">IF(BH10=$BG$6,1,0)</f>
        <v>0</v>
      </c>
      <c r="BI8" s="151">
        <f t="shared" si="0"/>
        <v>0</v>
      </c>
      <c r="BJ8" s="151">
        <f t="shared" ref="BJ8:BK8" si="1">IF(BJ10=$BG$6,1,0)</f>
        <v>0</v>
      </c>
      <c r="BK8" s="146">
        <f t="shared" si="1"/>
        <v>0</v>
      </c>
    </row>
    <row r="9" spans="1:97" ht="60.75" thickBot="1">
      <c r="D9" s="25" t="s">
        <v>576</v>
      </c>
      <c r="E9" s="25" t="s">
        <v>577</v>
      </c>
      <c r="H9" s="25" t="s">
        <v>578</v>
      </c>
      <c r="I9" t="s">
        <v>579</v>
      </c>
      <c r="M9" s="25" t="s">
        <v>578</v>
      </c>
      <c r="N9" s="25" t="s">
        <v>580</v>
      </c>
      <c r="Q9" s="25" t="s">
        <v>578</v>
      </c>
      <c r="R9" s="25" t="s">
        <v>581</v>
      </c>
      <c r="U9" s="25" t="s">
        <v>578</v>
      </c>
      <c r="V9" s="141" t="s">
        <v>582</v>
      </c>
      <c r="W9" s="141"/>
      <c r="Z9" s="25" t="s">
        <v>578</v>
      </c>
      <c r="AA9" s="25" t="s">
        <v>583</v>
      </c>
      <c r="AD9" s="141" t="s">
        <v>584</v>
      </c>
      <c r="AE9" s="142"/>
      <c r="AF9" s="141" t="s">
        <v>585</v>
      </c>
      <c r="AG9" s="142"/>
      <c r="AH9" s="25" t="s">
        <v>586</v>
      </c>
      <c r="AI9" s="141" t="s">
        <v>587</v>
      </c>
      <c r="AJ9" s="142"/>
      <c r="AL9" s="141" t="s">
        <v>588</v>
      </c>
      <c r="AM9" s="141" t="s">
        <v>589</v>
      </c>
      <c r="AN9" s="141" t="s">
        <v>590</v>
      </c>
      <c r="AO9" s="142"/>
      <c r="AP9" s="141" t="s">
        <v>591</v>
      </c>
      <c r="AQ9" s="141" t="s">
        <v>592</v>
      </c>
      <c r="BB9" s="25" t="s">
        <v>578</v>
      </c>
      <c r="BC9" s="25" t="s">
        <v>581</v>
      </c>
      <c r="BR9" s="25" t="s">
        <v>578</v>
      </c>
      <c r="BS9" t="s">
        <v>579</v>
      </c>
    </row>
    <row r="10" spans="1:97" ht="30">
      <c r="C10" s="147" t="s">
        <v>575</v>
      </c>
      <c r="G10" s="147" t="s">
        <v>575</v>
      </c>
      <c r="I10" t="s">
        <v>593</v>
      </c>
      <c r="J10" t="s">
        <v>594</v>
      </c>
      <c r="L10" s="147" t="s">
        <v>575</v>
      </c>
      <c r="P10" s="147" t="s">
        <v>575</v>
      </c>
      <c r="T10" s="147" t="s">
        <v>575</v>
      </c>
      <c r="V10" t="s">
        <v>595</v>
      </c>
      <c r="W10" t="s">
        <v>594</v>
      </c>
      <c r="Y10" s="147" t="s">
        <v>575</v>
      </c>
      <c r="AC10" s="147" t="s">
        <v>575</v>
      </c>
      <c r="AD10" s="25" t="s">
        <v>596</v>
      </c>
      <c r="AE10" t="s">
        <v>597</v>
      </c>
      <c r="AF10" s="25" t="s">
        <v>596</v>
      </c>
      <c r="AG10" t="s">
        <v>597</v>
      </c>
      <c r="AH10" s="25" t="s">
        <v>598</v>
      </c>
      <c r="AI10" s="25" t="s">
        <v>599</v>
      </c>
      <c r="AJ10" s="25" t="s">
        <v>598</v>
      </c>
      <c r="AL10" s="147" t="s">
        <v>575</v>
      </c>
      <c r="AM10" s="147" t="s">
        <v>575</v>
      </c>
      <c r="AN10" s="25" t="s">
        <v>596</v>
      </c>
      <c r="AO10" t="s">
        <v>597</v>
      </c>
      <c r="AP10" t="s">
        <v>598</v>
      </c>
      <c r="AQ10" t="s">
        <v>598</v>
      </c>
      <c r="AS10" s="147" t="s">
        <v>575</v>
      </c>
      <c r="AW10" s="138" t="s">
        <v>561</v>
      </c>
      <c r="BA10" s="147" t="s">
        <v>575</v>
      </c>
      <c r="BE10" s="147" t="s">
        <v>575</v>
      </c>
      <c r="BF10" s="153"/>
      <c r="BG10" s="153">
        <v>0</v>
      </c>
      <c r="BH10" s="153">
        <v>0.25</v>
      </c>
      <c r="BI10" s="153">
        <v>0.5</v>
      </c>
      <c r="BJ10" s="153">
        <v>0.75</v>
      </c>
      <c r="BK10" s="153">
        <v>1</v>
      </c>
      <c r="BM10" s="147" t="s">
        <v>575</v>
      </c>
      <c r="BQ10" s="147" t="s">
        <v>575</v>
      </c>
      <c r="BS10" t="s">
        <v>595</v>
      </c>
      <c r="BT10" t="s">
        <v>594</v>
      </c>
      <c r="BV10" s="138" t="s">
        <v>600</v>
      </c>
      <c r="BY10" s="138" t="s">
        <v>601</v>
      </c>
      <c r="CB10" s="138" t="s">
        <v>602</v>
      </c>
      <c r="CE10" s="138" t="s">
        <v>603</v>
      </c>
      <c r="CH10" s="181" t="s">
        <v>575</v>
      </c>
      <c r="CI10" s="138" t="s">
        <v>604</v>
      </c>
      <c r="CJ10" s="138" t="s">
        <v>605</v>
      </c>
    </row>
    <row r="11" spans="1:97">
      <c r="C11" s="148" t="e">
        <f>IF(D11=$D$6,1,0)</f>
        <v>#N/A</v>
      </c>
      <c r="D11" t="s">
        <v>606</v>
      </c>
      <c r="E11" s="34">
        <v>-0.08</v>
      </c>
      <c r="G11" s="148">
        <v>0</v>
      </c>
      <c r="H11" t="s">
        <v>607</v>
      </c>
      <c r="I11" s="153">
        <v>4.2299999999999997E-2</v>
      </c>
      <c r="J11" s="153">
        <v>0.94189999999999996</v>
      </c>
      <c r="L11" s="148">
        <v>0</v>
      </c>
      <c r="M11" t="s">
        <v>607</v>
      </c>
      <c r="N11" s="153">
        <v>5.3900000000000003E-2</v>
      </c>
      <c r="P11" s="148">
        <v>0</v>
      </c>
      <c r="Q11" t="s">
        <v>607</v>
      </c>
      <c r="R11">
        <v>14.07</v>
      </c>
      <c r="T11" s="148">
        <v>0</v>
      </c>
      <c r="U11" t="s">
        <v>607</v>
      </c>
      <c r="V11">
        <v>1.7</v>
      </c>
      <c r="W11">
        <v>9.6999999999999993</v>
      </c>
      <c r="Y11" s="148">
        <v>0</v>
      </c>
      <c r="Z11" t="s">
        <v>607</v>
      </c>
      <c r="AA11" s="153">
        <v>1.8E-3</v>
      </c>
      <c r="AC11" s="148">
        <f>IF(AND(AD11&lt;=$AD$6,$AD$6&lt;=AE11,AF11&lt;=$AF$6,$AF$6&lt;=AG11),1,0)</f>
        <v>0</v>
      </c>
      <c r="AD11">
        <v>1</v>
      </c>
      <c r="AE11">
        <v>12000</v>
      </c>
      <c r="AF11">
        <v>0</v>
      </c>
      <c r="AG11">
        <v>1.0189999999999999</v>
      </c>
      <c r="AH11">
        <v>1.9E-3</v>
      </c>
      <c r="AI11">
        <v>1.9E-3</v>
      </c>
      <c r="AJ11">
        <v>1.04E-2</v>
      </c>
      <c r="AL11" s="148">
        <f>IF(AND(AN11&lt;=$AP$6,$AP$6&lt;=AO11),1,0)</f>
        <v>1</v>
      </c>
      <c r="AM11" s="148">
        <f>IF(AND(AN11&lt;=$AQ$6,$AQ$6&lt;=AO11),1,0)</f>
        <v>1</v>
      </c>
      <c r="AN11">
        <v>0</v>
      </c>
      <c r="AO11">
        <v>2</v>
      </c>
      <c r="AP11">
        <v>0</v>
      </c>
      <c r="AQ11">
        <v>0</v>
      </c>
      <c r="AS11" s="148">
        <f>IF(AT11=$AT$6,1,0)</f>
        <v>0</v>
      </c>
      <c r="AT11" t="s">
        <v>608</v>
      </c>
      <c r="AU11">
        <v>1.54</v>
      </c>
      <c r="AW11" t="s">
        <v>608</v>
      </c>
      <c r="BA11" s="148">
        <v>0</v>
      </c>
      <c r="BB11" t="s">
        <v>607</v>
      </c>
      <c r="BC11">
        <v>9.7200000000000006</v>
      </c>
      <c r="BE11" s="148">
        <f>IF(BF11=$BE$6,1,0)</f>
        <v>1</v>
      </c>
      <c r="BF11" s="153">
        <v>0</v>
      </c>
      <c r="BG11" s="153">
        <v>0</v>
      </c>
      <c r="BH11" s="153">
        <v>0</v>
      </c>
      <c r="BI11" s="153">
        <v>0</v>
      </c>
      <c r="BJ11" s="153">
        <v>0</v>
      </c>
      <c r="BK11" s="153">
        <v>0</v>
      </c>
      <c r="BM11" s="148">
        <f>IF(BN11=$BN$6,1,0)</f>
        <v>0</v>
      </c>
      <c r="BN11" t="s">
        <v>609</v>
      </c>
      <c r="BO11">
        <v>1.78</v>
      </c>
      <c r="BQ11" s="148">
        <v>0</v>
      </c>
      <c r="BR11" t="s">
        <v>607</v>
      </c>
      <c r="BS11" s="153">
        <v>0.01</v>
      </c>
      <c r="BT11" s="153">
        <v>0.90700000000000003</v>
      </c>
      <c r="BV11" t="s">
        <v>610</v>
      </c>
      <c r="BY11" t="s">
        <v>611</v>
      </c>
      <c r="CB11" t="s">
        <v>221</v>
      </c>
      <c r="CE11" s="33" t="s">
        <v>612</v>
      </c>
      <c r="CH11" s="182">
        <f>IF(CI$6=CI11,1,0)</f>
        <v>0</v>
      </c>
      <c r="CI11">
        <v>1.5</v>
      </c>
      <c r="CJ11" s="26">
        <v>-2.2000000000000001E-3</v>
      </c>
    </row>
    <row r="12" spans="1:97" ht="15.75" thickBot="1">
      <c r="C12" s="148" t="e">
        <f t="shared" ref="C12:C14" si="2">IF(D12=$D$6,1,0)</f>
        <v>#N/A</v>
      </c>
      <c r="D12" t="s">
        <v>613</v>
      </c>
      <c r="E12" s="34">
        <v>-0.04</v>
      </c>
      <c r="G12" s="148">
        <v>0</v>
      </c>
      <c r="H12" t="s">
        <v>614</v>
      </c>
      <c r="I12" s="153">
        <v>1.37E-2</v>
      </c>
      <c r="J12" s="153">
        <v>0.96879999999999999</v>
      </c>
      <c r="L12" s="148">
        <v>0</v>
      </c>
      <c r="M12" t="s">
        <v>614</v>
      </c>
      <c r="N12" s="153">
        <v>1.12E-2</v>
      </c>
      <c r="P12" s="148">
        <v>0</v>
      </c>
      <c r="Q12" t="s">
        <v>614</v>
      </c>
      <c r="R12">
        <v>18.62</v>
      </c>
      <c r="T12" s="148">
        <v>0</v>
      </c>
      <c r="U12" t="s">
        <v>614</v>
      </c>
      <c r="V12">
        <v>2.2000000000000002</v>
      </c>
      <c r="W12">
        <v>11.7</v>
      </c>
      <c r="Y12" s="148">
        <v>0</v>
      </c>
      <c r="Z12" t="s">
        <v>614</v>
      </c>
      <c r="AA12" s="153">
        <v>5.9999999999999995E-4</v>
      </c>
      <c r="AC12" s="148">
        <f t="shared" ref="AC12:AC22" si="3">IF(AND(AD12&lt;=$AD$6,$AD$6&lt;=AE12,AF12&lt;=$AF$6,$AF$6&lt;=AG12),1,0)</f>
        <v>0</v>
      </c>
      <c r="AD12">
        <v>1</v>
      </c>
      <c r="AE12">
        <v>12000</v>
      </c>
      <c r="AF12">
        <v>1.02</v>
      </c>
      <c r="AG12">
        <v>2</v>
      </c>
      <c r="AH12">
        <v>2.8999999999999998E-3</v>
      </c>
      <c r="AI12">
        <v>2.8999999999999998E-3</v>
      </c>
      <c r="AJ12">
        <v>1.55E-2</v>
      </c>
      <c r="AL12" s="148">
        <f t="shared" ref="AL12:AL14" si="4">IF(AND(AN12&lt;=$AP$6,$AP$6&lt;=AO12),1,0)</f>
        <v>0</v>
      </c>
      <c r="AM12" s="148">
        <f t="shared" ref="AM12:AM14" si="5">IF(AND(AN12&lt;=$AQ$6,$AQ$6&lt;=AO12),1,0)</f>
        <v>0</v>
      </c>
      <c r="AN12">
        <v>3</v>
      </c>
      <c r="AO12">
        <v>3</v>
      </c>
      <c r="AP12">
        <v>5.0000000000000001E-4</v>
      </c>
      <c r="AQ12">
        <v>1E-3</v>
      </c>
      <c r="AS12" s="148">
        <f t="shared" ref="AS12:AS13" si="6">IF(AT12=$AT$6,1,0)</f>
        <v>0</v>
      </c>
      <c r="AT12" t="s">
        <v>615</v>
      </c>
      <c r="AU12">
        <v>1</v>
      </c>
      <c r="AW12" t="s">
        <v>615</v>
      </c>
      <c r="BA12" s="148">
        <v>0</v>
      </c>
      <c r="BB12" t="s">
        <v>614</v>
      </c>
      <c r="BC12">
        <v>11.69</v>
      </c>
      <c r="BE12" s="148">
        <f t="shared" ref="BE12:BE15" si="7">IF(BF12=$BE$6,1,0)</f>
        <v>0</v>
      </c>
      <c r="BF12" s="153">
        <v>0.25</v>
      </c>
      <c r="BG12" s="153">
        <v>0</v>
      </c>
      <c r="BH12" s="153">
        <v>2.5000000000000001E-3</v>
      </c>
      <c r="BI12" s="153">
        <v>2.5000000000000001E-3</v>
      </c>
      <c r="BJ12" s="153">
        <v>5.0000000000000001E-3</v>
      </c>
      <c r="BK12" s="153">
        <v>5.0000000000000001E-3</v>
      </c>
      <c r="BM12" s="149">
        <f>IF(BN12=$BN$6,1,0)</f>
        <v>0</v>
      </c>
      <c r="BN12" t="s">
        <v>616</v>
      </c>
      <c r="BO12">
        <v>4.8600000000000003</v>
      </c>
      <c r="BQ12" s="148">
        <v>0</v>
      </c>
      <c r="BR12" t="s">
        <v>614</v>
      </c>
      <c r="BS12" s="153">
        <v>4.0000000000000001E-3</v>
      </c>
      <c r="BT12" s="153">
        <v>0.95299999999999996</v>
      </c>
      <c r="BV12" t="s">
        <v>617</v>
      </c>
      <c r="BY12" t="s">
        <v>618</v>
      </c>
      <c r="CB12" t="s">
        <v>222</v>
      </c>
      <c r="CE12" t="s">
        <v>619</v>
      </c>
      <c r="CH12" s="182">
        <f t="shared" ref="CH12:CH14" si="8">IF(CI$6=CI12,1,0)</f>
        <v>0</v>
      </c>
      <c r="CI12">
        <v>1</v>
      </c>
      <c r="CJ12" s="26">
        <f>CI12/CI$11*CJ$11</f>
        <v>-1.4666666666666667E-3</v>
      </c>
    </row>
    <row r="13" spans="1:97" ht="15.75" thickBot="1">
      <c r="C13" s="149" t="e">
        <f t="shared" si="2"/>
        <v>#N/A</v>
      </c>
      <c r="D13" t="s">
        <v>620</v>
      </c>
      <c r="E13" s="34">
        <v>-0.04</v>
      </c>
      <c r="G13" s="148">
        <v>0</v>
      </c>
      <c r="H13" t="s">
        <v>621</v>
      </c>
      <c r="I13" s="153">
        <v>2.9000000000000001E-2</v>
      </c>
      <c r="J13" s="153">
        <v>0.95040000000000002</v>
      </c>
      <c r="L13" s="148">
        <v>0</v>
      </c>
      <c r="M13" t="s">
        <v>621</v>
      </c>
      <c r="N13" s="153">
        <v>5.4399999999999997E-2</v>
      </c>
      <c r="P13" s="148">
        <v>0</v>
      </c>
      <c r="Q13" t="s">
        <v>621</v>
      </c>
      <c r="R13">
        <v>14.23</v>
      </c>
      <c r="T13" s="148">
        <v>0</v>
      </c>
      <c r="U13" t="s">
        <v>621</v>
      </c>
      <c r="V13">
        <v>2.9</v>
      </c>
      <c r="W13">
        <v>10.9</v>
      </c>
      <c r="Y13" s="148">
        <v>0</v>
      </c>
      <c r="Z13" t="s">
        <v>621</v>
      </c>
      <c r="AA13" s="153">
        <v>5.5999999999999999E-3</v>
      </c>
      <c r="AC13" s="148">
        <f t="shared" si="3"/>
        <v>0</v>
      </c>
      <c r="AD13">
        <v>1</v>
      </c>
      <c r="AE13">
        <v>12000</v>
      </c>
      <c r="AF13">
        <v>2.0099999999999998</v>
      </c>
      <c r="AG13">
        <v>99999999</v>
      </c>
      <c r="AH13">
        <v>3.8E-3</v>
      </c>
      <c r="AI13">
        <v>3.8E-3</v>
      </c>
      <c r="AJ13">
        <v>2.07E-2</v>
      </c>
      <c r="AL13" s="148">
        <f t="shared" si="4"/>
        <v>0</v>
      </c>
      <c r="AM13" s="148">
        <f t="shared" si="5"/>
        <v>0</v>
      </c>
      <c r="AN13">
        <v>4</v>
      </c>
      <c r="AO13">
        <v>6</v>
      </c>
      <c r="AP13">
        <v>1E-3</v>
      </c>
      <c r="AQ13">
        <v>2E-3</v>
      </c>
      <c r="AS13" s="149">
        <f t="shared" si="6"/>
        <v>0</v>
      </c>
      <c r="AT13" t="s">
        <v>622</v>
      </c>
      <c r="AU13">
        <v>0.54</v>
      </c>
      <c r="AW13" t="s">
        <v>622</v>
      </c>
      <c r="BA13" s="148">
        <v>0</v>
      </c>
      <c r="BB13" t="s">
        <v>621</v>
      </c>
      <c r="BC13">
        <v>10.92</v>
      </c>
      <c r="BE13" s="148">
        <f t="shared" si="7"/>
        <v>0</v>
      </c>
      <c r="BF13" s="153">
        <v>0.5</v>
      </c>
      <c r="BG13" s="153">
        <v>0</v>
      </c>
      <c r="BH13" s="153">
        <v>2.5000000000000001E-3</v>
      </c>
      <c r="BI13" s="153">
        <v>5.0000000000000001E-3</v>
      </c>
      <c r="BJ13" s="153">
        <v>5.0000000000000001E-3</v>
      </c>
      <c r="BK13" s="153">
        <v>7.4999999999999997E-3</v>
      </c>
      <c r="BQ13" s="148">
        <v>0</v>
      </c>
      <c r="BR13" t="s">
        <v>621</v>
      </c>
      <c r="BS13" s="153">
        <v>2.1999999999999999E-2</v>
      </c>
      <c r="BT13" s="153">
        <v>0.89500000000000002</v>
      </c>
      <c r="BV13" t="s">
        <v>623</v>
      </c>
      <c r="CE13" t="s">
        <v>624</v>
      </c>
      <c r="CH13" s="182">
        <f t="shared" si="8"/>
        <v>0</v>
      </c>
      <c r="CI13">
        <v>2</v>
      </c>
      <c r="CJ13" s="26">
        <f t="shared" ref="CJ13:CJ14" si="9">CI13/CI$11*CJ$11</f>
        <v>-2.9333333333333334E-3</v>
      </c>
    </row>
    <row r="14" spans="1:97" ht="15.75" thickBot="1">
      <c r="C14" s="149" t="e">
        <f t="shared" si="2"/>
        <v>#N/A</v>
      </c>
      <c r="D14" t="s">
        <v>625</v>
      </c>
      <c r="E14" s="34">
        <v>0</v>
      </c>
      <c r="G14" s="148">
        <v>0</v>
      </c>
      <c r="H14" t="s">
        <v>626</v>
      </c>
      <c r="I14" s="153">
        <v>2.4E-2</v>
      </c>
      <c r="J14" s="153">
        <v>0.94850000000000001</v>
      </c>
      <c r="L14" s="148">
        <v>0</v>
      </c>
      <c r="M14" t="s">
        <v>626</v>
      </c>
      <c r="N14" s="153">
        <v>4.7399999999999998E-2</v>
      </c>
      <c r="P14" s="148">
        <v>0</v>
      </c>
      <c r="Q14" t="s">
        <v>626</v>
      </c>
      <c r="R14">
        <v>14.52</v>
      </c>
      <c r="T14" s="148">
        <v>0</v>
      </c>
      <c r="U14" t="s">
        <v>626</v>
      </c>
      <c r="V14">
        <v>2</v>
      </c>
      <c r="W14">
        <v>19.100000000000001</v>
      </c>
      <c r="Y14" s="148">
        <v>0</v>
      </c>
      <c r="Z14" t="s">
        <v>626</v>
      </c>
      <c r="AA14" s="153">
        <v>2.3E-3</v>
      </c>
      <c r="AC14" s="148">
        <f t="shared" si="3"/>
        <v>0</v>
      </c>
      <c r="AD14">
        <v>12001</v>
      </c>
      <c r="AE14">
        <v>24000</v>
      </c>
      <c r="AF14">
        <v>0</v>
      </c>
      <c r="AG14">
        <v>1.0189999999999999</v>
      </c>
      <c r="AH14">
        <v>1.4E-3</v>
      </c>
      <c r="AI14">
        <v>1.4E-3</v>
      </c>
      <c r="AJ14">
        <v>7.3000000000000001E-3</v>
      </c>
      <c r="AL14" s="149">
        <f t="shared" si="4"/>
        <v>0</v>
      </c>
      <c r="AM14" s="149">
        <f t="shared" si="5"/>
        <v>0</v>
      </c>
      <c r="AN14">
        <v>7</v>
      </c>
      <c r="AO14">
        <v>99999999</v>
      </c>
      <c r="AP14">
        <v>1.5E-3</v>
      </c>
      <c r="AQ14">
        <v>3.0000000000000001E-3</v>
      </c>
      <c r="BA14" s="148">
        <v>0</v>
      </c>
      <c r="BB14" t="s">
        <v>626</v>
      </c>
      <c r="BC14">
        <v>19.13</v>
      </c>
      <c r="BE14" s="148">
        <f t="shared" si="7"/>
        <v>0</v>
      </c>
      <c r="BF14" s="153">
        <v>0.75</v>
      </c>
      <c r="BG14" s="153">
        <v>0</v>
      </c>
      <c r="BH14" s="153">
        <v>5.0000000000000001E-3</v>
      </c>
      <c r="BI14" s="153">
        <v>5.0000000000000001E-3</v>
      </c>
      <c r="BJ14" s="153">
        <v>7.4999999999999997E-3</v>
      </c>
      <c r="BK14" s="153">
        <v>7.4999999999999997E-3</v>
      </c>
      <c r="BQ14" s="148">
        <v>0</v>
      </c>
      <c r="BR14" t="s">
        <v>626</v>
      </c>
      <c r="BS14" s="153">
        <v>1.2999999999999999E-2</v>
      </c>
      <c r="BT14" s="153">
        <v>0.91800000000000004</v>
      </c>
      <c r="BV14" t="s">
        <v>627</v>
      </c>
      <c r="CE14" t="s">
        <v>628</v>
      </c>
      <c r="CH14" s="183">
        <f t="shared" si="8"/>
        <v>0</v>
      </c>
      <c r="CI14">
        <v>3</v>
      </c>
      <c r="CJ14" s="26">
        <f t="shared" si="9"/>
        <v>-4.4000000000000003E-3</v>
      </c>
    </row>
    <row r="15" spans="1:97" ht="15.75" thickBot="1">
      <c r="G15" s="148">
        <v>1</v>
      </c>
      <c r="H15" t="s">
        <v>574</v>
      </c>
      <c r="I15" s="153">
        <v>0.1138</v>
      </c>
      <c r="J15" s="153">
        <v>0.86960000000000004</v>
      </c>
      <c r="L15" s="148">
        <v>1</v>
      </c>
      <c r="M15" t="s">
        <v>574</v>
      </c>
      <c r="N15" s="153">
        <v>0.25600000000000001</v>
      </c>
      <c r="P15" s="148">
        <v>1</v>
      </c>
      <c r="Q15" t="s">
        <v>574</v>
      </c>
      <c r="R15">
        <v>15.63</v>
      </c>
      <c r="T15" s="148">
        <v>1</v>
      </c>
      <c r="U15" t="s">
        <v>574</v>
      </c>
      <c r="V15">
        <v>2.1</v>
      </c>
      <c r="W15">
        <v>12.4</v>
      </c>
      <c r="Y15" s="148">
        <v>1</v>
      </c>
      <c r="Z15" t="s">
        <v>574</v>
      </c>
      <c r="AA15" s="153">
        <v>4.7000000000000002E-3</v>
      </c>
      <c r="AC15" s="148">
        <f t="shared" si="3"/>
        <v>0</v>
      </c>
      <c r="AD15">
        <v>12001</v>
      </c>
      <c r="AE15">
        <v>24000</v>
      </c>
      <c r="AF15">
        <v>1.02</v>
      </c>
      <c r="AG15">
        <v>2</v>
      </c>
      <c r="AH15">
        <v>2E-3</v>
      </c>
      <c r="AI15">
        <v>2E-3</v>
      </c>
      <c r="AJ15">
        <v>1.09E-2</v>
      </c>
      <c r="BA15" s="148">
        <v>1</v>
      </c>
      <c r="BB15" t="s">
        <v>574</v>
      </c>
      <c r="BC15">
        <v>12.43</v>
      </c>
      <c r="BE15" s="149">
        <f t="shared" si="7"/>
        <v>0</v>
      </c>
      <c r="BF15" s="153">
        <v>1</v>
      </c>
      <c r="BG15" s="153">
        <v>0</v>
      </c>
      <c r="BH15" s="153">
        <v>5.0000000000000001E-3</v>
      </c>
      <c r="BI15" s="153">
        <v>7.4999999999999997E-3</v>
      </c>
      <c r="BJ15" s="153">
        <v>7.4999999999999997E-3</v>
      </c>
      <c r="BK15" s="153">
        <v>0.01</v>
      </c>
      <c r="BQ15" s="148">
        <v>1</v>
      </c>
      <c r="BR15" t="s">
        <v>574</v>
      </c>
      <c r="BS15" s="153">
        <v>2.8000000000000001E-2</v>
      </c>
      <c r="BT15" s="153">
        <v>0.67100000000000004</v>
      </c>
      <c r="BV15" t="s">
        <v>629</v>
      </c>
      <c r="CE15" t="s">
        <v>630</v>
      </c>
    </row>
    <row r="16" spans="1:97" ht="15.75" thickBot="1">
      <c r="G16" s="149">
        <v>0</v>
      </c>
      <c r="H16" t="s">
        <v>631</v>
      </c>
      <c r="I16" s="153">
        <v>6.6900000000000001E-2</v>
      </c>
      <c r="J16" s="153">
        <v>0.91320000000000001</v>
      </c>
      <c r="L16" s="149">
        <v>0</v>
      </c>
      <c r="M16" t="s">
        <v>631</v>
      </c>
      <c r="N16" s="153">
        <v>6.1100000000000002E-2</v>
      </c>
      <c r="P16" s="149">
        <v>0</v>
      </c>
      <c r="Q16" t="s">
        <v>631</v>
      </c>
      <c r="R16">
        <v>12.44</v>
      </c>
      <c r="T16" s="149">
        <v>0</v>
      </c>
      <c r="U16" t="s">
        <v>631</v>
      </c>
      <c r="V16">
        <v>2.8</v>
      </c>
      <c r="W16">
        <v>11.5</v>
      </c>
      <c r="Y16" s="149">
        <v>0</v>
      </c>
      <c r="Z16" t="s">
        <v>631</v>
      </c>
      <c r="AA16" s="153">
        <v>7.9000000000000008E-3</v>
      </c>
      <c r="AC16" s="148">
        <f t="shared" si="3"/>
        <v>0</v>
      </c>
      <c r="AD16">
        <v>12001</v>
      </c>
      <c r="AE16">
        <v>24000</v>
      </c>
      <c r="AF16">
        <v>2.0099999999999998</v>
      </c>
      <c r="AG16">
        <v>99999999</v>
      </c>
      <c r="AH16">
        <v>2.7000000000000001E-3</v>
      </c>
      <c r="AI16">
        <v>2.7000000000000001E-3</v>
      </c>
      <c r="AJ16">
        <v>1.4500000000000001E-2</v>
      </c>
      <c r="BA16" s="149">
        <v>0</v>
      </c>
      <c r="BB16" t="s">
        <v>631</v>
      </c>
      <c r="BC16">
        <v>11.48</v>
      </c>
      <c r="BQ16" s="149">
        <v>0</v>
      </c>
      <c r="BR16" t="s">
        <v>631</v>
      </c>
      <c r="BS16" s="153">
        <v>4.1000000000000002E-2</v>
      </c>
      <c r="BT16" s="153">
        <v>0.86599999999999999</v>
      </c>
      <c r="BV16" t="s">
        <v>632</v>
      </c>
    </row>
    <row r="17" spans="29:36">
      <c r="AC17" s="148">
        <f t="shared" si="3"/>
        <v>0</v>
      </c>
      <c r="AD17">
        <v>24001</v>
      </c>
      <c r="AE17">
        <v>30000</v>
      </c>
      <c r="AF17">
        <v>0</v>
      </c>
      <c r="AG17">
        <v>1.0189999999999999</v>
      </c>
      <c r="AH17">
        <v>1E-3</v>
      </c>
      <c r="AI17">
        <v>1E-3</v>
      </c>
      <c r="AJ17">
        <v>5.1999999999999998E-3</v>
      </c>
    </row>
    <row r="18" spans="29:36">
      <c r="AC18" s="148">
        <f t="shared" si="3"/>
        <v>0</v>
      </c>
      <c r="AD18">
        <v>24001</v>
      </c>
      <c r="AE18">
        <v>30000</v>
      </c>
      <c r="AF18">
        <v>1.02</v>
      </c>
      <c r="AG18">
        <v>2</v>
      </c>
      <c r="AH18">
        <v>1.4E-3</v>
      </c>
      <c r="AI18">
        <v>1.4E-3</v>
      </c>
      <c r="AJ18">
        <v>7.7999999999999996E-3</v>
      </c>
    </row>
    <row r="19" spans="29:36">
      <c r="AC19" s="148">
        <f t="shared" si="3"/>
        <v>0</v>
      </c>
      <c r="AD19">
        <v>24001</v>
      </c>
      <c r="AE19">
        <v>30000</v>
      </c>
      <c r="AF19">
        <v>2.0099999999999998</v>
      </c>
      <c r="AG19">
        <v>99999999</v>
      </c>
      <c r="AH19">
        <v>1.9E-3</v>
      </c>
      <c r="AI19">
        <v>1.9E-3</v>
      </c>
      <c r="AJ19">
        <v>1.04E-2</v>
      </c>
    </row>
    <row r="20" spans="29:36">
      <c r="AC20" s="148">
        <f t="shared" si="3"/>
        <v>0</v>
      </c>
      <c r="AD20">
        <v>30001</v>
      </c>
      <c r="AE20">
        <v>99999999</v>
      </c>
      <c r="AF20">
        <v>0</v>
      </c>
      <c r="AG20">
        <v>1.0189999999999999</v>
      </c>
    </row>
    <row r="21" spans="29:36">
      <c r="AC21" s="148">
        <f t="shared" si="3"/>
        <v>0</v>
      </c>
      <c r="AD21">
        <v>30001</v>
      </c>
      <c r="AE21">
        <v>99999999</v>
      </c>
      <c r="AF21">
        <v>1.02</v>
      </c>
      <c r="AG21">
        <v>2</v>
      </c>
    </row>
    <row r="22" spans="29:36" ht="15.75" thickBot="1">
      <c r="AC22" s="149">
        <f t="shared" si="3"/>
        <v>0</v>
      </c>
      <c r="AD22">
        <v>30001</v>
      </c>
      <c r="AE22">
        <v>99999999</v>
      </c>
      <c r="AF22">
        <v>2.0099999999999998</v>
      </c>
      <c r="AG22">
        <v>99999999</v>
      </c>
    </row>
  </sheetData>
  <sheetProtection algorithmName="SHA-512" hashValue="ykvdes60U55lW49ZDtqqMwEHR9/Fnqwzze0MSNo69PI5GNpcH76keEHrfZLOjfmEemPO3ejvorEc8wNqXPuf0A==" saltValue="bJAUkT5e7I6+0EgFmRXTag==" spinCount="100000" sheet="1" objects="1" scenarios="1"/>
  <sortState xmlns:xlrd2="http://schemas.microsoft.com/office/spreadsheetml/2017/richdata2" ref="AD11:AG22">
    <sortCondition ref="AD11:AD22"/>
  </sortState>
  <conditionalFormatting sqref="E11:E14">
    <cfRule type="expression" dxfId="76" priority="2">
      <formula>C11=1</formula>
    </cfRule>
  </conditionalFormatting>
  <conditionalFormatting sqref="I11:J16">
    <cfRule type="expression" dxfId="75" priority="6">
      <formula>$G11=1</formula>
    </cfRule>
  </conditionalFormatting>
  <conditionalFormatting sqref="N11:N16">
    <cfRule type="expression" dxfId="74" priority="9">
      <formula>L11=1</formula>
    </cfRule>
  </conditionalFormatting>
  <conditionalFormatting sqref="R11:R16">
    <cfRule type="expression" dxfId="73" priority="5">
      <formula>P11=1</formula>
    </cfRule>
  </conditionalFormatting>
  <conditionalFormatting sqref="V11:W16">
    <cfRule type="expression" dxfId="72" priority="4">
      <formula>$T11=1</formula>
    </cfRule>
  </conditionalFormatting>
  <conditionalFormatting sqref="AA11:AA16">
    <cfRule type="expression" dxfId="71" priority="10">
      <formula>Y11=1</formula>
    </cfRule>
  </conditionalFormatting>
  <conditionalFormatting sqref="AH11:AJ22">
    <cfRule type="expression" dxfId="70" priority="16">
      <formula>AND($AC11=1,AH$8=1)</formula>
    </cfRule>
  </conditionalFormatting>
  <conditionalFormatting sqref="AP11:AQ14">
    <cfRule type="expression" dxfId="69" priority="17">
      <formula>AL11=1</formula>
    </cfRule>
  </conditionalFormatting>
  <conditionalFormatting sqref="AW11:AW13">
    <cfRule type="expression" dxfId="68" priority="86">
      <formula>AT11=1</formula>
    </cfRule>
  </conditionalFormatting>
  <conditionalFormatting sqref="AX11:AX13">
    <cfRule type="expression" dxfId="67" priority="84">
      <formula>AT11=1</formula>
    </cfRule>
  </conditionalFormatting>
  <conditionalFormatting sqref="AY11:AY13">
    <cfRule type="expression" dxfId="66" priority="82">
      <formula>AT11=1</formula>
    </cfRule>
  </conditionalFormatting>
  <conditionalFormatting sqref="BC11:BC16">
    <cfRule type="expression" dxfId="65" priority="12">
      <formula>BA11=1</formula>
    </cfRule>
  </conditionalFormatting>
  <conditionalFormatting sqref="BG11:BK15">
    <cfRule type="expression" dxfId="64" priority="15">
      <formula>AND($BE11=1,BG$8=1)</formula>
    </cfRule>
  </conditionalFormatting>
  <conditionalFormatting sqref="BO11:BO12 AU11:AV13">
    <cfRule type="expression" dxfId="63" priority="13">
      <formula>AS11=1</formula>
    </cfRule>
  </conditionalFormatting>
  <conditionalFormatting sqref="BS11:BT16">
    <cfRule type="expression" dxfId="62" priority="14">
      <formula>$BQ11=1</formula>
    </cfRule>
  </conditionalFormatting>
  <conditionalFormatting sqref="CJ11:CJ14">
    <cfRule type="expression" dxfId="61" priority="1">
      <formula>CJ11=$CH$3</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A5957-461D-4135-9A1E-DDE8AD184800}">
  <sheetPr codeName="Sheet39"/>
  <dimension ref="A1:AN1755"/>
  <sheetViews>
    <sheetView workbookViewId="0">
      <pane ySplit="10" topLeftCell="A1743" activePane="bottomLeft" state="frozen"/>
      <selection pane="bottomLeft" activeCell="F1759" sqref="F1759"/>
      <selection activeCell="BM11" sqref="BM11"/>
    </sheetView>
  </sheetViews>
  <sheetFormatPr defaultColWidth="9.140625" defaultRowHeight="15" outlineLevelCol="1"/>
  <cols>
    <col min="1" max="1" width="11" style="103" bestFit="1" customWidth="1"/>
    <col min="2" max="2" width="15.5703125" style="103" bestFit="1" customWidth="1"/>
    <col min="3" max="3" width="11.42578125" style="103" customWidth="1" outlineLevel="1"/>
    <col min="4" max="4" width="14.42578125" style="103" customWidth="1" outlineLevel="1"/>
    <col min="5" max="5" width="16.5703125" style="104" customWidth="1" outlineLevel="1"/>
    <col min="6" max="8" width="17.85546875" style="104" customWidth="1" outlineLevel="1"/>
    <col min="9" max="9" width="15.5703125" style="104" customWidth="1" outlineLevel="1"/>
    <col min="10" max="10" width="17.85546875" style="104" customWidth="1" outlineLevel="1"/>
    <col min="11" max="11" width="18.85546875" style="104" customWidth="1" outlineLevel="1"/>
    <col min="12" max="14" width="13.5703125" style="104" customWidth="1" outlineLevel="1"/>
    <col min="15" max="15" width="49.42578125" bestFit="1" customWidth="1"/>
    <col min="16" max="30" width="20.5703125" customWidth="1"/>
  </cols>
  <sheetData>
    <row r="1" spans="1:40" ht="60">
      <c r="I1" s="164"/>
      <c r="J1" s="103"/>
      <c r="K1" s="103"/>
      <c r="L1" s="34"/>
      <c r="M1" s="34"/>
      <c r="N1" s="34"/>
      <c r="O1" s="139" t="s">
        <v>633</v>
      </c>
      <c r="P1" s="139" t="s">
        <v>634</v>
      </c>
      <c r="Q1" s="139" t="s">
        <v>635</v>
      </c>
      <c r="R1" s="139" t="s">
        <v>636</v>
      </c>
      <c r="S1" s="139" t="s">
        <v>637</v>
      </c>
      <c r="T1" s="139" t="s">
        <v>638</v>
      </c>
      <c r="U1" s="139" t="s">
        <v>639</v>
      </c>
      <c r="V1" s="139" t="s">
        <v>640</v>
      </c>
      <c r="W1" s="139" t="s">
        <v>641</v>
      </c>
      <c r="X1" s="139" t="s">
        <v>642</v>
      </c>
      <c r="Y1" s="139" t="s">
        <v>643</v>
      </c>
      <c r="Z1" s="139" t="s">
        <v>644</v>
      </c>
      <c r="AA1" s="139" t="s">
        <v>645</v>
      </c>
      <c r="AB1" s="139" t="s">
        <v>646</v>
      </c>
      <c r="AC1" s="139" t="s">
        <v>647</v>
      </c>
      <c r="AD1" s="139" t="s">
        <v>648</v>
      </c>
    </row>
    <row r="2" spans="1:40">
      <c r="I2" s="164"/>
      <c r="J2" s="103"/>
      <c r="K2" s="103"/>
      <c r="L2" s="34"/>
      <c r="M2" s="34"/>
      <c r="N2" s="34"/>
      <c r="O2" s="138" t="s">
        <v>649</v>
      </c>
      <c r="P2" s="168" t="s">
        <v>74</v>
      </c>
      <c r="Q2" s="168" t="s">
        <v>103</v>
      </c>
      <c r="R2" s="168" t="s">
        <v>64</v>
      </c>
      <c r="S2" s="168" t="s">
        <v>64</v>
      </c>
      <c r="T2" s="168" t="s">
        <v>547</v>
      </c>
      <c r="U2" s="168" t="s">
        <v>547</v>
      </c>
      <c r="V2" s="168" t="s">
        <v>547</v>
      </c>
      <c r="W2" s="168" t="s">
        <v>66</v>
      </c>
      <c r="X2" s="168" t="s">
        <v>547</v>
      </c>
      <c r="Y2" s="168" t="s">
        <v>56</v>
      </c>
      <c r="Z2" s="168" t="s">
        <v>68</v>
      </c>
      <c r="AA2" s="168" t="s">
        <v>68</v>
      </c>
      <c r="AB2" s="168" t="s">
        <v>80</v>
      </c>
      <c r="AC2" s="169" t="s">
        <v>86</v>
      </c>
      <c r="AD2" s="169" t="s">
        <v>86</v>
      </c>
    </row>
    <row r="3" spans="1:40">
      <c r="I3" s="164"/>
      <c r="J3" s="103"/>
      <c r="K3" s="103"/>
      <c r="L3" s="34"/>
      <c r="M3" s="34"/>
      <c r="N3" s="34"/>
      <c r="O3" s="168" t="s">
        <v>62</v>
      </c>
      <c r="Q3" s="168" t="s">
        <v>100</v>
      </c>
      <c r="S3" s="168" t="s">
        <v>103</v>
      </c>
      <c r="T3" s="168" t="s">
        <v>72</v>
      </c>
      <c r="U3" s="168" t="s">
        <v>72</v>
      </c>
    </row>
    <row r="4" spans="1:40">
      <c r="I4" s="164"/>
      <c r="J4" s="103"/>
      <c r="K4" s="103"/>
      <c r="L4" s="34"/>
      <c r="M4" s="34"/>
      <c r="N4" s="34"/>
      <c r="Q4" s="168" t="s">
        <v>98</v>
      </c>
      <c r="S4" s="168" t="s">
        <v>100</v>
      </c>
      <c r="T4" s="168" t="s">
        <v>68</v>
      </c>
      <c r="U4" s="168" t="s">
        <v>68</v>
      </c>
    </row>
    <row r="5" spans="1:40">
      <c r="I5" s="164"/>
      <c r="J5" s="103"/>
      <c r="K5" s="103"/>
      <c r="L5" s="34"/>
      <c r="M5" s="34"/>
      <c r="N5" s="34"/>
      <c r="Q5" s="168" t="s">
        <v>94</v>
      </c>
      <c r="S5" s="168" t="s">
        <v>98</v>
      </c>
      <c r="T5" s="168" t="s">
        <v>64</v>
      </c>
      <c r="U5" s="168" t="s">
        <v>64</v>
      </c>
    </row>
    <row r="6" spans="1:40">
      <c r="I6" s="164"/>
      <c r="J6" s="103"/>
      <c r="K6" s="103"/>
      <c r="L6" s="34"/>
      <c r="M6" s="34"/>
      <c r="N6" s="34"/>
      <c r="Q6" s="168" t="s">
        <v>70</v>
      </c>
      <c r="S6" s="168" t="s">
        <v>94</v>
      </c>
    </row>
    <row r="7" spans="1:40">
      <c r="I7" s="164"/>
      <c r="J7" s="103"/>
      <c r="K7" s="103"/>
      <c r="L7" s="34"/>
      <c r="M7" s="34"/>
      <c r="N7" s="34"/>
    </row>
    <row r="8" spans="1:40">
      <c r="B8" s="165" t="s">
        <v>650</v>
      </c>
      <c r="I8" s="164"/>
      <c r="J8" s="103"/>
      <c r="K8" s="103"/>
      <c r="L8" s="34"/>
      <c r="M8" s="34"/>
      <c r="N8" s="34"/>
      <c r="O8" t="s">
        <v>651</v>
      </c>
      <c r="P8" t="s">
        <v>652</v>
      </c>
      <c r="Q8" t="s">
        <v>652</v>
      </c>
      <c r="R8" t="s">
        <v>652</v>
      </c>
      <c r="S8" t="s">
        <v>652</v>
      </c>
      <c r="T8" t="s">
        <v>652</v>
      </c>
      <c r="U8" t="s">
        <v>652</v>
      </c>
      <c r="V8" t="s">
        <v>652</v>
      </c>
      <c r="W8" t="s">
        <v>652</v>
      </c>
      <c r="X8" t="s">
        <v>652</v>
      </c>
      <c r="Y8" t="s">
        <v>653</v>
      </c>
      <c r="Z8" t="s">
        <v>654</v>
      </c>
      <c r="AA8" t="s">
        <v>652</v>
      </c>
      <c r="AB8" t="s">
        <v>652</v>
      </c>
      <c r="AC8" t="s">
        <v>652</v>
      </c>
      <c r="AD8" t="s">
        <v>652</v>
      </c>
    </row>
    <row r="9" spans="1:40">
      <c r="B9" s="166">
        <f>Location</f>
        <v>0</v>
      </c>
      <c r="I9" s="164"/>
      <c r="J9" s="103"/>
      <c r="K9" s="103"/>
      <c r="L9" s="34"/>
      <c r="M9" s="34"/>
      <c r="N9" s="34"/>
      <c r="O9" s="167" t="e">
        <f t="shared" ref="O9:AD9" si="0">INDEX(O$11:O$1590,MATCH($B$9,$A$11:$A$1590,0),1)</f>
        <v>#N/A</v>
      </c>
      <c r="P9" s="167" t="e">
        <f t="shared" si="0"/>
        <v>#N/A</v>
      </c>
      <c r="Q9" s="167" t="e">
        <f t="shared" si="0"/>
        <v>#N/A</v>
      </c>
      <c r="R9" s="167" t="e">
        <f t="shared" si="0"/>
        <v>#N/A</v>
      </c>
      <c r="S9" s="167" t="e">
        <f t="shared" si="0"/>
        <v>#N/A</v>
      </c>
      <c r="T9" s="167" t="e">
        <f t="shared" si="0"/>
        <v>#N/A</v>
      </c>
      <c r="U9" s="167" t="e">
        <f t="shared" si="0"/>
        <v>#N/A</v>
      </c>
      <c r="V9" s="167" t="e">
        <f t="shared" si="0"/>
        <v>#N/A</v>
      </c>
      <c r="W9" s="167" t="e">
        <f t="shared" si="0"/>
        <v>#N/A</v>
      </c>
      <c r="X9" s="167" t="e">
        <f t="shared" si="0"/>
        <v>#N/A</v>
      </c>
      <c r="Y9" s="167" t="e">
        <f t="shared" si="0"/>
        <v>#N/A</v>
      </c>
      <c r="Z9" s="167" t="e">
        <f t="shared" si="0"/>
        <v>#N/A</v>
      </c>
      <c r="AA9" s="167" t="e">
        <f t="shared" si="0"/>
        <v>#N/A</v>
      </c>
      <c r="AB9" s="167" t="e">
        <f t="shared" si="0"/>
        <v>#N/A</v>
      </c>
      <c r="AC9" s="167" t="e">
        <f t="shared" si="0"/>
        <v>#N/A</v>
      </c>
      <c r="AD9" s="167" t="e">
        <f t="shared" si="0"/>
        <v>#N/A</v>
      </c>
      <c r="AF9" t="s">
        <v>655</v>
      </c>
    </row>
    <row r="10" spans="1:40" ht="135">
      <c r="A10" s="165" t="s">
        <v>656</v>
      </c>
      <c r="B10" s="165" t="s">
        <v>657</v>
      </c>
      <c r="C10" s="103" t="s">
        <v>658</v>
      </c>
      <c r="D10" s="103" t="s">
        <v>659</v>
      </c>
      <c r="E10" s="104" t="s">
        <v>660</v>
      </c>
      <c r="F10" s="104" t="s">
        <v>661</v>
      </c>
      <c r="G10" s="104" t="s">
        <v>662</v>
      </c>
      <c r="H10" s="104" t="s">
        <v>663</v>
      </c>
      <c r="I10" s="164" t="s">
        <v>664</v>
      </c>
      <c r="J10" s="103" t="s">
        <v>665</v>
      </c>
      <c r="K10" s="103" t="s">
        <v>666</v>
      </c>
      <c r="L10" s="34" t="s">
        <v>667</v>
      </c>
      <c r="M10" s="34" t="s">
        <v>668</v>
      </c>
      <c r="N10" s="103" t="s">
        <v>669</v>
      </c>
      <c r="O10" s="139" t="s">
        <v>670</v>
      </c>
      <c r="P10" s="139" t="s">
        <v>671</v>
      </c>
      <c r="Q10" s="139" t="s">
        <v>672</v>
      </c>
      <c r="R10" s="139" t="s">
        <v>673</v>
      </c>
      <c r="S10" s="139" t="s">
        <v>674</v>
      </c>
      <c r="T10" s="139" t="s">
        <v>675</v>
      </c>
      <c r="U10" s="139" t="s">
        <v>676</v>
      </c>
      <c r="V10" s="139" t="s">
        <v>677</v>
      </c>
      <c r="W10" s="139" t="s">
        <v>641</v>
      </c>
      <c r="X10" s="139" t="s">
        <v>678</v>
      </c>
      <c r="Y10" s="139" t="s">
        <v>679</v>
      </c>
      <c r="Z10" s="139" t="s">
        <v>644</v>
      </c>
      <c r="AA10" s="139" t="s">
        <v>645</v>
      </c>
      <c r="AB10" s="139" t="s">
        <v>680</v>
      </c>
      <c r="AC10" s="139" t="s">
        <v>681</v>
      </c>
      <c r="AD10" s="139" t="s">
        <v>682</v>
      </c>
      <c r="AF10" s="139" t="s">
        <v>671</v>
      </c>
      <c r="AG10" s="139" t="s">
        <v>672</v>
      </c>
      <c r="AH10" s="139" t="s">
        <v>673</v>
      </c>
      <c r="AI10" s="139" t="s">
        <v>674</v>
      </c>
      <c r="AJ10" s="139" t="s">
        <v>675</v>
      </c>
      <c r="AK10" s="139" t="s">
        <v>676</v>
      </c>
      <c r="AL10" s="139" t="s">
        <v>677</v>
      </c>
      <c r="AM10" s="139" t="s">
        <v>641</v>
      </c>
      <c r="AN10" s="139" t="s">
        <v>678</v>
      </c>
    </row>
    <row r="11" spans="1:40">
      <c r="A11">
        <v>2079</v>
      </c>
      <c r="B11" t="s">
        <v>683</v>
      </c>
      <c r="C11" t="s">
        <v>684</v>
      </c>
      <c r="D11" t="s">
        <v>685</v>
      </c>
      <c r="E11">
        <v>340</v>
      </c>
      <c r="F11">
        <v>1334</v>
      </c>
      <c r="G11">
        <v>132.01038840000001</v>
      </c>
      <c r="H11">
        <v>636</v>
      </c>
      <c r="I11">
        <v>0.206338251</v>
      </c>
      <c r="J11">
        <v>1970</v>
      </c>
      <c r="K11">
        <v>9547.4299620000002</v>
      </c>
      <c r="L11">
        <v>0.875</v>
      </c>
      <c r="M11">
        <v>0.65163934400000001</v>
      </c>
      <c r="N11">
        <v>0</v>
      </c>
      <c r="O11" t="s">
        <v>620</v>
      </c>
      <c r="P11">
        <f t="shared" ref="P11:X11" si="1">IF(OR(IFERROR(AF11=0,TRUE),ISERROR(AF11)),AVERAGEIFS(AF:AF,$B:$B,$B11,AF:AF,"&gt;0"),AF11)</f>
        <v>14.399197859999999</v>
      </c>
      <c r="Q11">
        <f t="shared" si="1"/>
        <v>1.2999999999999999E-2</v>
      </c>
      <c r="R11">
        <f t="shared" si="1"/>
        <v>3.1E-2</v>
      </c>
      <c r="S11">
        <f t="shared" si="1"/>
        <v>0.875</v>
      </c>
      <c r="T11">
        <f t="shared" si="1"/>
        <v>2.279615385</v>
      </c>
      <c r="U11">
        <f t="shared" si="1"/>
        <v>8.5357262570000003</v>
      </c>
      <c r="V11">
        <f t="shared" si="1"/>
        <v>6.2E-2</v>
      </c>
      <c r="W11">
        <f t="shared" si="1"/>
        <v>2.9000000000000001E-2</v>
      </c>
      <c r="X11">
        <f t="shared" si="1"/>
        <v>0.89900000000000002</v>
      </c>
      <c r="Y11">
        <v>117.9306098</v>
      </c>
      <c r="Z11">
        <v>0</v>
      </c>
      <c r="AA11">
        <v>75370</v>
      </c>
      <c r="AB11">
        <v>21403</v>
      </c>
      <c r="AC11">
        <v>2.4597187E-2</v>
      </c>
      <c r="AD11">
        <v>0.84342094400000001</v>
      </c>
      <c r="AF11">
        <v>14.399197859999999</v>
      </c>
      <c r="AG11">
        <v>1.2999999999999999E-2</v>
      </c>
      <c r="AH11">
        <v>3.1E-2</v>
      </c>
      <c r="AI11">
        <v>0.875</v>
      </c>
      <c r="AJ11">
        <v>2.279615385</v>
      </c>
      <c r="AK11">
        <v>8.5357262570000003</v>
      </c>
      <c r="AL11">
        <v>6.2E-2</v>
      </c>
      <c r="AM11">
        <v>2.9000000000000001E-2</v>
      </c>
      <c r="AN11">
        <v>0.89900000000000002</v>
      </c>
    </row>
    <row r="12" spans="1:40">
      <c r="A12">
        <v>2080</v>
      </c>
      <c r="B12" t="s">
        <v>686</v>
      </c>
      <c r="C12" t="s">
        <v>687</v>
      </c>
      <c r="D12" t="s">
        <v>688</v>
      </c>
      <c r="E12">
        <v>493</v>
      </c>
      <c r="F12">
        <v>1192</v>
      </c>
      <c r="G12">
        <v>38.459711859999999</v>
      </c>
      <c r="H12">
        <v>79</v>
      </c>
      <c r="I12">
        <v>6.0122390999999997E-2</v>
      </c>
      <c r="J12">
        <v>1271</v>
      </c>
      <c r="K12">
        <v>21140.210470000002</v>
      </c>
      <c r="L12">
        <v>0.66100000000000003</v>
      </c>
      <c r="M12">
        <v>0.13811188799999999</v>
      </c>
      <c r="N12">
        <v>0</v>
      </c>
      <c r="O12" t="s">
        <v>613</v>
      </c>
      <c r="P12">
        <f t="shared" ref="P12:P75" si="2">IF(OR(IFERROR(AF12=0,TRUE),ISERROR(AF12)),AVERAGEIFS(AF:AF,$B:$B,$B12,AF:AF,"&gt;0"),AF12)</f>
        <v>9.6047999999999991</v>
      </c>
      <c r="Q12">
        <f t="shared" ref="Q12:Q75" si="3">IF(OR(IFERROR(AG12=0,TRUE),ISERROR(AG12)),AVERAGEIFS(AG:AG,$B:$B,$B12,AG:AG,"&gt;0"),AG12)</f>
        <v>0.04</v>
      </c>
      <c r="R12">
        <f t="shared" ref="R12:R75" si="4">IF(OR(IFERROR(AH12=0,TRUE),ISERROR(AH12)),AVERAGEIFS(AH:AH,$B:$B,$B12,AH:AH,"&gt;0"),AH12)</f>
        <v>4.2000000000000003E-2</v>
      </c>
      <c r="S12">
        <f t="shared" ref="S12:S75" si="5">IF(OR(IFERROR(AI12=0,TRUE),ISERROR(AI12)),AVERAGEIFS(AI:AI,$B:$B,$B12,AI:AI,"&gt;0"),AI12)</f>
        <v>0.66100000000000003</v>
      </c>
      <c r="T12">
        <f t="shared" ref="T12:T75" si="6">IF(OR(IFERROR(AJ12=0,TRUE),ISERROR(AJ12)),AVERAGEIFS(AJ:AJ,$B:$B,$B12,AJ:AJ,"&gt;0"),AJ12)</f>
        <v>1.428478261</v>
      </c>
      <c r="U12">
        <f t="shared" ref="U12:U75" si="7">IF(OR(IFERROR(AK12=0,TRUE),ISERROR(AK12)),AVERAGEIFS(AK:AK,$B:$B,$B12,AK:AK,"&gt;0"),AK12)</f>
        <v>4.70256776</v>
      </c>
      <c r="V12">
        <f t="shared" ref="V12:V75" si="8">IF(OR(IFERROR(AL12=0,TRUE),ISERROR(AL12)),AVERAGEIFS(AL:AL,$B:$B,$B12,AL:AL,"&gt;0"),AL12)</f>
        <v>0.123</v>
      </c>
      <c r="W12">
        <f t="shared" ref="W12:W75" si="9">IF(OR(IFERROR(AM12=0,TRUE),ISERROR(AM12)),AVERAGEIFS(AM:AM,$B:$B,$B12,AM:AM,"&gt;0"),AM12)</f>
        <v>0.158</v>
      </c>
      <c r="X12">
        <f t="shared" ref="X12:X75" si="10">IF(OR(IFERROR(AN12=0,TRUE),ISERROR(AN12)),AVERAGEIFS(AN:AN,$B:$B,$B12,AN:AN,"&gt;0"),AN12)</f>
        <v>0.65800000000000003</v>
      </c>
      <c r="Y12">
        <v>144.09815699999999</v>
      </c>
      <c r="Z12">
        <v>1</v>
      </c>
      <c r="AA12">
        <v>140316</v>
      </c>
      <c r="AB12">
        <v>49638</v>
      </c>
      <c r="AC12">
        <v>9.1283894000000004E-2</v>
      </c>
      <c r="AD12">
        <v>0.60339869999999995</v>
      </c>
      <c r="AF12">
        <v>9.6047999999999991</v>
      </c>
      <c r="AG12">
        <v>0.04</v>
      </c>
      <c r="AH12">
        <v>4.2000000000000003E-2</v>
      </c>
      <c r="AI12">
        <v>0.66100000000000003</v>
      </c>
      <c r="AJ12">
        <v>1.428478261</v>
      </c>
      <c r="AK12">
        <v>4.70256776</v>
      </c>
      <c r="AL12">
        <v>0.123</v>
      </c>
      <c r="AM12">
        <v>0.158</v>
      </c>
      <c r="AN12">
        <v>0.65800000000000003</v>
      </c>
    </row>
    <row r="13" spans="1:40">
      <c r="A13">
        <v>2081</v>
      </c>
      <c r="B13" t="s">
        <v>686</v>
      </c>
      <c r="C13" t="s">
        <v>687</v>
      </c>
      <c r="D13" t="s">
        <v>688</v>
      </c>
      <c r="E13">
        <v>11</v>
      </c>
      <c r="F13">
        <v>2186</v>
      </c>
      <c r="G13">
        <v>237.1454042</v>
      </c>
      <c r="H13">
        <v>11701</v>
      </c>
      <c r="I13">
        <v>0.37070049500000002</v>
      </c>
      <c r="J13">
        <v>13887</v>
      </c>
      <c r="K13">
        <v>37461.509189999997</v>
      </c>
      <c r="L13">
        <v>0.50600000000000001</v>
      </c>
      <c r="M13">
        <v>0.99906079199999998</v>
      </c>
      <c r="N13">
        <v>0</v>
      </c>
      <c r="O13" t="s">
        <v>606</v>
      </c>
      <c r="P13">
        <f t="shared" si="2"/>
        <v>17.622099039999998</v>
      </c>
      <c r="Q13">
        <f t="shared" si="3"/>
        <v>0.16600000000000001</v>
      </c>
      <c r="R13">
        <f t="shared" si="4"/>
        <v>5.8000000000000003E-2</v>
      </c>
      <c r="S13">
        <f t="shared" si="5"/>
        <v>0.50600000000000001</v>
      </c>
      <c r="T13">
        <f t="shared" si="6"/>
        <v>1.7020497510000001</v>
      </c>
      <c r="U13">
        <f t="shared" si="7"/>
        <v>9.5664599950000007</v>
      </c>
      <c r="V13">
        <f t="shared" si="8"/>
        <v>0.105</v>
      </c>
      <c r="W13">
        <f t="shared" si="9"/>
        <v>0.21099999999999999</v>
      </c>
      <c r="X13">
        <f t="shared" si="10"/>
        <v>0.59399999999999997</v>
      </c>
      <c r="Y13">
        <v>541.15584690000003</v>
      </c>
      <c r="Z13">
        <v>1</v>
      </c>
      <c r="AA13">
        <v>140316</v>
      </c>
      <c r="AB13">
        <v>49638</v>
      </c>
      <c r="AC13">
        <v>9.1283894000000004E-2</v>
      </c>
      <c r="AD13">
        <v>0.60339869999999995</v>
      </c>
      <c r="AF13">
        <v>17.622099039999998</v>
      </c>
      <c r="AG13">
        <v>0.16600000000000001</v>
      </c>
      <c r="AH13">
        <v>5.8000000000000003E-2</v>
      </c>
      <c r="AI13">
        <v>0.50600000000000001</v>
      </c>
      <c r="AJ13">
        <v>1.7020497510000001</v>
      </c>
      <c r="AK13">
        <v>9.5664599950000007</v>
      </c>
      <c r="AL13">
        <v>0.105</v>
      </c>
      <c r="AM13">
        <v>0.21099999999999999</v>
      </c>
      <c r="AN13">
        <v>0.59399999999999997</v>
      </c>
    </row>
    <row r="14" spans="1:40">
      <c r="A14">
        <v>2082</v>
      </c>
      <c r="B14" t="s">
        <v>686</v>
      </c>
      <c r="C14" t="s">
        <v>687</v>
      </c>
      <c r="D14" t="s">
        <v>688</v>
      </c>
      <c r="E14">
        <v>241</v>
      </c>
      <c r="F14">
        <v>2056</v>
      </c>
      <c r="G14">
        <v>28.85153154</v>
      </c>
      <c r="H14">
        <v>779</v>
      </c>
      <c r="I14">
        <v>4.5101183000000003E-2</v>
      </c>
      <c r="J14">
        <v>2835</v>
      </c>
      <c r="K14">
        <v>62858.661599999999</v>
      </c>
      <c r="L14">
        <v>0.45500000000000002</v>
      </c>
      <c r="M14">
        <v>0.76372549000000001</v>
      </c>
      <c r="N14">
        <v>0</v>
      </c>
      <c r="O14" t="s">
        <v>606</v>
      </c>
      <c r="P14">
        <f t="shared" si="2"/>
        <v>12.39010811</v>
      </c>
      <c r="Q14">
        <f t="shared" si="3"/>
        <v>7.4999999999999997E-2</v>
      </c>
      <c r="R14">
        <f t="shared" si="4"/>
        <v>6.8000000000000005E-2</v>
      </c>
      <c r="S14">
        <f t="shared" si="5"/>
        <v>0.45500000000000002</v>
      </c>
      <c r="T14">
        <f t="shared" si="6"/>
        <v>1.4855194810000001</v>
      </c>
      <c r="U14">
        <f t="shared" si="7"/>
        <v>6.7048946840000001</v>
      </c>
      <c r="V14">
        <f t="shared" si="8"/>
        <v>0.13800000000000001</v>
      </c>
      <c r="W14">
        <f t="shared" si="9"/>
        <v>0.19500000000000001</v>
      </c>
      <c r="X14">
        <f t="shared" si="10"/>
        <v>0.42</v>
      </c>
      <c r="Y14">
        <v>224.95182199999999</v>
      </c>
      <c r="Z14">
        <v>1</v>
      </c>
      <c r="AA14">
        <v>140316</v>
      </c>
      <c r="AB14">
        <v>49638</v>
      </c>
      <c r="AC14">
        <v>9.1283894000000004E-2</v>
      </c>
      <c r="AD14">
        <v>0.60339869999999995</v>
      </c>
      <c r="AF14">
        <v>12.39010811</v>
      </c>
      <c r="AG14">
        <v>7.4999999999999997E-2</v>
      </c>
      <c r="AH14">
        <v>6.8000000000000005E-2</v>
      </c>
      <c r="AI14">
        <v>0.45500000000000002</v>
      </c>
      <c r="AJ14">
        <v>1.4855194810000001</v>
      </c>
      <c r="AK14">
        <v>6.7048946840000001</v>
      </c>
      <c r="AL14">
        <v>0.13800000000000001</v>
      </c>
      <c r="AM14">
        <v>0.19500000000000001</v>
      </c>
      <c r="AN14">
        <v>0.42</v>
      </c>
    </row>
    <row r="15" spans="1:40">
      <c r="A15">
        <v>2083</v>
      </c>
      <c r="B15" t="s">
        <v>686</v>
      </c>
      <c r="C15" t="s">
        <v>687</v>
      </c>
      <c r="D15" t="s">
        <v>688</v>
      </c>
      <c r="E15">
        <v>610</v>
      </c>
      <c r="F15">
        <v>3607</v>
      </c>
      <c r="G15">
        <v>24.85575146</v>
      </c>
      <c r="H15">
        <v>242</v>
      </c>
      <c r="I15">
        <v>3.8852429000000001E-2</v>
      </c>
      <c r="J15">
        <v>3849</v>
      </c>
      <c r="K15">
        <v>99067.165139999997</v>
      </c>
      <c r="L15">
        <v>0.41099999999999998</v>
      </c>
      <c r="M15">
        <v>0.284037559</v>
      </c>
      <c r="N15">
        <v>0</v>
      </c>
      <c r="O15" t="s">
        <v>606</v>
      </c>
      <c r="P15">
        <f t="shared" si="2"/>
        <v>11.14627119</v>
      </c>
      <c r="Q15">
        <f t="shared" si="3"/>
        <v>9.8000000000000004E-2</v>
      </c>
      <c r="R15">
        <f t="shared" si="4"/>
        <v>0.06</v>
      </c>
      <c r="S15">
        <f t="shared" si="5"/>
        <v>0.41099999999999998</v>
      </c>
      <c r="T15">
        <f t="shared" si="6"/>
        <v>1.2861111110000001</v>
      </c>
      <c r="U15">
        <f t="shared" si="7"/>
        <v>6.5736410259999998</v>
      </c>
      <c r="V15">
        <f t="shared" si="8"/>
        <v>0.123</v>
      </c>
      <c r="W15">
        <f t="shared" si="9"/>
        <v>0.19900000000000001</v>
      </c>
      <c r="X15">
        <f t="shared" si="10"/>
        <v>0.34499999999999997</v>
      </c>
      <c r="Y15">
        <v>106.125203</v>
      </c>
      <c r="Z15">
        <v>1</v>
      </c>
      <c r="AA15">
        <v>140316</v>
      </c>
      <c r="AB15">
        <v>49638</v>
      </c>
      <c r="AC15">
        <v>9.1283894000000004E-2</v>
      </c>
      <c r="AD15">
        <v>0.60339869999999995</v>
      </c>
      <c r="AF15">
        <v>11.14627119</v>
      </c>
      <c r="AG15">
        <v>9.8000000000000004E-2</v>
      </c>
      <c r="AH15">
        <v>0.06</v>
      </c>
      <c r="AI15">
        <v>0.41099999999999998</v>
      </c>
      <c r="AJ15">
        <v>1.2861111110000001</v>
      </c>
      <c r="AK15">
        <v>6.5736410259999998</v>
      </c>
      <c r="AL15">
        <v>0.123</v>
      </c>
      <c r="AM15">
        <v>0.19900000000000001</v>
      </c>
      <c r="AN15">
        <v>0.34499999999999997</v>
      </c>
    </row>
    <row r="16" spans="1:40">
      <c r="A16">
        <v>2084</v>
      </c>
      <c r="B16" t="s">
        <v>686</v>
      </c>
      <c r="C16" t="s">
        <v>687</v>
      </c>
      <c r="D16" t="s">
        <v>688</v>
      </c>
      <c r="E16">
        <v>295</v>
      </c>
      <c r="F16">
        <v>2211</v>
      </c>
      <c r="G16">
        <v>16.202979729999999</v>
      </c>
      <c r="H16">
        <v>40</v>
      </c>
      <c r="I16">
        <v>2.5330226000000001E-2</v>
      </c>
      <c r="J16">
        <v>2251</v>
      </c>
      <c r="K16">
        <v>88866.163289999997</v>
      </c>
      <c r="L16">
        <v>0.45300000000000001</v>
      </c>
      <c r="M16">
        <v>0.119402985</v>
      </c>
      <c r="N16">
        <v>0</v>
      </c>
      <c r="O16" t="s">
        <v>606</v>
      </c>
      <c r="P16">
        <f t="shared" si="2"/>
        <v>9.5234693880000005</v>
      </c>
      <c r="Q16">
        <f t="shared" si="3"/>
        <v>0.104</v>
      </c>
      <c r="R16">
        <f t="shared" si="4"/>
        <v>5.5E-2</v>
      </c>
      <c r="S16">
        <f t="shared" si="5"/>
        <v>0.45300000000000001</v>
      </c>
      <c r="T16">
        <f t="shared" si="6"/>
        <v>1.7346575339999999</v>
      </c>
      <c r="U16">
        <f t="shared" si="7"/>
        <v>5.9037010680000002</v>
      </c>
      <c r="V16">
        <f t="shared" si="8"/>
        <v>7.4999999999999997E-2</v>
      </c>
      <c r="W16">
        <f t="shared" si="9"/>
        <v>0.253</v>
      </c>
      <c r="X16">
        <f t="shared" si="10"/>
        <v>0.40699999999999997</v>
      </c>
      <c r="Y16">
        <v>159.037949</v>
      </c>
      <c r="Z16">
        <v>1</v>
      </c>
      <c r="AA16">
        <v>140316</v>
      </c>
      <c r="AB16">
        <v>49638</v>
      </c>
      <c r="AC16">
        <v>9.1283894000000004E-2</v>
      </c>
      <c r="AD16">
        <v>0.60339869999999995</v>
      </c>
      <c r="AF16">
        <v>9.5234693880000005</v>
      </c>
      <c r="AG16">
        <v>0.104</v>
      </c>
      <c r="AH16">
        <v>5.5E-2</v>
      </c>
      <c r="AI16">
        <v>0.45300000000000001</v>
      </c>
      <c r="AJ16">
        <v>1.7346575339999999</v>
      </c>
      <c r="AK16">
        <v>5.9037010680000002</v>
      </c>
      <c r="AL16">
        <v>7.4999999999999997E-2</v>
      </c>
      <c r="AM16">
        <v>0.253</v>
      </c>
      <c r="AN16">
        <v>0.40699999999999997</v>
      </c>
    </row>
    <row r="17" spans="1:40">
      <c r="A17">
        <v>2085</v>
      </c>
      <c r="B17" t="s">
        <v>689</v>
      </c>
      <c r="C17" t="s">
        <v>687</v>
      </c>
      <c r="D17" t="s">
        <v>688</v>
      </c>
      <c r="E17">
        <v>250</v>
      </c>
      <c r="F17">
        <v>649</v>
      </c>
      <c r="G17">
        <v>67.732823379999999</v>
      </c>
      <c r="H17">
        <v>0</v>
      </c>
      <c r="I17">
        <v>0.10587682800000001</v>
      </c>
      <c r="J17">
        <v>649</v>
      </c>
      <c r="K17">
        <v>6129.7642960000003</v>
      </c>
      <c r="L17">
        <v>0.78700000000000003</v>
      </c>
      <c r="M17">
        <v>0</v>
      </c>
      <c r="N17">
        <v>0</v>
      </c>
      <c r="O17" t="s">
        <v>620</v>
      </c>
      <c r="P17">
        <f t="shared" si="2"/>
        <v>13.650681820000001</v>
      </c>
      <c r="Q17">
        <f t="shared" si="3"/>
        <v>5.8999999999999997E-2</v>
      </c>
      <c r="R17">
        <f t="shared" si="4"/>
        <v>1.7000000000000001E-2</v>
      </c>
      <c r="S17">
        <f t="shared" si="5"/>
        <v>0.78700000000000003</v>
      </c>
      <c r="T17">
        <f t="shared" si="6"/>
        <v>2.5066666670000002</v>
      </c>
      <c r="U17">
        <f t="shared" si="7"/>
        <v>7.5237407410000001</v>
      </c>
      <c r="V17">
        <f t="shared" si="8"/>
        <v>2.9000000000000001E-2</v>
      </c>
      <c r="W17">
        <f t="shared" si="9"/>
        <v>0.28599999999999998</v>
      </c>
      <c r="X17">
        <f t="shared" si="10"/>
        <v>0.629</v>
      </c>
      <c r="Y17">
        <v>122.5789156</v>
      </c>
      <c r="Z17">
        <v>0</v>
      </c>
      <c r="AA17">
        <v>454184</v>
      </c>
      <c r="AB17">
        <v>170596</v>
      </c>
      <c r="AC17">
        <v>6.5715274000000004E-2</v>
      </c>
      <c r="AD17">
        <v>0.72549415100000003</v>
      </c>
      <c r="AF17">
        <v>13.650681820000001</v>
      </c>
      <c r="AG17">
        <v>5.8999999999999997E-2</v>
      </c>
      <c r="AH17">
        <v>1.7000000000000001E-2</v>
      </c>
      <c r="AI17">
        <v>0.78700000000000003</v>
      </c>
      <c r="AJ17">
        <v>2.5066666670000002</v>
      </c>
      <c r="AK17">
        <v>7.5237407410000001</v>
      </c>
      <c r="AL17">
        <v>2.9000000000000001E-2</v>
      </c>
      <c r="AM17">
        <v>0.28599999999999998</v>
      </c>
      <c r="AN17">
        <v>0.629</v>
      </c>
    </row>
    <row r="18" spans="1:40">
      <c r="A18">
        <v>2086</v>
      </c>
      <c r="B18" t="s">
        <v>689</v>
      </c>
      <c r="C18" t="s">
        <v>687</v>
      </c>
      <c r="D18" t="s">
        <v>688</v>
      </c>
      <c r="E18">
        <v>491</v>
      </c>
      <c r="F18">
        <v>1275</v>
      </c>
      <c r="G18">
        <v>100.9165754</v>
      </c>
      <c r="H18">
        <v>8</v>
      </c>
      <c r="I18">
        <v>0.157747691</v>
      </c>
      <c r="J18">
        <v>1283</v>
      </c>
      <c r="K18">
        <v>8133.2410749999999</v>
      </c>
      <c r="L18">
        <v>0.77200000000000002</v>
      </c>
      <c r="M18">
        <v>1.6032063999999999E-2</v>
      </c>
      <c r="N18">
        <v>0</v>
      </c>
      <c r="O18" t="s">
        <v>620</v>
      </c>
      <c r="P18">
        <f t="shared" si="2"/>
        <v>12.084576269999999</v>
      </c>
      <c r="Q18">
        <f t="shared" si="3"/>
        <v>6.0999999999999999E-2</v>
      </c>
      <c r="R18">
        <f t="shared" si="4"/>
        <v>2.7E-2</v>
      </c>
      <c r="S18">
        <f t="shared" si="5"/>
        <v>0.77200000000000002</v>
      </c>
      <c r="T18">
        <f t="shared" si="6"/>
        <v>2.4444444440000002</v>
      </c>
      <c r="U18">
        <f t="shared" si="7"/>
        <v>6.9654455449999997</v>
      </c>
      <c r="V18">
        <f t="shared" si="8"/>
        <v>1.2999999999999999E-2</v>
      </c>
      <c r="W18">
        <f t="shared" si="9"/>
        <v>0.19700000000000001</v>
      </c>
      <c r="X18">
        <f t="shared" si="10"/>
        <v>0.77600000000000002</v>
      </c>
      <c r="Y18">
        <v>105.7858214</v>
      </c>
      <c r="Z18">
        <v>0</v>
      </c>
      <c r="AA18">
        <v>454184</v>
      </c>
      <c r="AB18">
        <v>170596</v>
      </c>
      <c r="AC18">
        <v>6.5715274000000004E-2</v>
      </c>
      <c r="AD18">
        <v>0.72549415100000003</v>
      </c>
      <c r="AF18">
        <v>12.084576269999999</v>
      </c>
      <c r="AG18">
        <v>6.0999999999999999E-2</v>
      </c>
      <c r="AH18">
        <v>2.7E-2</v>
      </c>
      <c r="AI18">
        <v>0.77200000000000002</v>
      </c>
      <c r="AJ18">
        <v>2.4444444440000002</v>
      </c>
      <c r="AK18">
        <v>6.9654455449999997</v>
      </c>
      <c r="AL18">
        <v>1.2999999999999999E-2</v>
      </c>
      <c r="AM18">
        <v>0.19700000000000001</v>
      </c>
      <c r="AN18">
        <v>0.77600000000000002</v>
      </c>
    </row>
    <row r="19" spans="1:40">
      <c r="A19">
        <v>2087</v>
      </c>
      <c r="B19" t="s">
        <v>689</v>
      </c>
      <c r="C19" t="s">
        <v>687</v>
      </c>
      <c r="D19" t="s">
        <v>688</v>
      </c>
      <c r="E19">
        <v>360</v>
      </c>
      <c r="F19">
        <v>1375</v>
      </c>
      <c r="G19">
        <v>112.77252970000001</v>
      </c>
      <c r="H19">
        <v>1149</v>
      </c>
      <c r="I19">
        <v>0.176273606</v>
      </c>
      <c r="J19">
        <v>2524</v>
      </c>
      <c r="K19">
        <v>14318.64961</v>
      </c>
      <c r="L19">
        <v>0.80800000000000005</v>
      </c>
      <c r="M19">
        <v>0.76143141199999997</v>
      </c>
      <c r="N19">
        <v>0</v>
      </c>
      <c r="O19" t="s">
        <v>613</v>
      </c>
      <c r="P19">
        <f t="shared" si="2"/>
        <v>14.49104839</v>
      </c>
      <c r="Q19">
        <f t="shared" si="3"/>
        <v>2.1999999999999999E-2</v>
      </c>
      <c r="R19">
        <f t="shared" si="4"/>
        <v>2.1999999999999999E-2</v>
      </c>
      <c r="S19">
        <f t="shared" si="5"/>
        <v>0.80800000000000005</v>
      </c>
      <c r="T19">
        <f t="shared" si="6"/>
        <v>1.8041666670000001</v>
      </c>
      <c r="U19">
        <f t="shared" si="7"/>
        <v>7.5667553190000003</v>
      </c>
      <c r="V19">
        <f t="shared" si="8"/>
        <v>4.3999999999999997E-2</v>
      </c>
      <c r="W19">
        <f t="shared" si="9"/>
        <v>8.4000000000000005E-2</v>
      </c>
      <c r="X19">
        <f t="shared" si="10"/>
        <v>0.83199999999999996</v>
      </c>
      <c r="Y19">
        <v>190.875011</v>
      </c>
      <c r="Z19">
        <v>0</v>
      </c>
      <c r="AA19">
        <v>454184</v>
      </c>
      <c r="AB19">
        <v>170596</v>
      </c>
      <c r="AC19">
        <v>6.5715274000000004E-2</v>
      </c>
      <c r="AD19">
        <v>0.72549415100000003</v>
      </c>
      <c r="AF19">
        <v>14.49104839</v>
      </c>
      <c r="AG19">
        <v>2.1999999999999999E-2</v>
      </c>
      <c r="AH19">
        <v>2.1999999999999999E-2</v>
      </c>
      <c r="AI19">
        <v>0.80800000000000005</v>
      </c>
      <c r="AJ19">
        <v>1.8041666670000001</v>
      </c>
      <c r="AK19">
        <v>7.5667553190000003</v>
      </c>
      <c r="AL19">
        <v>4.3999999999999997E-2</v>
      </c>
      <c r="AM19">
        <v>8.4000000000000005E-2</v>
      </c>
      <c r="AN19">
        <v>0.83199999999999996</v>
      </c>
    </row>
    <row r="20" spans="1:40">
      <c r="A20">
        <v>2088</v>
      </c>
      <c r="B20" t="s">
        <v>689</v>
      </c>
      <c r="C20" t="s">
        <v>687</v>
      </c>
      <c r="D20" t="s">
        <v>688</v>
      </c>
      <c r="E20">
        <v>241</v>
      </c>
      <c r="F20">
        <v>915</v>
      </c>
      <c r="G20">
        <v>49.976520530000002</v>
      </c>
      <c r="H20">
        <v>136</v>
      </c>
      <c r="I20">
        <v>7.8115637000000002E-2</v>
      </c>
      <c r="J20">
        <v>1051</v>
      </c>
      <c r="K20">
        <v>13454.41246</v>
      </c>
      <c r="L20">
        <v>0.79400000000000004</v>
      </c>
      <c r="M20">
        <v>0.36074270600000002</v>
      </c>
      <c r="N20">
        <v>0</v>
      </c>
      <c r="O20" t="s">
        <v>613</v>
      </c>
      <c r="P20">
        <f t="shared" si="2"/>
        <v>11.42347826</v>
      </c>
      <c r="Q20">
        <f t="shared" si="3"/>
        <v>0.04</v>
      </c>
      <c r="R20">
        <f t="shared" si="4"/>
        <v>0.02</v>
      </c>
      <c r="S20">
        <f t="shared" si="5"/>
        <v>0.79400000000000004</v>
      </c>
      <c r="T20">
        <f t="shared" si="6"/>
        <v>2.602857143</v>
      </c>
      <c r="U20">
        <f t="shared" si="7"/>
        <v>5.6403558049999996</v>
      </c>
      <c r="V20">
        <f t="shared" si="8"/>
        <v>0.04</v>
      </c>
      <c r="W20">
        <f t="shared" si="9"/>
        <v>0.16</v>
      </c>
      <c r="X20">
        <f t="shared" si="10"/>
        <v>0.69</v>
      </c>
      <c r="Y20">
        <v>162.1880366</v>
      </c>
      <c r="Z20">
        <v>0</v>
      </c>
      <c r="AA20">
        <v>454184</v>
      </c>
      <c r="AB20">
        <v>170596</v>
      </c>
      <c r="AC20">
        <v>6.5715274000000004E-2</v>
      </c>
      <c r="AD20">
        <v>0.72549415100000003</v>
      </c>
      <c r="AF20">
        <v>11.42347826</v>
      </c>
      <c r="AG20">
        <v>0.04</v>
      </c>
      <c r="AH20">
        <v>0.02</v>
      </c>
      <c r="AI20">
        <v>0.79400000000000004</v>
      </c>
      <c r="AJ20">
        <v>2.602857143</v>
      </c>
      <c r="AK20">
        <v>5.6403558049999996</v>
      </c>
      <c r="AL20">
        <v>0.04</v>
      </c>
      <c r="AM20">
        <v>0.16</v>
      </c>
      <c r="AN20">
        <v>0.69</v>
      </c>
    </row>
    <row r="21" spans="1:40">
      <c r="A21">
        <v>2089</v>
      </c>
      <c r="B21" t="s">
        <v>689</v>
      </c>
      <c r="C21" t="s">
        <v>687</v>
      </c>
      <c r="D21" t="s">
        <v>688</v>
      </c>
      <c r="E21">
        <v>412</v>
      </c>
      <c r="F21">
        <v>1095</v>
      </c>
      <c r="G21">
        <v>115.0029552</v>
      </c>
      <c r="H21">
        <v>4</v>
      </c>
      <c r="I21">
        <v>0.17976186399999999</v>
      </c>
      <c r="J21">
        <v>1099</v>
      </c>
      <c r="K21">
        <v>6113.6437699999997</v>
      </c>
      <c r="L21">
        <v>0.78700000000000003</v>
      </c>
      <c r="M21">
        <v>9.6153850000000006E-3</v>
      </c>
      <c r="N21">
        <v>0</v>
      </c>
      <c r="O21" t="s">
        <v>620</v>
      </c>
      <c r="P21">
        <f t="shared" si="2"/>
        <v>10.04308511</v>
      </c>
      <c r="Q21">
        <f t="shared" si="3"/>
        <v>3.4000000000000002E-2</v>
      </c>
      <c r="R21">
        <f t="shared" si="4"/>
        <v>0.03</v>
      </c>
      <c r="S21">
        <f t="shared" si="5"/>
        <v>0.78700000000000003</v>
      </c>
      <c r="T21">
        <f t="shared" si="6"/>
        <v>2.476</v>
      </c>
      <c r="U21">
        <f t="shared" si="7"/>
        <v>7.53</v>
      </c>
      <c r="V21">
        <f t="shared" si="8"/>
        <v>1.7999999999999999E-2</v>
      </c>
      <c r="W21">
        <f t="shared" si="9"/>
        <v>0.127</v>
      </c>
      <c r="X21">
        <f t="shared" si="10"/>
        <v>0.85499999999999998</v>
      </c>
      <c r="Y21">
        <v>68.640001369999993</v>
      </c>
      <c r="Z21">
        <v>0</v>
      </c>
      <c r="AA21">
        <v>454184</v>
      </c>
      <c r="AB21">
        <v>170596</v>
      </c>
      <c r="AC21">
        <v>6.5715274000000004E-2</v>
      </c>
      <c r="AD21">
        <v>0.72549415100000003</v>
      </c>
      <c r="AF21">
        <v>10.04308511</v>
      </c>
      <c r="AG21">
        <v>3.4000000000000002E-2</v>
      </c>
      <c r="AH21">
        <v>0.03</v>
      </c>
      <c r="AI21">
        <v>0.78700000000000003</v>
      </c>
      <c r="AJ21">
        <v>2.476</v>
      </c>
      <c r="AK21">
        <v>7.53</v>
      </c>
      <c r="AL21">
        <v>1.7999999999999999E-2</v>
      </c>
      <c r="AM21">
        <v>0.127</v>
      </c>
      <c r="AN21">
        <v>0.85499999999999998</v>
      </c>
    </row>
    <row r="22" spans="1:40">
      <c r="A22">
        <v>2090</v>
      </c>
      <c r="B22" t="s">
        <v>690</v>
      </c>
      <c r="C22" t="s">
        <v>687</v>
      </c>
      <c r="D22" t="s">
        <v>688</v>
      </c>
      <c r="E22">
        <v>517</v>
      </c>
      <c r="F22">
        <v>1194</v>
      </c>
      <c r="G22">
        <v>42.165219550000003</v>
      </c>
      <c r="H22">
        <v>59</v>
      </c>
      <c r="I22">
        <v>6.5908414999999998E-2</v>
      </c>
      <c r="J22">
        <v>1253</v>
      </c>
      <c r="K22">
        <v>19011.229449999999</v>
      </c>
      <c r="L22">
        <v>0.76500000000000001</v>
      </c>
      <c r="M22">
        <v>0.10243055600000001</v>
      </c>
      <c r="N22">
        <v>0</v>
      </c>
      <c r="O22" t="s">
        <v>613</v>
      </c>
      <c r="P22">
        <f t="shared" si="2"/>
        <v>10.79623932</v>
      </c>
      <c r="Q22">
        <f t="shared" si="3"/>
        <v>7.3999999999999996E-2</v>
      </c>
      <c r="R22">
        <f t="shared" si="4"/>
        <v>2.7E-2</v>
      </c>
      <c r="S22">
        <f t="shared" si="5"/>
        <v>0.76500000000000001</v>
      </c>
      <c r="T22">
        <f t="shared" si="6"/>
        <v>2.0205000000000002</v>
      </c>
      <c r="U22">
        <f t="shared" si="7"/>
        <v>6.7227605119999998</v>
      </c>
      <c r="V22">
        <f t="shared" si="8"/>
        <v>3.6999999999999998E-2</v>
      </c>
      <c r="W22">
        <f t="shared" si="9"/>
        <v>0.17899999999999999</v>
      </c>
      <c r="X22">
        <f t="shared" si="10"/>
        <v>0.72199999999999998</v>
      </c>
      <c r="Y22">
        <v>111.35959440000001</v>
      </c>
      <c r="Z22">
        <v>0</v>
      </c>
      <c r="AA22">
        <v>82284</v>
      </c>
      <c r="AB22">
        <v>32030</v>
      </c>
      <c r="AC22">
        <v>4.7570397E-2</v>
      </c>
      <c r="AD22">
        <v>0.78974696300000002</v>
      </c>
      <c r="AF22">
        <v>10.79623932</v>
      </c>
      <c r="AG22">
        <v>7.3999999999999996E-2</v>
      </c>
      <c r="AH22">
        <v>2.7E-2</v>
      </c>
      <c r="AI22">
        <v>0.76500000000000001</v>
      </c>
      <c r="AJ22">
        <v>2.0205000000000002</v>
      </c>
      <c r="AK22">
        <v>6.7227605119999998</v>
      </c>
      <c r="AL22">
        <v>3.6999999999999998E-2</v>
      </c>
      <c r="AM22">
        <v>0.17899999999999999</v>
      </c>
      <c r="AN22">
        <v>0.72199999999999998</v>
      </c>
    </row>
    <row r="23" spans="1:40">
      <c r="A23">
        <v>2091</v>
      </c>
      <c r="B23" t="s">
        <v>689</v>
      </c>
      <c r="C23" t="s">
        <v>687</v>
      </c>
      <c r="D23" t="s">
        <v>688</v>
      </c>
      <c r="E23">
        <v>439</v>
      </c>
      <c r="F23">
        <v>1128</v>
      </c>
      <c r="G23">
        <v>54.745080360000003</v>
      </c>
      <c r="H23">
        <v>17441</v>
      </c>
      <c r="I23">
        <v>8.5575711999999998E-2</v>
      </c>
      <c r="J23">
        <v>18569</v>
      </c>
      <c r="K23">
        <v>216989.13819999999</v>
      </c>
      <c r="L23">
        <v>0.71599999999999997</v>
      </c>
      <c r="M23">
        <v>0.97544742699999998</v>
      </c>
      <c r="N23">
        <v>1</v>
      </c>
      <c r="O23" t="s">
        <v>606</v>
      </c>
      <c r="P23">
        <f t="shared" si="2"/>
        <v>13.185486170000001</v>
      </c>
      <c r="Q23">
        <f t="shared" si="3"/>
        <v>9.4E-2</v>
      </c>
      <c r="R23">
        <f t="shared" si="4"/>
        <v>2.5999999999999999E-2</v>
      </c>
      <c r="S23">
        <f t="shared" si="5"/>
        <v>0.71599999999999997</v>
      </c>
      <c r="T23">
        <f t="shared" si="6"/>
        <v>1.9645675680000001</v>
      </c>
      <c r="U23">
        <f t="shared" si="7"/>
        <v>7.9159128729999999</v>
      </c>
      <c r="V23">
        <f t="shared" si="8"/>
        <v>4.5999999999999999E-2</v>
      </c>
      <c r="W23">
        <f t="shared" si="9"/>
        <v>0.224</v>
      </c>
      <c r="X23">
        <f t="shared" si="10"/>
        <v>0.66</v>
      </c>
      <c r="Y23">
        <v>107.9371469</v>
      </c>
      <c r="Z23">
        <v>0</v>
      </c>
      <c r="AA23">
        <v>454184</v>
      </c>
      <c r="AB23">
        <v>170596</v>
      </c>
      <c r="AC23">
        <v>6.5715274000000004E-2</v>
      </c>
      <c r="AD23">
        <v>0.72549415100000003</v>
      </c>
      <c r="AF23">
        <v>13.185486170000001</v>
      </c>
      <c r="AG23">
        <v>9.4E-2</v>
      </c>
      <c r="AH23">
        <v>2.5999999999999999E-2</v>
      </c>
      <c r="AI23">
        <v>0.71599999999999997</v>
      </c>
      <c r="AJ23">
        <v>1.9645675680000001</v>
      </c>
      <c r="AK23">
        <v>7.9159128729999999</v>
      </c>
      <c r="AL23">
        <v>4.5999999999999999E-2</v>
      </c>
      <c r="AM23">
        <v>0.224</v>
      </c>
      <c r="AN23">
        <v>0.66</v>
      </c>
    </row>
    <row r="24" spans="1:40">
      <c r="A24">
        <v>2092</v>
      </c>
      <c r="B24" t="s">
        <v>683</v>
      </c>
      <c r="C24" t="s">
        <v>684</v>
      </c>
      <c r="D24" t="s">
        <v>685</v>
      </c>
      <c r="E24">
        <v>498</v>
      </c>
      <c r="F24">
        <v>1966</v>
      </c>
      <c r="G24">
        <v>113.7408537</v>
      </c>
      <c r="H24">
        <v>78</v>
      </c>
      <c r="I24">
        <v>0.17778677800000001</v>
      </c>
      <c r="J24">
        <v>2044</v>
      </c>
      <c r="K24">
        <v>11496.917949999999</v>
      </c>
      <c r="L24">
        <v>0.83199999999999996</v>
      </c>
      <c r="M24">
        <v>0.13541666699999999</v>
      </c>
      <c r="N24">
        <v>0</v>
      </c>
      <c r="O24" t="s">
        <v>620</v>
      </c>
      <c r="P24">
        <f t="shared" si="2"/>
        <v>15.16217949</v>
      </c>
      <c r="Q24">
        <f t="shared" si="3"/>
        <v>2.5000000000000001E-2</v>
      </c>
      <c r="R24">
        <f t="shared" si="4"/>
        <v>3.4000000000000002E-2</v>
      </c>
      <c r="S24">
        <f t="shared" si="5"/>
        <v>0.83199999999999996</v>
      </c>
      <c r="T24">
        <f t="shared" si="6"/>
        <v>2.4136666670000002</v>
      </c>
      <c r="U24">
        <f t="shared" si="7"/>
        <v>8.3205146039999995</v>
      </c>
      <c r="V24">
        <f t="shared" si="8"/>
        <v>5.5E-2</v>
      </c>
      <c r="W24">
        <f t="shared" si="9"/>
        <v>8.7999999999999995E-2</v>
      </c>
      <c r="X24">
        <f t="shared" si="10"/>
        <v>0.85699999999999998</v>
      </c>
      <c r="Y24">
        <v>119.64698509999999</v>
      </c>
      <c r="Z24">
        <v>0</v>
      </c>
      <c r="AA24">
        <v>75370</v>
      </c>
      <c r="AB24">
        <v>21403</v>
      </c>
      <c r="AC24">
        <v>2.4597187E-2</v>
      </c>
      <c r="AD24">
        <v>0.84342094400000001</v>
      </c>
      <c r="AF24">
        <v>15.16217949</v>
      </c>
      <c r="AG24">
        <v>2.5000000000000001E-2</v>
      </c>
      <c r="AH24">
        <v>3.4000000000000002E-2</v>
      </c>
      <c r="AI24">
        <v>0.83199999999999996</v>
      </c>
      <c r="AJ24">
        <v>2.4136666670000002</v>
      </c>
      <c r="AK24">
        <v>8.3205146039999995</v>
      </c>
      <c r="AL24">
        <v>5.5E-2</v>
      </c>
      <c r="AM24">
        <v>8.7999999999999995E-2</v>
      </c>
      <c r="AN24">
        <v>0.85699999999999998</v>
      </c>
    </row>
    <row r="25" spans="1:40">
      <c r="A25">
        <v>2093</v>
      </c>
      <c r="B25" t="s">
        <v>689</v>
      </c>
      <c r="C25" t="s">
        <v>687</v>
      </c>
      <c r="D25" t="s">
        <v>688</v>
      </c>
      <c r="E25">
        <v>582</v>
      </c>
      <c r="F25">
        <v>1447</v>
      </c>
      <c r="G25">
        <v>801.4389645</v>
      </c>
      <c r="H25">
        <v>843</v>
      </c>
      <c r="I25" s="515">
        <v>1.2527832812751201</v>
      </c>
      <c r="J25">
        <v>2290</v>
      </c>
      <c r="K25">
        <v>1827.9298859999999</v>
      </c>
      <c r="L25">
        <v>0.91500000000000004</v>
      </c>
      <c r="M25">
        <v>0.59157894700000002</v>
      </c>
      <c r="N25">
        <v>0</v>
      </c>
      <c r="O25" t="s">
        <v>620</v>
      </c>
      <c r="P25">
        <f t="shared" si="2"/>
        <v>12.818060340000001</v>
      </c>
      <c r="Q25">
        <f t="shared" si="3"/>
        <v>2.5000000000000001E-2</v>
      </c>
      <c r="R25">
        <f t="shared" si="4"/>
        <v>2.8000000000000001E-2</v>
      </c>
      <c r="S25">
        <f t="shared" si="5"/>
        <v>0.91500000000000004</v>
      </c>
      <c r="T25">
        <f t="shared" si="6"/>
        <v>2.7727499999999998</v>
      </c>
      <c r="U25">
        <f t="shared" si="7"/>
        <v>8.83234326</v>
      </c>
      <c r="V25">
        <f t="shared" si="8"/>
        <v>2.5999999999999999E-2</v>
      </c>
      <c r="W25">
        <f t="shared" si="9"/>
        <v>0.112</v>
      </c>
      <c r="X25">
        <f t="shared" si="10"/>
        <v>0.86199999999999999</v>
      </c>
      <c r="Y25">
        <v>56.703535039999998</v>
      </c>
      <c r="Z25">
        <v>0</v>
      </c>
      <c r="AA25">
        <v>454184</v>
      </c>
      <c r="AB25">
        <v>170596</v>
      </c>
      <c r="AC25">
        <v>6.5715274000000004E-2</v>
      </c>
      <c r="AD25">
        <v>0.72549415100000003</v>
      </c>
      <c r="AF25">
        <v>12.818060340000001</v>
      </c>
      <c r="AG25">
        <v>2.5000000000000001E-2</v>
      </c>
      <c r="AH25">
        <v>2.8000000000000001E-2</v>
      </c>
      <c r="AI25">
        <v>0.91500000000000004</v>
      </c>
      <c r="AJ25">
        <v>2.7727499999999998</v>
      </c>
      <c r="AK25">
        <v>8.83234326</v>
      </c>
      <c r="AL25">
        <v>2.5999999999999999E-2</v>
      </c>
      <c r="AM25">
        <v>0.112</v>
      </c>
      <c r="AN25">
        <v>0.86199999999999999</v>
      </c>
    </row>
    <row r="26" spans="1:40">
      <c r="A26">
        <v>2094</v>
      </c>
      <c r="B26" t="s">
        <v>689</v>
      </c>
      <c r="C26" t="s">
        <v>687</v>
      </c>
      <c r="D26" t="s">
        <v>688</v>
      </c>
      <c r="E26">
        <v>303</v>
      </c>
      <c r="F26">
        <v>769</v>
      </c>
      <c r="G26">
        <v>34.916998370000002</v>
      </c>
      <c r="H26">
        <v>457</v>
      </c>
      <c r="I26">
        <v>5.4577628000000003E-2</v>
      </c>
      <c r="J26">
        <v>1226</v>
      </c>
      <c r="K26">
        <v>22463.416700000002</v>
      </c>
      <c r="L26">
        <v>0.63800000000000001</v>
      </c>
      <c r="M26">
        <v>0.60131578900000004</v>
      </c>
      <c r="N26">
        <v>1</v>
      </c>
      <c r="O26" t="s">
        <v>613</v>
      </c>
      <c r="P26">
        <f t="shared" si="2"/>
        <v>10.572682929999999</v>
      </c>
      <c r="Q26">
        <f t="shared" si="3"/>
        <v>0.106</v>
      </c>
      <c r="R26">
        <f t="shared" si="4"/>
        <v>3.1E-2</v>
      </c>
      <c r="S26">
        <f t="shared" si="5"/>
        <v>0.63800000000000001</v>
      </c>
      <c r="T26">
        <f t="shared" si="6"/>
        <v>1.799583333</v>
      </c>
      <c r="U26">
        <f t="shared" si="7"/>
        <v>6.0372083329999997</v>
      </c>
      <c r="V26">
        <f t="shared" si="8"/>
        <v>8.5999999999999993E-2</v>
      </c>
      <c r="W26">
        <f t="shared" si="9"/>
        <v>0.27600000000000002</v>
      </c>
      <c r="X26">
        <f t="shared" si="10"/>
        <v>0.53900000000000003</v>
      </c>
      <c r="Y26">
        <v>103.68275319999999</v>
      </c>
      <c r="Z26">
        <v>0</v>
      </c>
      <c r="AA26">
        <v>454184</v>
      </c>
      <c r="AB26">
        <v>170596</v>
      </c>
      <c r="AC26">
        <v>6.5715274000000004E-2</v>
      </c>
      <c r="AD26">
        <v>0.72549415100000003</v>
      </c>
      <c r="AF26">
        <v>10.572682929999999</v>
      </c>
      <c r="AG26">
        <v>0.106</v>
      </c>
      <c r="AH26">
        <v>3.1E-2</v>
      </c>
      <c r="AI26">
        <v>0.63800000000000001</v>
      </c>
      <c r="AJ26">
        <v>1.799583333</v>
      </c>
      <c r="AK26">
        <v>6.0372083329999997</v>
      </c>
      <c r="AL26">
        <v>8.5999999999999993E-2</v>
      </c>
      <c r="AM26">
        <v>0.27600000000000002</v>
      </c>
      <c r="AN26">
        <v>0.53900000000000003</v>
      </c>
    </row>
    <row r="27" spans="1:40">
      <c r="A27">
        <v>2095</v>
      </c>
      <c r="B27" t="s">
        <v>689</v>
      </c>
      <c r="C27" t="s">
        <v>687</v>
      </c>
      <c r="D27" t="s">
        <v>688</v>
      </c>
      <c r="E27">
        <v>2471</v>
      </c>
      <c r="F27">
        <v>3905</v>
      </c>
      <c r="G27">
        <v>28.346251880000001</v>
      </c>
      <c r="H27">
        <v>1978</v>
      </c>
      <c r="I27">
        <v>4.4309134E-2</v>
      </c>
      <c r="J27">
        <v>5883</v>
      </c>
      <c r="K27">
        <v>132771.72150000001</v>
      </c>
      <c r="L27">
        <v>0.57099999999999995</v>
      </c>
      <c r="M27">
        <v>0.44459429099999997</v>
      </c>
      <c r="N27">
        <v>1</v>
      </c>
      <c r="O27" t="s">
        <v>606</v>
      </c>
      <c r="P27">
        <f t="shared" si="2"/>
        <v>11.259851490000001</v>
      </c>
      <c r="Q27">
        <f t="shared" si="3"/>
        <v>0.126</v>
      </c>
      <c r="R27">
        <f t="shared" si="4"/>
        <v>3.7999999999999999E-2</v>
      </c>
      <c r="S27">
        <f t="shared" si="5"/>
        <v>0.57099999999999995</v>
      </c>
      <c r="T27">
        <f t="shared" si="6"/>
        <v>1.9067961170000001</v>
      </c>
      <c r="U27">
        <f t="shared" si="7"/>
        <v>6.9611074049999999</v>
      </c>
      <c r="V27">
        <f t="shared" si="8"/>
        <v>7.6999999999999999E-2</v>
      </c>
      <c r="W27">
        <f t="shared" si="9"/>
        <v>0.23899999999999999</v>
      </c>
      <c r="X27">
        <f t="shared" si="10"/>
        <v>0.52700000000000002</v>
      </c>
      <c r="Y27">
        <v>64.937256250000004</v>
      </c>
      <c r="Z27">
        <v>0</v>
      </c>
      <c r="AA27">
        <v>454184</v>
      </c>
      <c r="AB27">
        <v>170596</v>
      </c>
      <c r="AC27">
        <v>6.5715274000000004E-2</v>
      </c>
      <c r="AD27">
        <v>0.72549415100000003</v>
      </c>
      <c r="AF27">
        <v>11.259851490000001</v>
      </c>
      <c r="AG27">
        <v>0.126</v>
      </c>
      <c r="AH27">
        <v>3.7999999999999999E-2</v>
      </c>
      <c r="AI27">
        <v>0.57099999999999995</v>
      </c>
      <c r="AJ27">
        <v>1.9067961170000001</v>
      </c>
      <c r="AK27">
        <v>6.9611074049999999</v>
      </c>
      <c r="AL27">
        <v>7.6999999999999999E-2</v>
      </c>
      <c r="AM27">
        <v>0.23899999999999999</v>
      </c>
      <c r="AN27">
        <v>0.52700000000000002</v>
      </c>
    </row>
    <row r="28" spans="1:40">
      <c r="A28">
        <v>2096</v>
      </c>
      <c r="B28" t="s">
        <v>689</v>
      </c>
      <c r="C28" t="s">
        <v>687</v>
      </c>
      <c r="D28" t="s">
        <v>688</v>
      </c>
      <c r="E28">
        <v>307</v>
      </c>
      <c r="F28">
        <v>819</v>
      </c>
      <c r="G28">
        <v>25.15983451</v>
      </c>
      <c r="H28">
        <v>288</v>
      </c>
      <c r="I28">
        <v>3.9328495999999998E-2</v>
      </c>
      <c r="J28">
        <v>1107</v>
      </c>
      <c r="K28">
        <v>28147.529470000001</v>
      </c>
      <c r="L28">
        <v>0.67200000000000004</v>
      </c>
      <c r="M28">
        <v>0.48403361299999997</v>
      </c>
      <c r="N28">
        <v>1</v>
      </c>
      <c r="O28" t="s">
        <v>613</v>
      </c>
      <c r="P28">
        <f t="shared" si="2"/>
        <v>11.426164379999999</v>
      </c>
      <c r="Q28">
        <f t="shared" si="3"/>
        <v>7.8E-2</v>
      </c>
      <c r="R28">
        <f t="shared" si="4"/>
        <v>2.1000000000000001E-2</v>
      </c>
      <c r="S28">
        <f t="shared" si="5"/>
        <v>0.67200000000000004</v>
      </c>
      <c r="T28">
        <f t="shared" si="6"/>
        <v>1.605</v>
      </c>
      <c r="U28">
        <f t="shared" si="7"/>
        <v>7.1573462780000003</v>
      </c>
      <c r="V28">
        <f t="shared" si="8"/>
        <v>5.8000000000000003E-2</v>
      </c>
      <c r="W28">
        <f t="shared" si="9"/>
        <v>0.192</v>
      </c>
      <c r="X28">
        <f t="shared" si="10"/>
        <v>0.70199999999999996</v>
      </c>
      <c r="Y28">
        <v>76.427105389999994</v>
      </c>
      <c r="Z28">
        <v>0</v>
      </c>
      <c r="AA28">
        <v>454184</v>
      </c>
      <c r="AB28">
        <v>170596</v>
      </c>
      <c r="AC28">
        <v>6.5715274000000004E-2</v>
      </c>
      <c r="AD28">
        <v>0.72549415100000003</v>
      </c>
      <c r="AF28">
        <v>11.426164379999999</v>
      </c>
      <c r="AG28">
        <v>7.8E-2</v>
      </c>
      <c r="AH28">
        <v>2.1000000000000001E-2</v>
      </c>
      <c r="AI28">
        <v>0.67200000000000004</v>
      </c>
      <c r="AJ28">
        <v>1.605</v>
      </c>
      <c r="AK28">
        <v>7.1573462780000003</v>
      </c>
      <c r="AL28">
        <v>5.8000000000000003E-2</v>
      </c>
      <c r="AM28">
        <v>0.192</v>
      </c>
      <c r="AN28">
        <v>0.70199999999999996</v>
      </c>
    </row>
    <row r="29" spans="1:40">
      <c r="A29">
        <v>2097</v>
      </c>
      <c r="B29" t="s">
        <v>689</v>
      </c>
      <c r="C29" t="s">
        <v>687</v>
      </c>
      <c r="D29" t="s">
        <v>688</v>
      </c>
      <c r="E29">
        <v>559</v>
      </c>
      <c r="F29">
        <v>1396</v>
      </c>
      <c r="G29">
        <v>168.0156867</v>
      </c>
      <c r="H29">
        <v>169</v>
      </c>
      <c r="I29">
        <v>0.26263575700000003</v>
      </c>
      <c r="J29">
        <v>1565</v>
      </c>
      <c r="K29">
        <v>5958.8230400000002</v>
      </c>
      <c r="L29">
        <v>0.80200000000000005</v>
      </c>
      <c r="M29">
        <v>0.23214285700000001</v>
      </c>
      <c r="N29">
        <v>0</v>
      </c>
      <c r="O29" t="s">
        <v>620</v>
      </c>
      <c r="P29">
        <f t="shared" si="2"/>
        <v>13.47381944</v>
      </c>
      <c r="Q29">
        <f t="shared" si="3"/>
        <v>0.05</v>
      </c>
      <c r="R29">
        <f t="shared" si="4"/>
        <v>1.4999999999999999E-2</v>
      </c>
      <c r="S29">
        <f t="shared" si="5"/>
        <v>0.80200000000000005</v>
      </c>
      <c r="T29">
        <f t="shared" si="6"/>
        <v>4.3033333330000003</v>
      </c>
      <c r="U29">
        <f t="shared" si="7"/>
        <v>8.9092904290000003</v>
      </c>
      <c r="V29">
        <f t="shared" si="8"/>
        <v>2.1999999999999999E-2</v>
      </c>
      <c r="W29">
        <f t="shared" si="9"/>
        <v>0.17399999999999999</v>
      </c>
      <c r="X29">
        <f t="shared" si="10"/>
        <v>0.78300000000000003</v>
      </c>
      <c r="Y29">
        <v>63.710419469999998</v>
      </c>
      <c r="Z29">
        <v>0</v>
      </c>
      <c r="AA29">
        <v>454184</v>
      </c>
      <c r="AB29">
        <v>170596</v>
      </c>
      <c r="AC29">
        <v>6.5715274000000004E-2</v>
      </c>
      <c r="AD29">
        <v>0.72549415100000003</v>
      </c>
      <c r="AF29">
        <v>13.47381944</v>
      </c>
      <c r="AG29">
        <v>0.05</v>
      </c>
      <c r="AH29">
        <v>1.4999999999999999E-2</v>
      </c>
      <c r="AI29">
        <v>0.80200000000000005</v>
      </c>
      <c r="AJ29">
        <v>4.3033333330000003</v>
      </c>
      <c r="AK29">
        <v>8.9092904290000003</v>
      </c>
      <c r="AL29">
        <v>2.1999999999999999E-2</v>
      </c>
      <c r="AM29">
        <v>0.17399999999999999</v>
      </c>
      <c r="AN29">
        <v>0.78300000000000003</v>
      </c>
    </row>
    <row r="30" spans="1:40">
      <c r="A30">
        <v>2098</v>
      </c>
      <c r="B30" t="s">
        <v>691</v>
      </c>
      <c r="C30" t="s">
        <v>684</v>
      </c>
      <c r="D30" t="s">
        <v>685</v>
      </c>
      <c r="E30">
        <v>1017</v>
      </c>
      <c r="F30">
        <v>3453</v>
      </c>
      <c r="G30">
        <v>115.0208849</v>
      </c>
      <c r="H30">
        <v>9</v>
      </c>
      <c r="I30">
        <v>0.179785585</v>
      </c>
      <c r="J30">
        <v>3462</v>
      </c>
      <c r="K30">
        <v>19256.2713</v>
      </c>
      <c r="L30">
        <v>0.86199999999999999</v>
      </c>
      <c r="M30">
        <v>8.7719300000000007E-3</v>
      </c>
      <c r="N30">
        <v>0</v>
      </c>
      <c r="O30" t="s">
        <v>620</v>
      </c>
      <c r="P30">
        <f t="shared" si="2"/>
        <v>11.597983190000001</v>
      </c>
      <c r="Q30">
        <f t="shared" si="3"/>
        <v>2.7E-2</v>
      </c>
      <c r="R30">
        <f t="shared" si="4"/>
        <v>1.2E-2</v>
      </c>
      <c r="S30">
        <f t="shared" si="5"/>
        <v>0.86199999999999999</v>
      </c>
      <c r="T30">
        <f t="shared" si="6"/>
        <v>1.9550000000000001</v>
      </c>
      <c r="U30">
        <f t="shared" si="7"/>
        <v>6.8065217389999999</v>
      </c>
      <c r="V30">
        <f t="shared" si="8"/>
        <v>3.5000000000000003E-2</v>
      </c>
      <c r="W30">
        <f t="shared" si="9"/>
        <v>0.10100000000000001</v>
      </c>
      <c r="X30">
        <f t="shared" si="10"/>
        <v>0.82599999999999996</v>
      </c>
      <c r="Y30">
        <v>137.8958418</v>
      </c>
      <c r="Z30">
        <v>0</v>
      </c>
      <c r="AA30">
        <v>236250</v>
      </c>
      <c r="AB30">
        <v>76158</v>
      </c>
      <c r="AC30">
        <v>1.7652984E-2</v>
      </c>
      <c r="AD30">
        <v>0.84750225300000004</v>
      </c>
      <c r="AF30">
        <v>11.597983190000001</v>
      </c>
      <c r="AG30">
        <v>2.7E-2</v>
      </c>
      <c r="AH30">
        <v>1.2E-2</v>
      </c>
      <c r="AI30">
        <v>0.86199999999999999</v>
      </c>
      <c r="AJ30">
        <v>1.9550000000000001</v>
      </c>
      <c r="AK30">
        <v>6.8065217389999999</v>
      </c>
      <c r="AL30">
        <v>3.5000000000000003E-2</v>
      </c>
      <c r="AM30">
        <v>0.10100000000000001</v>
      </c>
      <c r="AN30">
        <v>0.82599999999999996</v>
      </c>
    </row>
    <row r="31" spans="1:40">
      <c r="A31">
        <v>2099</v>
      </c>
      <c r="B31" t="s">
        <v>692</v>
      </c>
      <c r="C31" t="s">
        <v>693</v>
      </c>
      <c r="D31" t="s">
        <v>694</v>
      </c>
      <c r="E31">
        <v>345</v>
      </c>
      <c r="F31">
        <v>1072</v>
      </c>
      <c r="G31">
        <v>145.90109219999999</v>
      </c>
      <c r="H31">
        <v>238</v>
      </c>
      <c r="I31">
        <v>0.22805745099999999</v>
      </c>
      <c r="J31">
        <v>1310</v>
      </c>
      <c r="K31">
        <v>5744.1666310000001</v>
      </c>
      <c r="L31">
        <v>0.84499999999999997</v>
      </c>
      <c r="M31">
        <v>0.40823327599999998</v>
      </c>
      <c r="N31">
        <v>0</v>
      </c>
      <c r="O31" t="s">
        <v>620</v>
      </c>
      <c r="P31">
        <f t="shared" si="2"/>
        <v>17.483283579999998</v>
      </c>
      <c r="Q31">
        <f t="shared" si="3"/>
        <v>0.01</v>
      </c>
      <c r="R31">
        <f t="shared" si="4"/>
        <v>4.2000000000000003E-2</v>
      </c>
      <c r="S31">
        <f t="shared" si="5"/>
        <v>0.84499999999999997</v>
      </c>
      <c r="T31">
        <f t="shared" si="6"/>
        <v>1.8358823529999999</v>
      </c>
      <c r="U31">
        <f t="shared" si="7"/>
        <v>9.6060761350000003</v>
      </c>
      <c r="V31">
        <f t="shared" si="8"/>
        <v>5.5E-2</v>
      </c>
      <c r="W31">
        <f t="shared" si="9"/>
        <v>1.4E-2</v>
      </c>
      <c r="X31">
        <f t="shared" si="10"/>
        <v>0.91800000000000004</v>
      </c>
      <c r="Y31">
        <v>98.152300640000007</v>
      </c>
      <c r="Z31">
        <v>0</v>
      </c>
      <c r="AA31">
        <v>77808</v>
      </c>
      <c r="AB31">
        <v>27489</v>
      </c>
      <c r="AC31">
        <v>1.1225541E-2</v>
      </c>
      <c r="AD31">
        <v>0.835708267</v>
      </c>
      <c r="AF31">
        <v>17.483283579999998</v>
      </c>
      <c r="AG31">
        <v>0.01</v>
      </c>
      <c r="AH31">
        <v>4.2000000000000003E-2</v>
      </c>
      <c r="AI31">
        <v>0.84499999999999997</v>
      </c>
      <c r="AJ31">
        <v>1.8358823529999999</v>
      </c>
      <c r="AK31">
        <v>9.6060761350000003</v>
      </c>
      <c r="AL31">
        <v>5.5E-2</v>
      </c>
      <c r="AM31">
        <v>1.4E-2</v>
      </c>
      <c r="AN31">
        <v>0.91800000000000004</v>
      </c>
    </row>
    <row r="32" spans="1:40">
      <c r="A32">
        <v>2100</v>
      </c>
      <c r="B32" t="s">
        <v>695</v>
      </c>
      <c r="C32" t="s">
        <v>696</v>
      </c>
      <c r="D32" t="s">
        <v>697</v>
      </c>
      <c r="E32">
        <v>365</v>
      </c>
      <c r="F32">
        <v>1039</v>
      </c>
      <c r="G32">
        <v>82.845042640000003</v>
      </c>
      <c r="H32">
        <v>45</v>
      </c>
      <c r="I32">
        <v>0.129497371</v>
      </c>
      <c r="J32">
        <v>1084</v>
      </c>
      <c r="K32">
        <v>8370.8263079999997</v>
      </c>
      <c r="L32">
        <v>0.79600000000000004</v>
      </c>
      <c r="M32">
        <v>0.109756098</v>
      </c>
      <c r="N32">
        <v>0</v>
      </c>
      <c r="O32" t="s">
        <v>625</v>
      </c>
      <c r="P32">
        <f t="shared" si="2"/>
        <v>14.347799999999999</v>
      </c>
      <c r="Q32">
        <f t="shared" si="3"/>
        <v>2.8000000000000001E-2</v>
      </c>
      <c r="R32">
        <f t="shared" si="4"/>
        <v>4.2000000000000003E-2</v>
      </c>
      <c r="S32">
        <f t="shared" si="5"/>
        <v>0.79600000000000004</v>
      </c>
      <c r="T32">
        <f t="shared" si="6"/>
        <v>2.4921875</v>
      </c>
      <c r="U32">
        <f t="shared" si="7"/>
        <v>8.6207068969999998</v>
      </c>
      <c r="V32">
        <f t="shared" si="8"/>
        <v>5.6000000000000001E-2</v>
      </c>
      <c r="W32">
        <f t="shared" si="9"/>
        <v>0.09</v>
      </c>
      <c r="X32">
        <f t="shared" si="10"/>
        <v>0.84299999999999997</v>
      </c>
      <c r="Y32">
        <v>107.85426339999999</v>
      </c>
      <c r="Z32">
        <v>0</v>
      </c>
      <c r="AA32">
        <v>62139</v>
      </c>
      <c r="AB32">
        <v>22178</v>
      </c>
      <c r="AC32">
        <v>2.5956119999999999E-2</v>
      </c>
      <c r="AD32">
        <v>0.81129361</v>
      </c>
      <c r="AF32">
        <v>14.347799999999999</v>
      </c>
      <c r="AG32">
        <v>2.8000000000000001E-2</v>
      </c>
      <c r="AH32">
        <v>4.2000000000000003E-2</v>
      </c>
      <c r="AI32">
        <v>0.79600000000000004</v>
      </c>
      <c r="AJ32">
        <v>2.4921875</v>
      </c>
      <c r="AK32">
        <v>8.6207068969999998</v>
      </c>
      <c r="AL32">
        <v>5.6000000000000001E-2</v>
      </c>
      <c r="AM32">
        <v>0.09</v>
      </c>
      <c r="AN32">
        <v>0.84299999999999997</v>
      </c>
    </row>
    <row r="33" spans="1:40">
      <c r="A33">
        <v>2101</v>
      </c>
      <c r="B33" t="s">
        <v>695</v>
      </c>
      <c r="C33" t="s">
        <v>696</v>
      </c>
      <c r="D33" t="s">
        <v>697</v>
      </c>
      <c r="E33">
        <v>419</v>
      </c>
      <c r="F33">
        <v>1229</v>
      </c>
      <c r="G33">
        <v>63.398745560000002</v>
      </c>
      <c r="H33">
        <v>1324</v>
      </c>
      <c r="I33">
        <v>9.9100170000000001E-2</v>
      </c>
      <c r="J33">
        <v>2553</v>
      </c>
      <c r="K33">
        <v>25761.812519999999</v>
      </c>
      <c r="L33">
        <v>0.80600000000000005</v>
      </c>
      <c r="M33">
        <v>0.75960986799999997</v>
      </c>
      <c r="N33">
        <v>0</v>
      </c>
      <c r="O33" t="s">
        <v>613</v>
      </c>
      <c r="P33">
        <f t="shared" si="2"/>
        <v>12.237462239999999</v>
      </c>
      <c r="Q33">
        <f t="shared" si="3"/>
        <v>7.0000000000000001E-3</v>
      </c>
      <c r="R33">
        <f t="shared" si="4"/>
        <v>1.4999999999999999E-2</v>
      </c>
      <c r="S33">
        <f t="shared" si="5"/>
        <v>0.80600000000000005</v>
      </c>
      <c r="T33">
        <f t="shared" si="6"/>
        <v>2.0143589739999999</v>
      </c>
      <c r="U33">
        <f t="shared" si="7"/>
        <v>7.1874461690000002</v>
      </c>
      <c r="V33">
        <f t="shared" si="8"/>
        <v>2.1999999999999999E-2</v>
      </c>
      <c r="W33">
        <f t="shared" si="9"/>
        <v>2.4E-2</v>
      </c>
      <c r="X33">
        <f t="shared" si="10"/>
        <v>0.89900000000000002</v>
      </c>
      <c r="Y33">
        <v>63.996281969999998</v>
      </c>
      <c r="Z33">
        <v>0</v>
      </c>
      <c r="AA33">
        <v>62139</v>
      </c>
      <c r="AB33">
        <v>22178</v>
      </c>
      <c r="AC33">
        <v>2.5956119999999999E-2</v>
      </c>
      <c r="AD33">
        <v>0.81129361</v>
      </c>
      <c r="AF33">
        <v>12.237462239999999</v>
      </c>
      <c r="AG33">
        <v>7.0000000000000001E-3</v>
      </c>
      <c r="AH33">
        <v>1.4999999999999999E-2</v>
      </c>
      <c r="AI33">
        <v>0.80600000000000005</v>
      </c>
      <c r="AJ33">
        <v>2.0143589739999999</v>
      </c>
      <c r="AK33">
        <v>7.1874461690000002</v>
      </c>
      <c r="AL33">
        <v>2.1999999999999999E-2</v>
      </c>
      <c r="AM33">
        <v>2.4E-2</v>
      </c>
      <c r="AN33">
        <v>0.89900000000000002</v>
      </c>
    </row>
    <row r="34" spans="1:40">
      <c r="A34">
        <v>2102</v>
      </c>
      <c r="B34" t="s">
        <v>695</v>
      </c>
      <c r="C34" t="s">
        <v>696</v>
      </c>
      <c r="D34" t="s">
        <v>697</v>
      </c>
      <c r="E34">
        <v>423</v>
      </c>
      <c r="F34">
        <v>1226</v>
      </c>
      <c r="G34">
        <v>171.8196705</v>
      </c>
      <c r="H34">
        <v>0</v>
      </c>
      <c r="I34">
        <v>0.26857866899999999</v>
      </c>
      <c r="J34">
        <v>1226</v>
      </c>
      <c r="K34">
        <v>4564.7705550000001</v>
      </c>
      <c r="L34">
        <v>0.83</v>
      </c>
      <c r="M34">
        <v>0</v>
      </c>
      <c r="N34">
        <v>0</v>
      </c>
      <c r="O34" t="s">
        <v>625</v>
      </c>
      <c r="P34">
        <f t="shared" si="2"/>
        <v>14.137302630000001</v>
      </c>
      <c r="Q34">
        <f t="shared" si="3"/>
        <v>2.5999999999999999E-2</v>
      </c>
      <c r="R34">
        <f t="shared" si="4"/>
        <v>1.7000000000000001E-2</v>
      </c>
      <c r="S34">
        <f t="shared" si="5"/>
        <v>0.83</v>
      </c>
      <c r="T34">
        <f t="shared" si="6"/>
        <v>1.4158333329999999</v>
      </c>
      <c r="U34">
        <f t="shared" si="7"/>
        <v>9.2110193319999993</v>
      </c>
      <c r="V34">
        <f t="shared" si="8"/>
        <v>4.15609756097561E-2</v>
      </c>
      <c r="W34">
        <f t="shared" si="9"/>
        <v>9.5000000000000001E-2</v>
      </c>
      <c r="X34">
        <f t="shared" si="10"/>
        <v>0.90500000000000003</v>
      </c>
      <c r="Y34">
        <v>73.504062880000006</v>
      </c>
      <c r="Z34">
        <v>0</v>
      </c>
      <c r="AA34">
        <v>62139</v>
      </c>
      <c r="AB34">
        <v>22178</v>
      </c>
      <c r="AC34">
        <v>2.5956119999999999E-2</v>
      </c>
      <c r="AD34">
        <v>0.81129361</v>
      </c>
      <c r="AF34">
        <v>14.137302630000001</v>
      </c>
      <c r="AG34">
        <v>2.5999999999999999E-2</v>
      </c>
      <c r="AH34">
        <v>1.7000000000000001E-2</v>
      </c>
      <c r="AI34">
        <v>0.83</v>
      </c>
      <c r="AJ34">
        <v>1.4158333329999999</v>
      </c>
      <c r="AK34">
        <v>9.2110193319999993</v>
      </c>
      <c r="AL34">
        <v>0</v>
      </c>
      <c r="AM34">
        <v>9.5000000000000001E-2</v>
      </c>
      <c r="AN34">
        <v>0.90500000000000003</v>
      </c>
    </row>
    <row r="35" spans="1:40">
      <c r="A35">
        <v>2103</v>
      </c>
      <c r="B35" t="s">
        <v>692</v>
      </c>
      <c r="C35" t="s">
        <v>693</v>
      </c>
      <c r="D35" t="s">
        <v>694</v>
      </c>
      <c r="E35">
        <v>877</v>
      </c>
      <c r="F35">
        <v>2339</v>
      </c>
      <c r="G35">
        <v>151.71936930000001</v>
      </c>
      <c r="H35">
        <v>148</v>
      </c>
      <c r="I35">
        <v>0.23715114300000001</v>
      </c>
      <c r="J35">
        <v>2487</v>
      </c>
      <c r="K35">
        <v>10486.982980000001</v>
      </c>
      <c r="L35">
        <v>0.746</v>
      </c>
      <c r="M35">
        <v>0.144390244</v>
      </c>
      <c r="N35">
        <v>0</v>
      </c>
      <c r="O35" t="s">
        <v>620</v>
      </c>
      <c r="P35">
        <f t="shared" si="2"/>
        <v>15.406770829999999</v>
      </c>
      <c r="Q35">
        <f t="shared" si="3"/>
        <v>1.4999999999999999E-2</v>
      </c>
      <c r="R35">
        <f t="shared" si="4"/>
        <v>1.2E-2</v>
      </c>
      <c r="S35">
        <f t="shared" si="5"/>
        <v>0.746</v>
      </c>
      <c r="T35">
        <f t="shared" si="6"/>
        <v>2.2709999999999999</v>
      </c>
      <c r="U35">
        <f t="shared" si="7"/>
        <v>7.5444335779999996</v>
      </c>
      <c r="V35">
        <f t="shared" si="8"/>
        <v>3.5999999999999997E-2</v>
      </c>
      <c r="W35">
        <f t="shared" si="9"/>
        <v>8.8999999999999996E-2</v>
      </c>
      <c r="X35">
        <f t="shared" si="10"/>
        <v>0.85699999999999998</v>
      </c>
      <c r="Y35">
        <v>169.28889849999999</v>
      </c>
      <c r="Z35">
        <v>0</v>
      </c>
      <c r="AA35">
        <v>77808</v>
      </c>
      <c r="AB35">
        <v>27489</v>
      </c>
      <c r="AC35">
        <v>1.1225541E-2</v>
      </c>
      <c r="AD35">
        <v>0.835708267</v>
      </c>
      <c r="AF35">
        <v>15.406770829999999</v>
      </c>
      <c r="AG35">
        <v>1.4999999999999999E-2</v>
      </c>
      <c r="AH35">
        <v>1.2E-2</v>
      </c>
      <c r="AI35">
        <v>0.746</v>
      </c>
      <c r="AJ35">
        <v>2.2709999999999999</v>
      </c>
      <c r="AK35">
        <v>7.5444335779999996</v>
      </c>
      <c r="AL35">
        <v>3.5999999999999997E-2</v>
      </c>
      <c r="AM35">
        <v>8.8999999999999996E-2</v>
      </c>
      <c r="AN35">
        <v>0.85699999999999998</v>
      </c>
    </row>
    <row r="36" spans="1:40">
      <c r="A36">
        <v>2104</v>
      </c>
      <c r="B36" t="s">
        <v>692</v>
      </c>
      <c r="C36" t="s">
        <v>693</v>
      </c>
      <c r="D36" t="s">
        <v>694</v>
      </c>
      <c r="E36">
        <v>279</v>
      </c>
      <c r="F36">
        <v>884</v>
      </c>
      <c r="G36">
        <v>76.145051620000004</v>
      </c>
      <c r="H36">
        <v>49</v>
      </c>
      <c r="I36">
        <v>0.11902437</v>
      </c>
      <c r="J36">
        <v>933</v>
      </c>
      <c r="K36">
        <v>7838.7308409999996</v>
      </c>
      <c r="L36">
        <v>0.89300000000000002</v>
      </c>
      <c r="M36">
        <v>0.14939024400000001</v>
      </c>
      <c r="N36">
        <v>0</v>
      </c>
      <c r="O36" t="s">
        <v>620</v>
      </c>
      <c r="P36">
        <f t="shared" si="2"/>
        <v>16.482769229999999</v>
      </c>
      <c r="Q36">
        <f t="shared" si="3"/>
        <v>0.02</v>
      </c>
      <c r="R36">
        <f t="shared" si="4"/>
        <v>0.01</v>
      </c>
      <c r="S36">
        <f t="shared" si="5"/>
        <v>0.89300000000000002</v>
      </c>
      <c r="T36">
        <f t="shared" si="6"/>
        <v>1.93</v>
      </c>
      <c r="U36">
        <f t="shared" si="7"/>
        <v>7.1865937500000001</v>
      </c>
      <c r="V36">
        <f t="shared" si="8"/>
        <v>4.1084210526315765E-2</v>
      </c>
      <c r="W36">
        <f t="shared" si="9"/>
        <v>7.0999999999999994E-2</v>
      </c>
      <c r="X36">
        <f t="shared" si="10"/>
        <v>0.92900000000000005</v>
      </c>
      <c r="Y36">
        <v>231.36690350000001</v>
      </c>
      <c r="Z36">
        <v>0</v>
      </c>
      <c r="AA36">
        <v>77808</v>
      </c>
      <c r="AB36">
        <v>27489</v>
      </c>
      <c r="AC36">
        <v>1.1225541E-2</v>
      </c>
      <c r="AD36">
        <v>0.835708267</v>
      </c>
      <c r="AF36">
        <v>16.482769229999999</v>
      </c>
      <c r="AG36">
        <v>0.02</v>
      </c>
      <c r="AH36">
        <v>0.01</v>
      </c>
      <c r="AI36">
        <v>0.89300000000000002</v>
      </c>
      <c r="AJ36">
        <v>1.93</v>
      </c>
      <c r="AK36">
        <v>7.1865937500000001</v>
      </c>
      <c r="AL36">
        <v>0</v>
      </c>
      <c r="AM36">
        <v>7.0999999999999994E-2</v>
      </c>
      <c r="AN36">
        <v>0.92900000000000005</v>
      </c>
    </row>
    <row r="37" spans="1:40">
      <c r="A37">
        <v>2105</v>
      </c>
      <c r="B37" t="s">
        <v>698</v>
      </c>
      <c r="C37" t="s">
        <v>693</v>
      </c>
      <c r="D37" t="s">
        <v>694</v>
      </c>
      <c r="E37">
        <v>360</v>
      </c>
      <c r="F37">
        <v>1112</v>
      </c>
      <c r="G37">
        <v>123.7074411</v>
      </c>
      <c r="H37">
        <v>0</v>
      </c>
      <c r="I37">
        <v>0.19337125199999999</v>
      </c>
      <c r="J37">
        <v>1112</v>
      </c>
      <c r="K37">
        <v>5750.5962680000002</v>
      </c>
      <c r="L37">
        <v>0.78900000000000003</v>
      </c>
      <c r="M37">
        <v>0</v>
      </c>
      <c r="N37">
        <v>0</v>
      </c>
      <c r="O37" t="s">
        <v>620</v>
      </c>
      <c r="P37">
        <f t="shared" si="2"/>
        <v>15.218859650000001</v>
      </c>
      <c r="Q37">
        <f t="shared" si="3"/>
        <v>1.0999999999999999E-2</v>
      </c>
      <c r="R37">
        <f t="shared" si="4"/>
        <v>3.4000000000000002E-2</v>
      </c>
      <c r="S37">
        <f t="shared" si="5"/>
        <v>0.78900000000000003</v>
      </c>
      <c r="T37">
        <f t="shared" si="6"/>
        <v>1.733333333</v>
      </c>
      <c r="U37">
        <f t="shared" si="7"/>
        <v>7.066524823</v>
      </c>
      <c r="V37">
        <f t="shared" si="8"/>
        <v>5.3999999999999999E-2</v>
      </c>
      <c r="W37">
        <f t="shared" si="9"/>
        <v>4.5999999999999999E-2</v>
      </c>
      <c r="X37">
        <f t="shared" si="10"/>
        <v>0.877</v>
      </c>
      <c r="Y37">
        <v>99.909646859999995</v>
      </c>
      <c r="Z37">
        <v>0</v>
      </c>
      <c r="AA37">
        <v>88250</v>
      </c>
      <c r="AB37">
        <v>31723</v>
      </c>
      <c r="AC37">
        <v>1.0795895999999999E-2</v>
      </c>
      <c r="AD37">
        <v>0.817760245</v>
      </c>
      <c r="AF37">
        <v>15.218859650000001</v>
      </c>
      <c r="AG37">
        <v>1.0999999999999999E-2</v>
      </c>
      <c r="AH37">
        <v>3.4000000000000002E-2</v>
      </c>
      <c r="AI37">
        <v>0.78900000000000003</v>
      </c>
      <c r="AJ37">
        <v>1.733333333</v>
      </c>
      <c r="AK37">
        <v>7.066524823</v>
      </c>
      <c r="AL37">
        <v>5.3999999999999999E-2</v>
      </c>
      <c r="AM37">
        <v>4.5999999999999999E-2</v>
      </c>
      <c r="AN37">
        <v>0.877</v>
      </c>
    </row>
    <row r="38" spans="1:40">
      <c r="A38">
        <v>2106</v>
      </c>
      <c r="B38" t="s">
        <v>699</v>
      </c>
      <c r="C38" t="s">
        <v>687</v>
      </c>
      <c r="D38" t="s">
        <v>688</v>
      </c>
      <c r="E38">
        <v>708</v>
      </c>
      <c r="F38">
        <v>1687</v>
      </c>
      <c r="G38">
        <v>101.8901166</v>
      </c>
      <c r="H38">
        <v>207</v>
      </c>
      <c r="I38">
        <v>0.15926616299999999</v>
      </c>
      <c r="J38">
        <v>1894</v>
      </c>
      <c r="K38">
        <v>11892.04263</v>
      </c>
      <c r="L38">
        <v>0.71099999999999997</v>
      </c>
      <c r="M38">
        <v>0.226229508</v>
      </c>
      <c r="N38">
        <v>1</v>
      </c>
      <c r="O38" t="s">
        <v>613</v>
      </c>
      <c r="P38">
        <f t="shared" si="2"/>
        <v>11.518285710000001</v>
      </c>
      <c r="Q38">
        <f t="shared" si="3"/>
        <v>8.5000000000000006E-2</v>
      </c>
      <c r="R38">
        <f t="shared" si="4"/>
        <v>2.1000000000000001E-2</v>
      </c>
      <c r="S38">
        <f t="shared" si="5"/>
        <v>0.71099999999999997</v>
      </c>
      <c r="T38">
        <f t="shared" si="6"/>
        <v>1.7996153850000001</v>
      </c>
      <c r="U38">
        <f t="shared" si="7"/>
        <v>6.6744764099999996</v>
      </c>
      <c r="V38">
        <f t="shared" si="8"/>
        <v>5.1999999999999998E-2</v>
      </c>
      <c r="W38">
        <f t="shared" si="9"/>
        <v>0.254</v>
      </c>
      <c r="X38">
        <f t="shared" si="10"/>
        <v>0.65700000000000003</v>
      </c>
      <c r="Y38">
        <v>67.317648800000001</v>
      </c>
      <c r="Z38">
        <v>0</v>
      </c>
      <c r="AA38">
        <v>20912</v>
      </c>
      <c r="AB38">
        <v>7469</v>
      </c>
      <c r="AC38">
        <v>5.5261644999999998E-2</v>
      </c>
      <c r="AD38">
        <v>0.74284071299999999</v>
      </c>
      <c r="AF38">
        <v>11.518285710000001</v>
      </c>
      <c r="AG38">
        <v>8.5000000000000006E-2</v>
      </c>
      <c r="AH38">
        <v>2.1000000000000001E-2</v>
      </c>
      <c r="AI38">
        <v>0.71099999999999997</v>
      </c>
      <c r="AJ38">
        <v>1.7996153850000001</v>
      </c>
      <c r="AK38">
        <v>6.6744764099999996</v>
      </c>
      <c r="AL38">
        <v>5.1999999999999998E-2</v>
      </c>
      <c r="AM38">
        <v>0.254</v>
      </c>
      <c r="AN38">
        <v>0.65700000000000003</v>
      </c>
    </row>
    <row r="39" spans="1:40">
      <c r="A39">
        <v>2107</v>
      </c>
      <c r="B39" t="s">
        <v>700</v>
      </c>
      <c r="C39" t="s">
        <v>687</v>
      </c>
      <c r="D39" t="s">
        <v>688</v>
      </c>
      <c r="E39">
        <v>1200</v>
      </c>
      <c r="F39">
        <v>1207</v>
      </c>
      <c r="G39">
        <v>133.59309139999999</v>
      </c>
      <c r="H39">
        <v>3370</v>
      </c>
      <c r="I39">
        <v>0.20883233300000001</v>
      </c>
      <c r="J39">
        <v>4577</v>
      </c>
      <c r="K39">
        <v>21917.104189999998</v>
      </c>
      <c r="L39">
        <v>0.79200000000000004</v>
      </c>
      <c r="M39">
        <v>0.73741794299999996</v>
      </c>
      <c r="N39">
        <v>0</v>
      </c>
      <c r="O39" t="s">
        <v>613</v>
      </c>
      <c r="P39">
        <f t="shared" si="2"/>
        <v>14.915608860000001</v>
      </c>
      <c r="Q39">
        <f t="shared" si="3"/>
        <v>3.9E-2</v>
      </c>
      <c r="R39">
        <f t="shared" si="4"/>
        <v>2.4E-2</v>
      </c>
      <c r="S39">
        <f t="shared" si="5"/>
        <v>0.79200000000000004</v>
      </c>
      <c r="T39">
        <f t="shared" si="6"/>
        <v>2.8360215050000002</v>
      </c>
      <c r="U39">
        <f t="shared" si="7"/>
        <v>8.3577883980000003</v>
      </c>
      <c r="V39">
        <f t="shared" si="8"/>
        <v>4.2000000000000003E-2</v>
      </c>
      <c r="W39">
        <f t="shared" si="9"/>
        <v>9.0999999999999998E-2</v>
      </c>
      <c r="X39">
        <f t="shared" si="10"/>
        <v>0.83899999999999997</v>
      </c>
      <c r="Y39">
        <v>173.60983909999999</v>
      </c>
      <c r="Z39">
        <v>0</v>
      </c>
      <c r="AA39">
        <v>15503</v>
      </c>
      <c r="AB39">
        <v>7551</v>
      </c>
      <c r="AC39">
        <v>4.9459042000000002E-2</v>
      </c>
      <c r="AD39">
        <v>0.76960973700000002</v>
      </c>
      <c r="AF39">
        <v>14.915608860000001</v>
      </c>
      <c r="AG39">
        <v>3.9E-2</v>
      </c>
      <c r="AH39">
        <v>2.4E-2</v>
      </c>
      <c r="AI39">
        <v>0.79200000000000004</v>
      </c>
      <c r="AJ39">
        <v>2.8360215050000002</v>
      </c>
      <c r="AK39">
        <v>8.3577883980000003</v>
      </c>
      <c r="AL39">
        <v>4.2000000000000003E-2</v>
      </c>
      <c r="AM39">
        <v>9.0999999999999998E-2</v>
      </c>
      <c r="AN39">
        <v>0.83899999999999997</v>
      </c>
    </row>
    <row r="40" spans="1:40">
      <c r="A40">
        <v>2108</v>
      </c>
      <c r="B40" t="s">
        <v>700</v>
      </c>
      <c r="C40" t="s">
        <v>687</v>
      </c>
      <c r="D40" t="s">
        <v>688</v>
      </c>
      <c r="E40">
        <v>685</v>
      </c>
      <c r="F40">
        <v>685</v>
      </c>
      <c r="G40">
        <v>49.674446109999998</v>
      </c>
      <c r="H40">
        <v>1346</v>
      </c>
      <c r="I40">
        <v>7.7651158999999997E-2</v>
      </c>
      <c r="J40">
        <v>2031</v>
      </c>
      <c r="K40">
        <v>26155.437040000001</v>
      </c>
      <c r="L40">
        <v>0.76600000000000001</v>
      </c>
      <c r="M40">
        <v>0.66272772000000002</v>
      </c>
      <c r="N40">
        <v>0</v>
      </c>
      <c r="O40" t="s">
        <v>606</v>
      </c>
      <c r="P40">
        <f t="shared" si="2"/>
        <v>15.575771140000001</v>
      </c>
      <c r="Q40">
        <f t="shared" si="3"/>
        <v>5.6000000000000001E-2</v>
      </c>
      <c r="R40">
        <f t="shared" si="4"/>
        <v>0.02</v>
      </c>
      <c r="S40">
        <f t="shared" si="5"/>
        <v>0.76600000000000001</v>
      </c>
      <c r="T40">
        <f t="shared" si="6"/>
        <v>2.4757142860000001</v>
      </c>
      <c r="U40">
        <f t="shared" si="7"/>
        <v>8.2688792269999993</v>
      </c>
      <c r="V40">
        <f t="shared" si="8"/>
        <v>0.03</v>
      </c>
      <c r="W40">
        <f t="shared" si="9"/>
        <v>0.128</v>
      </c>
      <c r="X40">
        <f t="shared" si="10"/>
        <v>0.75800000000000001</v>
      </c>
      <c r="Y40">
        <v>60.385525440000002</v>
      </c>
      <c r="Z40">
        <v>0</v>
      </c>
      <c r="AA40">
        <v>15503</v>
      </c>
      <c r="AB40">
        <v>7551</v>
      </c>
      <c r="AC40">
        <v>4.9459042000000002E-2</v>
      </c>
      <c r="AD40">
        <v>0.76960973700000002</v>
      </c>
      <c r="AF40">
        <v>15.575771140000001</v>
      </c>
      <c r="AG40">
        <v>5.6000000000000001E-2</v>
      </c>
      <c r="AH40">
        <v>0.02</v>
      </c>
      <c r="AI40">
        <v>0.76600000000000001</v>
      </c>
      <c r="AJ40">
        <v>2.4757142860000001</v>
      </c>
      <c r="AK40">
        <v>8.2688792269999993</v>
      </c>
      <c r="AL40">
        <v>0.03</v>
      </c>
      <c r="AM40">
        <v>0.128</v>
      </c>
      <c r="AN40">
        <v>0.75800000000000001</v>
      </c>
    </row>
    <row r="41" spans="1:40">
      <c r="A41">
        <v>2109</v>
      </c>
      <c r="B41" t="s">
        <v>700</v>
      </c>
      <c r="C41" t="s">
        <v>687</v>
      </c>
      <c r="D41" t="s">
        <v>688</v>
      </c>
      <c r="E41">
        <v>907</v>
      </c>
      <c r="F41">
        <v>970</v>
      </c>
      <c r="G41">
        <v>58.34145273</v>
      </c>
      <c r="H41">
        <v>2020</v>
      </c>
      <c r="I41">
        <v>9.1194631999999998E-2</v>
      </c>
      <c r="J41">
        <v>2990</v>
      </c>
      <c r="K41">
        <v>32787.017549999997</v>
      </c>
      <c r="L41">
        <v>0.81</v>
      </c>
      <c r="M41">
        <v>0.690126409</v>
      </c>
      <c r="N41">
        <v>0</v>
      </c>
      <c r="O41" t="s">
        <v>606</v>
      </c>
      <c r="P41">
        <f t="shared" si="2"/>
        <v>13.417388539999999</v>
      </c>
      <c r="Q41">
        <f t="shared" si="3"/>
        <v>3.6999999999999998E-2</v>
      </c>
      <c r="R41">
        <f t="shared" si="4"/>
        <v>1.9E-2</v>
      </c>
      <c r="S41">
        <f t="shared" si="5"/>
        <v>0.81</v>
      </c>
      <c r="T41">
        <f t="shared" si="6"/>
        <v>2.7227999999999999</v>
      </c>
      <c r="U41">
        <f t="shared" si="7"/>
        <v>7.3002892370000003</v>
      </c>
      <c r="V41">
        <f t="shared" si="8"/>
        <v>7.2999999999999995E-2</v>
      </c>
      <c r="W41">
        <f t="shared" si="9"/>
        <v>7.0000000000000007E-2</v>
      </c>
      <c r="X41">
        <f t="shared" si="10"/>
        <v>0.84599999999999997</v>
      </c>
      <c r="Y41">
        <v>334.40976749999999</v>
      </c>
      <c r="Z41">
        <v>0</v>
      </c>
      <c r="AA41">
        <v>15503</v>
      </c>
      <c r="AB41">
        <v>7551</v>
      </c>
      <c r="AC41">
        <v>4.9459042000000002E-2</v>
      </c>
      <c r="AD41">
        <v>0.76960973700000002</v>
      </c>
      <c r="AF41">
        <v>13.417388539999999</v>
      </c>
      <c r="AG41">
        <v>3.6999999999999998E-2</v>
      </c>
      <c r="AH41">
        <v>1.9E-2</v>
      </c>
      <c r="AI41">
        <v>0.81</v>
      </c>
      <c r="AJ41">
        <v>2.7227999999999999</v>
      </c>
      <c r="AK41">
        <v>7.3002892370000003</v>
      </c>
      <c r="AL41">
        <v>7.2999999999999995E-2</v>
      </c>
      <c r="AM41">
        <v>7.0000000000000007E-2</v>
      </c>
      <c r="AN41">
        <v>0.84599999999999997</v>
      </c>
    </row>
    <row r="42" spans="1:40">
      <c r="A42">
        <v>2110</v>
      </c>
      <c r="B42" t="s">
        <v>699</v>
      </c>
      <c r="C42" t="s">
        <v>687</v>
      </c>
      <c r="D42" t="s">
        <v>688</v>
      </c>
      <c r="E42">
        <v>562</v>
      </c>
      <c r="F42">
        <v>1491</v>
      </c>
      <c r="G42">
        <v>57.910895770000003</v>
      </c>
      <c r="H42">
        <v>104</v>
      </c>
      <c r="I42">
        <v>9.0526916999999998E-2</v>
      </c>
      <c r="J42">
        <v>1595</v>
      </c>
      <c r="K42">
        <v>17619.069029999999</v>
      </c>
      <c r="L42">
        <v>0.72199999999999998</v>
      </c>
      <c r="M42">
        <v>0.15615615599999999</v>
      </c>
      <c r="N42">
        <v>0</v>
      </c>
      <c r="O42" t="s">
        <v>613</v>
      </c>
      <c r="P42">
        <f t="shared" si="2"/>
        <v>9.8486776860000003</v>
      </c>
      <c r="Q42">
        <f t="shared" si="3"/>
        <v>6.6000000000000003E-2</v>
      </c>
      <c r="R42">
        <f t="shared" si="4"/>
        <v>4.2999999999999997E-2</v>
      </c>
      <c r="S42">
        <f t="shared" si="5"/>
        <v>0.72199999999999998</v>
      </c>
      <c r="T42">
        <f t="shared" si="6"/>
        <v>2.8842500000000002</v>
      </c>
      <c r="U42">
        <f t="shared" si="7"/>
        <v>5.8710856270000003</v>
      </c>
      <c r="V42">
        <f t="shared" si="8"/>
        <v>0.109</v>
      </c>
      <c r="W42">
        <f t="shared" si="9"/>
        <v>0.21199999999999999</v>
      </c>
      <c r="X42">
        <f t="shared" si="10"/>
        <v>0.627</v>
      </c>
      <c r="Y42">
        <v>103.625697</v>
      </c>
      <c r="Z42">
        <v>0</v>
      </c>
      <c r="AA42">
        <v>20912</v>
      </c>
      <c r="AB42">
        <v>7469</v>
      </c>
      <c r="AC42">
        <v>5.5261644999999998E-2</v>
      </c>
      <c r="AD42">
        <v>0.74284071299999999</v>
      </c>
      <c r="AF42">
        <v>9.8486776860000003</v>
      </c>
      <c r="AG42">
        <v>6.6000000000000003E-2</v>
      </c>
      <c r="AH42">
        <v>4.2999999999999997E-2</v>
      </c>
      <c r="AI42">
        <v>0.72199999999999998</v>
      </c>
      <c r="AJ42">
        <v>2.8842500000000002</v>
      </c>
      <c r="AK42">
        <v>5.8710856270000003</v>
      </c>
      <c r="AL42">
        <v>0.109</v>
      </c>
      <c r="AM42">
        <v>0.21199999999999999</v>
      </c>
      <c r="AN42">
        <v>0.627</v>
      </c>
    </row>
    <row r="43" spans="1:40">
      <c r="A43">
        <v>2111</v>
      </c>
      <c r="B43" t="s">
        <v>686</v>
      </c>
      <c r="C43" t="s">
        <v>687</v>
      </c>
      <c r="D43" t="s">
        <v>688</v>
      </c>
      <c r="E43">
        <v>372</v>
      </c>
      <c r="F43">
        <v>901</v>
      </c>
      <c r="G43">
        <v>37.437361279999998</v>
      </c>
      <c r="H43">
        <v>157</v>
      </c>
      <c r="I43">
        <v>5.8519739000000001E-2</v>
      </c>
      <c r="J43">
        <v>1058</v>
      </c>
      <c r="K43">
        <v>18079.369770000001</v>
      </c>
      <c r="L43">
        <v>0.70799999999999996</v>
      </c>
      <c r="M43">
        <v>0.29678638899999998</v>
      </c>
      <c r="N43">
        <v>0</v>
      </c>
      <c r="O43" t="s">
        <v>613</v>
      </c>
      <c r="P43">
        <f t="shared" si="2"/>
        <v>11.33105263</v>
      </c>
      <c r="Q43">
        <f t="shared" si="3"/>
        <v>8.6999999999999994E-2</v>
      </c>
      <c r="R43">
        <f t="shared" si="4"/>
        <v>4.2999999999999997E-2</v>
      </c>
      <c r="S43">
        <f t="shared" si="5"/>
        <v>0.70799999999999996</v>
      </c>
      <c r="T43">
        <f t="shared" si="6"/>
        <v>2.2771875000000001</v>
      </c>
      <c r="U43">
        <f t="shared" si="7"/>
        <v>6.5450097090000003</v>
      </c>
      <c r="V43">
        <f t="shared" si="8"/>
        <v>0.10100000000000001</v>
      </c>
      <c r="W43">
        <f t="shared" si="9"/>
        <v>0.13700000000000001</v>
      </c>
      <c r="X43">
        <f t="shared" si="10"/>
        <v>0.68300000000000005</v>
      </c>
      <c r="Y43">
        <v>119.82192999999999</v>
      </c>
      <c r="Z43">
        <v>1</v>
      </c>
      <c r="AA43">
        <v>140316</v>
      </c>
      <c r="AB43">
        <v>49638</v>
      </c>
      <c r="AC43">
        <v>9.1283894000000004E-2</v>
      </c>
      <c r="AD43">
        <v>0.60339869999999995</v>
      </c>
      <c r="AF43">
        <v>11.33105263</v>
      </c>
      <c r="AG43">
        <v>8.6999999999999994E-2</v>
      </c>
      <c r="AH43">
        <v>4.2999999999999997E-2</v>
      </c>
      <c r="AI43">
        <v>0.70799999999999996</v>
      </c>
      <c r="AJ43">
        <v>2.2771875000000001</v>
      </c>
      <c r="AK43">
        <v>6.5450097090000003</v>
      </c>
      <c r="AL43">
        <v>0.10100000000000001</v>
      </c>
      <c r="AM43">
        <v>0.13700000000000001</v>
      </c>
      <c r="AN43">
        <v>0.68300000000000005</v>
      </c>
    </row>
    <row r="44" spans="1:40">
      <c r="A44">
        <v>2112</v>
      </c>
      <c r="B44" t="s">
        <v>686</v>
      </c>
      <c r="C44" t="s">
        <v>687</v>
      </c>
      <c r="D44" t="s">
        <v>688</v>
      </c>
      <c r="E44">
        <v>652</v>
      </c>
      <c r="F44">
        <v>1411</v>
      </c>
      <c r="G44">
        <v>60.109610330000002</v>
      </c>
      <c r="H44">
        <v>165</v>
      </c>
      <c r="I44">
        <v>9.3959910999999993E-2</v>
      </c>
      <c r="J44">
        <v>1576</v>
      </c>
      <c r="K44">
        <v>16773.110820000002</v>
      </c>
      <c r="L44">
        <v>0.61899999999999999</v>
      </c>
      <c r="M44">
        <v>0.20195838399999999</v>
      </c>
      <c r="N44">
        <v>0</v>
      </c>
      <c r="O44" t="s">
        <v>613</v>
      </c>
      <c r="P44">
        <f t="shared" si="2"/>
        <v>8.7272180450000008</v>
      </c>
      <c r="Q44">
        <f t="shared" si="3"/>
        <v>0.10199999999999999</v>
      </c>
      <c r="R44">
        <f t="shared" si="4"/>
        <v>4.5999999999999999E-2</v>
      </c>
      <c r="S44">
        <f t="shared" si="5"/>
        <v>0.61899999999999999</v>
      </c>
      <c r="T44">
        <f t="shared" si="6"/>
        <v>1.6592307690000001</v>
      </c>
      <c r="U44">
        <f t="shared" si="7"/>
        <v>5.6015841579999996</v>
      </c>
      <c r="V44">
        <f t="shared" si="8"/>
        <v>7.2999999999999995E-2</v>
      </c>
      <c r="W44">
        <f t="shared" si="9"/>
        <v>0.224</v>
      </c>
      <c r="X44">
        <f t="shared" si="10"/>
        <v>0.54300000000000004</v>
      </c>
      <c r="Y44">
        <v>187.8323881</v>
      </c>
      <c r="Z44">
        <v>1</v>
      </c>
      <c r="AA44">
        <v>140316</v>
      </c>
      <c r="AB44">
        <v>49638</v>
      </c>
      <c r="AC44">
        <v>9.1283894000000004E-2</v>
      </c>
      <c r="AD44">
        <v>0.60339869999999995</v>
      </c>
      <c r="AF44">
        <v>8.7272180450000008</v>
      </c>
      <c r="AG44">
        <v>0.10199999999999999</v>
      </c>
      <c r="AH44">
        <v>4.5999999999999999E-2</v>
      </c>
      <c r="AI44">
        <v>0.61899999999999999</v>
      </c>
      <c r="AJ44">
        <v>1.6592307690000001</v>
      </c>
      <c r="AK44">
        <v>5.6015841579999996</v>
      </c>
      <c r="AL44">
        <v>7.2999999999999995E-2</v>
      </c>
      <c r="AM44">
        <v>0.224</v>
      </c>
      <c r="AN44">
        <v>0.54300000000000004</v>
      </c>
    </row>
    <row r="45" spans="1:40">
      <c r="A45">
        <v>2113</v>
      </c>
      <c r="B45" t="s">
        <v>686</v>
      </c>
      <c r="C45" t="s">
        <v>687</v>
      </c>
      <c r="D45" t="s">
        <v>688</v>
      </c>
      <c r="E45">
        <v>395</v>
      </c>
      <c r="F45">
        <v>870</v>
      </c>
      <c r="G45">
        <v>38.032723359999999</v>
      </c>
      <c r="H45">
        <v>62</v>
      </c>
      <c r="I45">
        <v>5.9453143E-2</v>
      </c>
      <c r="J45">
        <v>932</v>
      </c>
      <c r="K45">
        <v>15676.21076</v>
      </c>
      <c r="L45">
        <v>0.73199999999999998</v>
      </c>
      <c r="M45">
        <v>0.135667396</v>
      </c>
      <c r="N45">
        <v>0</v>
      </c>
      <c r="O45" t="s">
        <v>613</v>
      </c>
      <c r="P45">
        <f t="shared" si="2"/>
        <v>10.66558824</v>
      </c>
      <c r="Q45">
        <f t="shared" si="3"/>
        <v>4.8000000000000001E-2</v>
      </c>
      <c r="R45">
        <f t="shared" si="4"/>
        <v>4.2000000000000003E-2</v>
      </c>
      <c r="S45">
        <f t="shared" si="5"/>
        <v>0.73199999999999998</v>
      </c>
      <c r="T45">
        <f t="shared" si="6"/>
        <v>2.328181818</v>
      </c>
      <c r="U45">
        <f t="shared" si="7"/>
        <v>5.372758621</v>
      </c>
      <c r="V45">
        <f t="shared" si="8"/>
        <v>0.10199999999999999</v>
      </c>
      <c r="W45">
        <f t="shared" si="9"/>
        <v>0.13300000000000001</v>
      </c>
      <c r="X45">
        <f t="shared" si="10"/>
        <v>0.69399999999999995</v>
      </c>
      <c r="Y45">
        <v>157.05972420000001</v>
      </c>
      <c r="Z45">
        <v>1</v>
      </c>
      <c r="AA45">
        <v>140316</v>
      </c>
      <c r="AB45">
        <v>49638</v>
      </c>
      <c r="AC45">
        <v>9.1283894000000004E-2</v>
      </c>
      <c r="AD45">
        <v>0.60339869999999995</v>
      </c>
      <c r="AF45">
        <v>10.66558824</v>
      </c>
      <c r="AG45">
        <v>4.8000000000000001E-2</v>
      </c>
      <c r="AH45">
        <v>4.2000000000000003E-2</v>
      </c>
      <c r="AI45">
        <v>0.73199999999999998</v>
      </c>
      <c r="AJ45">
        <v>2.328181818</v>
      </c>
      <c r="AK45">
        <v>5.372758621</v>
      </c>
      <c r="AL45">
        <v>0.10199999999999999</v>
      </c>
      <c r="AM45">
        <v>0.13300000000000001</v>
      </c>
      <c r="AN45">
        <v>0.69399999999999995</v>
      </c>
    </row>
    <row r="46" spans="1:40">
      <c r="A46">
        <v>2114</v>
      </c>
      <c r="B46" t="s">
        <v>686</v>
      </c>
      <c r="C46" t="s">
        <v>687</v>
      </c>
      <c r="D46" t="s">
        <v>688</v>
      </c>
      <c r="E46">
        <v>373</v>
      </c>
      <c r="F46">
        <v>895</v>
      </c>
      <c r="G46">
        <v>26.812068060000001</v>
      </c>
      <c r="H46">
        <v>166</v>
      </c>
      <c r="I46">
        <v>4.1914707000000002E-2</v>
      </c>
      <c r="J46">
        <v>1061</v>
      </c>
      <c r="K46">
        <v>25313.310669999999</v>
      </c>
      <c r="L46">
        <v>0.75600000000000001</v>
      </c>
      <c r="M46">
        <v>0.30797773699999997</v>
      </c>
      <c r="N46">
        <v>1</v>
      </c>
      <c r="O46" t="s">
        <v>613</v>
      </c>
      <c r="P46">
        <f t="shared" si="2"/>
        <v>7.2765656569999999</v>
      </c>
      <c r="Q46">
        <f t="shared" si="3"/>
        <v>6.7000000000000004E-2</v>
      </c>
      <c r="R46">
        <f t="shared" si="4"/>
        <v>0.04</v>
      </c>
      <c r="S46">
        <f t="shared" si="5"/>
        <v>0.75600000000000001</v>
      </c>
      <c r="T46">
        <f t="shared" si="6"/>
        <v>1.826666667</v>
      </c>
      <c r="U46">
        <f t="shared" si="7"/>
        <v>5.0448048050000001</v>
      </c>
      <c r="V46">
        <f t="shared" si="8"/>
        <v>7.9000000000000001E-2</v>
      </c>
      <c r="W46">
        <f t="shared" si="9"/>
        <v>0.18</v>
      </c>
      <c r="X46">
        <f t="shared" si="10"/>
        <v>0.71199999999999997</v>
      </c>
      <c r="Y46">
        <v>202.66052809999999</v>
      </c>
      <c r="Z46">
        <v>1</v>
      </c>
      <c r="AA46">
        <v>140316</v>
      </c>
      <c r="AB46">
        <v>49638</v>
      </c>
      <c r="AC46">
        <v>9.1283894000000004E-2</v>
      </c>
      <c r="AD46">
        <v>0.60339869999999995</v>
      </c>
      <c r="AF46">
        <v>7.2765656569999999</v>
      </c>
      <c r="AG46">
        <v>6.7000000000000004E-2</v>
      </c>
      <c r="AH46">
        <v>0.04</v>
      </c>
      <c r="AI46">
        <v>0.75600000000000001</v>
      </c>
      <c r="AJ46">
        <v>1.826666667</v>
      </c>
      <c r="AK46">
        <v>5.0448048050000001</v>
      </c>
      <c r="AL46">
        <v>7.9000000000000001E-2</v>
      </c>
      <c r="AM46">
        <v>0.18</v>
      </c>
      <c r="AN46">
        <v>0.71199999999999997</v>
      </c>
    </row>
    <row r="47" spans="1:40">
      <c r="A47">
        <v>2115</v>
      </c>
      <c r="B47" t="s">
        <v>686</v>
      </c>
      <c r="C47" t="s">
        <v>687</v>
      </c>
      <c r="D47" t="s">
        <v>688</v>
      </c>
      <c r="E47">
        <v>444</v>
      </c>
      <c r="F47">
        <v>1147</v>
      </c>
      <c r="G47">
        <v>37.933289389999999</v>
      </c>
      <c r="H47">
        <v>195</v>
      </c>
      <c r="I47">
        <v>5.9298845000000003E-2</v>
      </c>
      <c r="J47">
        <v>1342</v>
      </c>
      <c r="K47">
        <v>22631.13219</v>
      </c>
      <c r="L47">
        <v>0.73</v>
      </c>
      <c r="M47">
        <v>0.30516431900000002</v>
      </c>
      <c r="N47">
        <v>0</v>
      </c>
      <c r="O47" t="s">
        <v>613</v>
      </c>
      <c r="P47">
        <f t="shared" si="2"/>
        <v>9.724583333</v>
      </c>
      <c r="Q47">
        <f t="shared" si="3"/>
        <v>8.3000000000000004E-2</v>
      </c>
      <c r="R47">
        <f t="shared" si="4"/>
        <v>2.5000000000000001E-2</v>
      </c>
      <c r="S47">
        <f t="shared" si="5"/>
        <v>0.73</v>
      </c>
      <c r="T47">
        <f t="shared" si="6"/>
        <v>2.5743999999999998</v>
      </c>
      <c r="U47">
        <f t="shared" si="7"/>
        <v>5.3257142860000002</v>
      </c>
      <c r="V47">
        <f t="shared" si="8"/>
        <v>8.3000000000000004E-2</v>
      </c>
      <c r="W47">
        <f t="shared" si="9"/>
        <v>0.33100000000000002</v>
      </c>
      <c r="X47">
        <f t="shared" si="10"/>
        <v>0.54100000000000004</v>
      </c>
      <c r="Y47">
        <v>190.41585040000001</v>
      </c>
      <c r="Z47">
        <v>1</v>
      </c>
      <c r="AA47">
        <v>140316</v>
      </c>
      <c r="AB47">
        <v>49638</v>
      </c>
      <c r="AC47">
        <v>9.1283894000000004E-2</v>
      </c>
      <c r="AD47">
        <v>0.60339869999999995</v>
      </c>
      <c r="AF47">
        <v>9.724583333</v>
      </c>
      <c r="AG47">
        <v>8.3000000000000004E-2</v>
      </c>
      <c r="AH47">
        <v>2.5000000000000001E-2</v>
      </c>
      <c r="AI47">
        <v>0.73</v>
      </c>
      <c r="AJ47">
        <v>2.5743999999999998</v>
      </c>
      <c r="AK47">
        <v>5.3257142860000002</v>
      </c>
      <c r="AL47">
        <v>8.3000000000000004E-2</v>
      </c>
      <c r="AM47">
        <v>0.33100000000000002</v>
      </c>
      <c r="AN47">
        <v>0.54100000000000004</v>
      </c>
    </row>
    <row r="48" spans="1:40">
      <c r="A48">
        <v>2116</v>
      </c>
      <c r="B48" t="s">
        <v>686</v>
      </c>
      <c r="C48" t="s">
        <v>687</v>
      </c>
      <c r="D48" t="s">
        <v>688</v>
      </c>
      <c r="E48">
        <v>238</v>
      </c>
      <c r="F48">
        <v>546</v>
      </c>
      <c r="G48">
        <v>17.962358600000002</v>
      </c>
      <c r="H48">
        <v>111</v>
      </c>
      <c r="I48">
        <v>2.8072772999999999E-2</v>
      </c>
      <c r="J48">
        <v>657</v>
      </c>
      <c r="K48">
        <v>23403.459289999999</v>
      </c>
      <c r="L48">
        <v>0.67400000000000004</v>
      </c>
      <c r="M48">
        <v>0.318051576</v>
      </c>
      <c r="N48">
        <v>1</v>
      </c>
      <c r="O48" t="s">
        <v>606</v>
      </c>
      <c r="P48">
        <f t="shared" si="2"/>
        <v>8.9135849060000005</v>
      </c>
      <c r="Q48">
        <f t="shared" si="3"/>
        <v>0.11600000000000001</v>
      </c>
      <c r="R48">
        <f t="shared" si="4"/>
        <v>4.1000000000000002E-2</v>
      </c>
      <c r="S48">
        <f t="shared" si="5"/>
        <v>0.67400000000000004</v>
      </c>
      <c r="T48">
        <f t="shared" si="6"/>
        <v>2.1104545450000001</v>
      </c>
      <c r="U48">
        <f t="shared" si="7"/>
        <v>6.1497175139999998</v>
      </c>
      <c r="V48">
        <f t="shared" si="8"/>
        <v>8.3000000000000004E-2</v>
      </c>
      <c r="W48">
        <f t="shared" si="9"/>
        <v>0.33900000000000002</v>
      </c>
      <c r="X48">
        <f t="shared" si="10"/>
        <v>0.48599999999999999</v>
      </c>
      <c r="Y48">
        <v>213.734746</v>
      </c>
      <c r="Z48">
        <v>1</v>
      </c>
      <c r="AA48">
        <v>140316</v>
      </c>
      <c r="AB48">
        <v>49638</v>
      </c>
      <c r="AC48">
        <v>9.1283894000000004E-2</v>
      </c>
      <c r="AD48">
        <v>0.60339869999999995</v>
      </c>
      <c r="AF48">
        <v>8.9135849060000005</v>
      </c>
      <c r="AG48">
        <v>0.11600000000000001</v>
      </c>
      <c r="AH48">
        <v>4.1000000000000002E-2</v>
      </c>
      <c r="AI48">
        <v>0.67400000000000004</v>
      </c>
      <c r="AJ48">
        <v>2.1104545450000001</v>
      </c>
      <c r="AK48">
        <v>6.1497175139999998</v>
      </c>
      <c r="AL48">
        <v>8.3000000000000004E-2</v>
      </c>
      <c r="AM48">
        <v>0.33900000000000002</v>
      </c>
      <c r="AN48">
        <v>0.48599999999999999</v>
      </c>
    </row>
    <row r="49" spans="1:40">
      <c r="A49">
        <v>2117</v>
      </c>
      <c r="B49" t="s">
        <v>686</v>
      </c>
      <c r="C49" t="s">
        <v>687</v>
      </c>
      <c r="D49" t="s">
        <v>688</v>
      </c>
      <c r="E49">
        <v>644</v>
      </c>
      <c r="F49">
        <v>1569</v>
      </c>
      <c r="G49">
        <v>61.236457100000003</v>
      </c>
      <c r="H49">
        <v>149</v>
      </c>
      <c r="I49">
        <v>9.5724715000000002E-2</v>
      </c>
      <c r="J49">
        <v>1718</v>
      </c>
      <c r="K49">
        <v>17947.298149999999</v>
      </c>
      <c r="L49">
        <v>0.66100000000000003</v>
      </c>
      <c r="M49">
        <v>0.18789407299999999</v>
      </c>
      <c r="N49">
        <v>1</v>
      </c>
      <c r="O49" t="s">
        <v>613</v>
      </c>
      <c r="P49">
        <f t="shared" si="2"/>
        <v>8.9998360660000003</v>
      </c>
      <c r="Q49">
        <f t="shared" si="3"/>
        <v>6.6000000000000003E-2</v>
      </c>
      <c r="R49">
        <f t="shared" si="4"/>
        <v>5.5E-2</v>
      </c>
      <c r="S49">
        <f t="shared" si="5"/>
        <v>0.66100000000000003</v>
      </c>
      <c r="T49">
        <f t="shared" si="6"/>
        <v>2.2135937499999998</v>
      </c>
      <c r="U49">
        <f t="shared" si="7"/>
        <v>5.5654729730000003</v>
      </c>
      <c r="V49">
        <f t="shared" si="8"/>
        <v>0.13400000000000001</v>
      </c>
      <c r="W49">
        <f t="shared" si="9"/>
        <v>0.16800000000000001</v>
      </c>
      <c r="X49">
        <f t="shared" si="10"/>
        <v>0.60399999999999998</v>
      </c>
      <c r="Y49">
        <v>136.06831059999999</v>
      </c>
      <c r="Z49">
        <v>1</v>
      </c>
      <c r="AA49">
        <v>140316</v>
      </c>
      <c r="AB49">
        <v>49638</v>
      </c>
      <c r="AC49">
        <v>9.1283894000000004E-2</v>
      </c>
      <c r="AD49">
        <v>0.60339869999999995</v>
      </c>
      <c r="AF49">
        <v>8.9998360660000003</v>
      </c>
      <c r="AG49">
        <v>6.6000000000000003E-2</v>
      </c>
      <c r="AH49">
        <v>5.5E-2</v>
      </c>
      <c r="AI49">
        <v>0.66100000000000003</v>
      </c>
      <c r="AJ49">
        <v>2.2135937499999998</v>
      </c>
      <c r="AK49">
        <v>5.5654729730000003</v>
      </c>
      <c r="AL49">
        <v>0.13400000000000001</v>
      </c>
      <c r="AM49">
        <v>0.16800000000000001</v>
      </c>
      <c r="AN49">
        <v>0.60399999999999998</v>
      </c>
    </row>
    <row r="50" spans="1:40">
      <c r="A50">
        <v>2118</v>
      </c>
      <c r="B50" t="s">
        <v>690</v>
      </c>
      <c r="C50" t="s">
        <v>687</v>
      </c>
      <c r="D50" t="s">
        <v>688</v>
      </c>
      <c r="E50">
        <v>851</v>
      </c>
      <c r="F50">
        <v>2428</v>
      </c>
      <c r="G50">
        <v>48.060228189999997</v>
      </c>
      <c r="H50">
        <v>212</v>
      </c>
      <c r="I50">
        <v>7.5123335999999999E-2</v>
      </c>
      <c r="J50">
        <v>2640</v>
      </c>
      <c r="K50">
        <v>35142.209340000001</v>
      </c>
      <c r="L50">
        <v>0.65500000000000003</v>
      </c>
      <c r="M50">
        <v>0.19943556000000001</v>
      </c>
      <c r="N50">
        <v>0</v>
      </c>
      <c r="O50" t="s">
        <v>613</v>
      </c>
      <c r="P50">
        <f t="shared" si="2"/>
        <v>10.39863388</v>
      </c>
      <c r="Q50">
        <f t="shared" si="3"/>
        <v>8.5999999999999993E-2</v>
      </c>
      <c r="R50">
        <f t="shared" si="4"/>
        <v>1.9E-2</v>
      </c>
      <c r="S50">
        <f t="shared" si="5"/>
        <v>0.65500000000000003</v>
      </c>
      <c r="T50">
        <f t="shared" si="6"/>
        <v>2.3530000000000002</v>
      </c>
      <c r="U50">
        <f t="shared" si="7"/>
        <v>5.9355642790000003</v>
      </c>
      <c r="V50">
        <f t="shared" si="8"/>
        <v>4.3999999999999997E-2</v>
      </c>
      <c r="W50">
        <f t="shared" si="9"/>
        <v>0.315</v>
      </c>
      <c r="X50">
        <f t="shared" si="10"/>
        <v>0.61399999999999999</v>
      </c>
      <c r="Y50">
        <v>309.70333579999999</v>
      </c>
      <c r="Z50">
        <v>0</v>
      </c>
      <c r="AA50">
        <v>82284</v>
      </c>
      <c r="AB50">
        <v>32030</v>
      </c>
      <c r="AC50">
        <v>4.7570397E-2</v>
      </c>
      <c r="AD50">
        <v>0.78974696300000002</v>
      </c>
      <c r="AF50">
        <v>10.39863388</v>
      </c>
      <c r="AG50">
        <v>8.5999999999999993E-2</v>
      </c>
      <c r="AH50">
        <v>1.9E-2</v>
      </c>
      <c r="AI50">
        <v>0.65500000000000003</v>
      </c>
      <c r="AJ50">
        <v>2.3530000000000002</v>
      </c>
      <c r="AK50">
        <v>5.9355642790000003</v>
      </c>
      <c r="AL50">
        <v>4.3999999999999997E-2</v>
      </c>
      <c r="AM50">
        <v>0.315</v>
      </c>
      <c r="AN50">
        <v>0.61399999999999999</v>
      </c>
    </row>
    <row r="51" spans="1:40">
      <c r="A51">
        <v>2119</v>
      </c>
      <c r="B51" t="s">
        <v>690</v>
      </c>
      <c r="C51" t="s">
        <v>687</v>
      </c>
      <c r="D51" t="s">
        <v>688</v>
      </c>
      <c r="E51">
        <v>410</v>
      </c>
      <c r="F51">
        <v>1039</v>
      </c>
      <c r="G51">
        <v>50.991887679999998</v>
      </c>
      <c r="H51">
        <v>563</v>
      </c>
      <c r="I51">
        <v>7.9706086999999995E-2</v>
      </c>
      <c r="J51">
        <v>1602</v>
      </c>
      <c r="K51">
        <v>20098.841380000002</v>
      </c>
      <c r="L51">
        <v>0.77100000000000002</v>
      </c>
      <c r="M51">
        <v>0.57862281599999998</v>
      </c>
      <c r="N51">
        <v>0</v>
      </c>
      <c r="O51" t="s">
        <v>613</v>
      </c>
      <c r="P51">
        <f t="shared" si="2"/>
        <v>10.46613793</v>
      </c>
      <c r="Q51">
        <f t="shared" si="3"/>
        <v>4.2999999999999997E-2</v>
      </c>
      <c r="R51">
        <f t="shared" si="4"/>
        <v>1.6E-2</v>
      </c>
      <c r="S51">
        <f t="shared" si="5"/>
        <v>0.77100000000000002</v>
      </c>
      <c r="T51">
        <f t="shared" si="6"/>
        <v>1.59375</v>
      </c>
      <c r="U51">
        <f t="shared" si="7"/>
        <v>6.2284761900000003</v>
      </c>
      <c r="V51">
        <f t="shared" si="8"/>
        <v>4.3999999999999997E-2</v>
      </c>
      <c r="W51">
        <f t="shared" si="9"/>
        <v>0.115</v>
      </c>
      <c r="X51">
        <f t="shared" si="10"/>
        <v>0.79700000000000004</v>
      </c>
      <c r="Y51">
        <v>222.07870840000001</v>
      </c>
      <c r="Z51">
        <v>0</v>
      </c>
      <c r="AA51">
        <v>82284</v>
      </c>
      <c r="AB51">
        <v>32030</v>
      </c>
      <c r="AC51">
        <v>4.7570397E-2</v>
      </c>
      <c r="AD51">
        <v>0.78974696300000002</v>
      </c>
      <c r="AF51">
        <v>10.46613793</v>
      </c>
      <c r="AG51">
        <v>4.2999999999999997E-2</v>
      </c>
      <c r="AH51">
        <v>1.6E-2</v>
      </c>
      <c r="AI51">
        <v>0.77100000000000002</v>
      </c>
      <c r="AJ51">
        <v>1.59375</v>
      </c>
      <c r="AK51">
        <v>6.2284761900000003</v>
      </c>
      <c r="AL51">
        <v>4.3999999999999997E-2</v>
      </c>
      <c r="AM51">
        <v>0.115</v>
      </c>
      <c r="AN51">
        <v>0.79700000000000004</v>
      </c>
    </row>
    <row r="52" spans="1:40">
      <c r="A52">
        <v>2120</v>
      </c>
      <c r="B52" t="s">
        <v>701</v>
      </c>
      <c r="C52" t="s">
        <v>696</v>
      </c>
      <c r="D52" t="s">
        <v>697</v>
      </c>
      <c r="E52">
        <v>678</v>
      </c>
      <c r="F52">
        <v>2127</v>
      </c>
      <c r="G52">
        <v>90.223351309999998</v>
      </c>
      <c r="H52">
        <v>265</v>
      </c>
      <c r="I52">
        <v>0.14103969799999999</v>
      </c>
      <c r="J52">
        <v>2392</v>
      </c>
      <c r="K52">
        <v>16959.764050000002</v>
      </c>
      <c r="L52">
        <v>0.72799999999999998</v>
      </c>
      <c r="M52">
        <v>0.28101802799999998</v>
      </c>
      <c r="N52">
        <v>1</v>
      </c>
      <c r="O52" t="s">
        <v>613</v>
      </c>
      <c r="P52">
        <f t="shared" si="2"/>
        <v>11.856084340000001</v>
      </c>
      <c r="Q52">
        <f t="shared" si="3"/>
        <v>5.6000000000000001E-2</v>
      </c>
      <c r="R52">
        <f t="shared" si="4"/>
        <v>3.1E-2</v>
      </c>
      <c r="S52">
        <f t="shared" si="5"/>
        <v>0.72799999999999998</v>
      </c>
      <c r="T52">
        <f t="shared" si="6"/>
        <v>2.1270454550000002</v>
      </c>
      <c r="U52">
        <f t="shared" si="7"/>
        <v>5.9752620969999999</v>
      </c>
      <c r="V52">
        <f t="shared" si="8"/>
        <v>4.7E-2</v>
      </c>
      <c r="W52">
        <f t="shared" si="9"/>
        <v>0.193</v>
      </c>
      <c r="X52">
        <f t="shared" si="10"/>
        <v>0.71199999999999997</v>
      </c>
      <c r="Y52">
        <v>99.070039280000003</v>
      </c>
      <c r="Z52">
        <v>0</v>
      </c>
      <c r="AA52">
        <v>22589</v>
      </c>
      <c r="AB52">
        <v>7233</v>
      </c>
      <c r="AC52">
        <v>3.8721845999999997E-2</v>
      </c>
      <c r="AD52">
        <v>0.78947076400000005</v>
      </c>
      <c r="AF52">
        <v>11.856084340000001</v>
      </c>
      <c r="AG52">
        <v>5.6000000000000001E-2</v>
      </c>
      <c r="AH52">
        <v>3.1E-2</v>
      </c>
      <c r="AI52">
        <v>0.72799999999999998</v>
      </c>
      <c r="AJ52">
        <v>2.1270454550000002</v>
      </c>
      <c r="AK52">
        <v>5.9752620969999999</v>
      </c>
      <c r="AL52">
        <v>4.7E-2</v>
      </c>
      <c r="AM52">
        <v>0.193</v>
      </c>
      <c r="AN52">
        <v>0.71199999999999997</v>
      </c>
    </row>
    <row r="53" spans="1:40">
      <c r="A53">
        <v>2121</v>
      </c>
      <c r="B53" t="s">
        <v>689</v>
      </c>
      <c r="C53" t="s">
        <v>687</v>
      </c>
      <c r="D53" t="s">
        <v>688</v>
      </c>
      <c r="E53">
        <v>730</v>
      </c>
      <c r="F53">
        <v>1877</v>
      </c>
      <c r="G53">
        <v>617.93768850000004</v>
      </c>
      <c r="H53">
        <v>504</v>
      </c>
      <c r="I53">
        <v>0.96591071699999997</v>
      </c>
      <c r="J53">
        <v>2381</v>
      </c>
      <c r="K53">
        <v>2465.031144</v>
      </c>
      <c r="L53">
        <v>0.91300000000000003</v>
      </c>
      <c r="M53">
        <v>0.40842787699999999</v>
      </c>
      <c r="N53">
        <v>0</v>
      </c>
      <c r="O53" t="s">
        <v>625</v>
      </c>
      <c r="P53">
        <f t="shared" si="2"/>
        <v>14.51221239</v>
      </c>
      <c r="Q53">
        <f t="shared" si="3"/>
        <v>1.4999999999999999E-2</v>
      </c>
      <c r="R53">
        <f t="shared" si="4"/>
        <v>3.3000000000000002E-2</v>
      </c>
      <c r="S53">
        <f t="shared" si="5"/>
        <v>0.91300000000000003</v>
      </c>
      <c r="T53">
        <f t="shared" si="6"/>
        <v>2.4049999999999998</v>
      </c>
      <c r="U53">
        <f t="shared" si="7"/>
        <v>9.4088826290000007</v>
      </c>
      <c r="V53">
        <f t="shared" si="8"/>
        <v>1.6E-2</v>
      </c>
      <c r="W53">
        <f t="shared" si="9"/>
        <v>5.7000000000000002E-2</v>
      </c>
      <c r="X53">
        <f t="shared" si="10"/>
        <v>0.92600000000000005</v>
      </c>
      <c r="Y53">
        <v>46.266800709999998</v>
      </c>
      <c r="Z53">
        <v>0</v>
      </c>
      <c r="AA53">
        <v>454184</v>
      </c>
      <c r="AB53">
        <v>170596</v>
      </c>
      <c r="AC53">
        <v>6.5715274000000004E-2</v>
      </c>
      <c r="AD53">
        <v>0.72549415100000003</v>
      </c>
      <c r="AF53">
        <v>14.51221239</v>
      </c>
      <c r="AG53">
        <v>1.4999999999999999E-2</v>
      </c>
      <c r="AH53">
        <v>3.3000000000000002E-2</v>
      </c>
      <c r="AI53">
        <v>0.91300000000000003</v>
      </c>
      <c r="AJ53">
        <v>2.4049999999999998</v>
      </c>
      <c r="AK53">
        <v>9.4088826290000007</v>
      </c>
      <c r="AL53">
        <v>1.6E-2</v>
      </c>
      <c r="AM53">
        <v>5.7000000000000002E-2</v>
      </c>
      <c r="AN53">
        <v>0.92600000000000005</v>
      </c>
    </row>
    <row r="54" spans="1:40">
      <c r="A54">
        <v>2122</v>
      </c>
      <c r="B54" t="s">
        <v>689</v>
      </c>
      <c r="C54" t="s">
        <v>687</v>
      </c>
      <c r="D54" t="s">
        <v>688</v>
      </c>
      <c r="E54">
        <v>534</v>
      </c>
      <c r="F54">
        <v>2130</v>
      </c>
      <c r="G54">
        <v>33.057448690000001</v>
      </c>
      <c r="H54">
        <v>673</v>
      </c>
      <c r="I54">
        <v>5.1670766E-2</v>
      </c>
      <c r="J54">
        <v>2803</v>
      </c>
      <c r="K54">
        <v>54247.308819999998</v>
      </c>
      <c r="L54">
        <v>0.67500000000000004</v>
      </c>
      <c r="M54">
        <v>0.55758077900000003</v>
      </c>
      <c r="N54">
        <v>1</v>
      </c>
      <c r="O54" t="s">
        <v>606</v>
      </c>
      <c r="P54">
        <f t="shared" si="2"/>
        <v>11.47451613</v>
      </c>
      <c r="Q54">
        <f t="shared" si="3"/>
        <v>6.3E-2</v>
      </c>
      <c r="R54">
        <f t="shared" si="4"/>
        <v>0.03</v>
      </c>
      <c r="S54">
        <f t="shared" si="5"/>
        <v>0.67500000000000004</v>
      </c>
      <c r="T54">
        <f t="shared" si="6"/>
        <v>1.995081967</v>
      </c>
      <c r="U54">
        <f t="shared" si="7"/>
        <v>5.7232985850000002</v>
      </c>
      <c r="V54">
        <f t="shared" si="8"/>
        <v>6.2E-2</v>
      </c>
      <c r="W54">
        <f t="shared" si="9"/>
        <v>0.186</v>
      </c>
      <c r="X54">
        <f t="shared" si="10"/>
        <v>0.67900000000000005</v>
      </c>
      <c r="Y54">
        <v>116.45173749999999</v>
      </c>
      <c r="Z54">
        <v>0</v>
      </c>
      <c r="AA54">
        <v>454184</v>
      </c>
      <c r="AB54">
        <v>170596</v>
      </c>
      <c r="AC54">
        <v>6.5715274000000004E-2</v>
      </c>
      <c r="AD54">
        <v>0.72549415100000003</v>
      </c>
      <c r="AF54">
        <v>11.47451613</v>
      </c>
      <c r="AG54">
        <v>6.3E-2</v>
      </c>
      <c r="AH54">
        <v>0.03</v>
      </c>
      <c r="AI54">
        <v>0.67500000000000004</v>
      </c>
      <c r="AJ54">
        <v>1.995081967</v>
      </c>
      <c r="AK54">
        <v>5.7232985850000002</v>
      </c>
      <c r="AL54">
        <v>6.2E-2</v>
      </c>
      <c r="AM54">
        <v>0.186</v>
      </c>
      <c r="AN54">
        <v>0.67900000000000005</v>
      </c>
    </row>
    <row r="55" spans="1:40">
      <c r="A55">
        <v>2123</v>
      </c>
      <c r="B55" t="s">
        <v>690</v>
      </c>
      <c r="C55" t="s">
        <v>687</v>
      </c>
      <c r="D55" t="s">
        <v>688</v>
      </c>
      <c r="E55">
        <v>443</v>
      </c>
      <c r="F55">
        <v>1007</v>
      </c>
      <c r="G55">
        <v>32.462601960000001</v>
      </c>
      <c r="H55">
        <v>194</v>
      </c>
      <c r="I55">
        <v>5.0744185999999997E-2</v>
      </c>
      <c r="J55">
        <v>1201</v>
      </c>
      <c r="K55">
        <v>23667.73604</v>
      </c>
      <c r="L55">
        <v>0.75700000000000001</v>
      </c>
      <c r="M55">
        <v>0.30455259000000001</v>
      </c>
      <c r="N55">
        <v>0</v>
      </c>
      <c r="O55" t="s">
        <v>613</v>
      </c>
      <c r="P55">
        <f t="shared" si="2"/>
        <v>11.231122450000001</v>
      </c>
      <c r="Q55">
        <f t="shared" si="3"/>
        <v>4.3999999999999997E-2</v>
      </c>
      <c r="R55">
        <f t="shared" si="4"/>
        <v>3.3000000000000002E-2</v>
      </c>
      <c r="S55">
        <f t="shared" si="5"/>
        <v>0.75700000000000001</v>
      </c>
      <c r="T55">
        <f t="shared" si="6"/>
        <v>2.7727272730000001</v>
      </c>
      <c r="U55">
        <f t="shared" si="7"/>
        <v>6.5485573119999998</v>
      </c>
      <c r="V55">
        <f t="shared" si="8"/>
        <v>5.8000000000000003E-2</v>
      </c>
      <c r="W55">
        <f t="shared" si="9"/>
        <v>0.18</v>
      </c>
      <c r="X55">
        <f t="shared" si="10"/>
        <v>0.70499999999999996</v>
      </c>
      <c r="Y55">
        <v>150.4951087</v>
      </c>
      <c r="Z55">
        <v>0</v>
      </c>
      <c r="AA55">
        <v>82284</v>
      </c>
      <c r="AB55">
        <v>32030</v>
      </c>
      <c r="AC55">
        <v>4.7570397E-2</v>
      </c>
      <c r="AD55">
        <v>0.78974696300000002</v>
      </c>
      <c r="AF55">
        <v>11.231122450000001</v>
      </c>
      <c r="AG55">
        <v>4.3999999999999997E-2</v>
      </c>
      <c r="AH55">
        <v>3.3000000000000002E-2</v>
      </c>
      <c r="AI55">
        <v>0.75700000000000001</v>
      </c>
      <c r="AJ55">
        <v>2.7727272730000001</v>
      </c>
      <c r="AK55">
        <v>6.5485573119999998</v>
      </c>
      <c r="AL55">
        <v>5.8000000000000003E-2</v>
      </c>
      <c r="AM55">
        <v>0.18</v>
      </c>
      <c r="AN55">
        <v>0.70499999999999996</v>
      </c>
    </row>
    <row r="56" spans="1:40">
      <c r="A56">
        <v>2124</v>
      </c>
      <c r="B56" t="s">
        <v>690</v>
      </c>
      <c r="C56" t="s">
        <v>687</v>
      </c>
      <c r="D56" t="s">
        <v>688</v>
      </c>
      <c r="E56">
        <v>442</v>
      </c>
      <c r="F56">
        <v>1116</v>
      </c>
      <c r="G56">
        <v>71.458129049999997</v>
      </c>
      <c r="H56">
        <v>190</v>
      </c>
      <c r="I56">
        <v>0.11169978799999999</v>
      </c>
      <c r="J56">
        <v>1306</v>
      </c>
      <c r="K56">
        <v>11692.05442</v>
      </c>
      <c r="L56">
        <v>0.82199999999999995</v>
      </c>
      <c r="M56">
        <v>0.300632911</v>
      </c>
      <c r="N56">
        <v>0</v>
      </c>
      <c r="O56" t="s">
        <v>620</v>
      </c>
      <c r="P56">
        <f t="shared" si="2"/>
        <v>8.8242727270000003</v>
      </c>
      <c r="Q56">
        <f t="shared" si="3"/>
        <v>3.7999999999999999E-2</v>
      </c>
      <c r="R56">
        <f t="shared" si="4"/>
        <v>1.4999999999999999E-2</v>
      </c>
      <c r="S56">
        <f t="shared" si="5"/>
        <v>0.82199999999999995</v>
      </c>
      <c r="T56">
        <f t="shared" si="6"/>
        <v>2.4489999999999998</v>
      </c>
      <c r="U56">
        <f t="shared" si="7"/>
        <v>6.4507393000000004</v>
      </c>
      <c r="V56">
        <f t="shared" si="8"/>
        <v>0.03</v>
      </c>
      <c r="W56">
        <f t="shared" si="9"/>
        <v>0.14899999999999999</v>
      </c>
      <c r="X56">
        <f t="shared" si="10"/>
        <v>0.82099999999999995</v>
      </c>
      <c r="Y56">
        <v>268.00571189999999</v>
      </c>
      <c r="Z56">
        <v>0</v>
      </c>
      <c r="AA56">
        <v>82284</v>
      </c>
      <c r="AB56">
        <v>32030</v>
      </c>
      <c r="AC56">
        <v>4.7570397E-2</v>
      </c>
      <c r="AD56">
        <v>0.78974696300000002</v>
      </c>
      <c r="AF56">
        <v>8.8242727270000003</v>
      </c>
      <c r="AG56">
        <v>3.7999999999999999E-2</v>
      </c>
      <c r="AH56">
        <v>1.4999999999999999E-2</v>
      </c>
      <c r="AI56">
        <v>0.82199999999999995</v>
      </c>
      <c r="AJ56">
        <v>2.4489999999999998</v>
      </c>
      <c r="AK56">
        <v>6.4507393000000004</v>
      </c>
      <c r="AL56">
        <v>0.03</v>
      </c>
      <c r="AM56">
        <v>0.14899999999999999</v>
      </c>
      <c r="AN56">
        <v>0.82099999999999995</v>
      </c>
    </row>
    <row r="57" spans="1:40">
      <c r="A57">
        <v>2125</v>
      </c>
      <c r="B57" t="s">
        <v>689</v>
      </c>
      <c r="C57" t="s">
        <v>687</v>
      </c>
      <c r="D57" t="s">
        <v>688</v>
      </c>
      <c r="E57">
        <v>370</v>
      </c>
      <c r="F57">
        <v>942</v>
      </c>
      <c r="G57">
        <v>40.132339109999997</v>
      </c>
      <c r="H57">
        <v>68</v>
      </c>
      <c r="I57">
        <v>6.2731782999999999E-2</v>
      </c>
      <c r="J57">
        <v>1010</v>
      </c>
      <c r="K57">
        <v>16100.29162</v>
      </c>
      <c r="L57">
        <v>0.746</v>
      </c>
      <c r="M57">
        <v>0.15525114200000001</v>
      </c>
      <c r="N57">
        <v>0</v>
      </c>
      <c r="O57" t="s">
        <v>613</v>
      </c>
      <c r="P57">
        <f t="shared" si="2"/>
        <v>11.54518987</v>
      </c>
      <c r="Q57">
        <f t="shared" si="3"/>
        <v>3.4000000000000002E-2</v>
      </c>
      <c r="R57">
        <f t="shared" si="4"/>
        <v>4.2999999999999997E-2</v>
      </c>
      <c r="S57">
        <f t="shared" si="5"/>
        <v>0.746</v>
      </c>
      <c r="T57">
        <f t="shared" si="6"/>
        <v>1.8020833329999999</v>
      </c>
      <c r="U57">
        <f t="shared" si="7"/>
        <v>7.2652926210000004</v>
      </c>
      <c r="V57">
        <f t="shared" si="8"/>
        <v>2.1999999999999999E-2</v>
      </c>
      <c r="W57">
        <f t="shared" si="9"/>
        <v>9.9000000000000005E-2</v>
      </c>
      <c r="X57">
        <f t="shared" si="10"/>
        <v>0.86799999999999999</v>
      </c>
      <c r="Y57">
        <v>153.8684571</v>
      </c>
      <c r="Z57">
        <v>0</v>
      </c>
      <c r="AA57">
        <v>454184</v>
      </c>
      <c r="AB57">
        <v>170596</v>
      </c>
      <c r="AC57">
        <v>6.5715274000000004E-2</v>
      </c>
      <c r="AD57">
        <v>0.72549415100000003</v>
      </c>
      <c r="AF57">
        <v>11.54518987</v>
      </c>
      <c r="AG57">
        <v>3.4000000000000002E-2</v>
      </c>
      <c r="AH57">
        <v>4.2999999999999997E-2</v>
      </c>
      <c r="AI57">
        <v>0.746</v>
      </c>
      <c r="AJ57">
        <v>1.8020833329999999</v>
      </c>
      <c r="AK57">
        <v>7.2652926210000004</v>
      </c>
      <c r="AL57">
        <v>2.1999999999999999E-2</v>
      </c>
      <c r="AM57">
        <v>9.9000000000000005E-2</v>
      </c>
      <c r="AN57">
        <v>0.86799999999999999</v>
      </c>
    </row>
    <row r="58" spans="1:40">
      <c r="A58">
        <v>2126</v>
      </c>
      <c r="B58" t="s">
        <v>683</v>
      </c>
      <c r="C58" t="s">
        <v>684</v>
      </c>
      <c r="D58" t="s">
        <v>685</v>
      </c>
      <c r="E58">
        <v>267</v>
      </c>
      <c r="F58">
        <v>1049</v>
      </c>
      <c r="G58">
        <v>56.652243859999999</v>
      </c>
      <c r="H58">
        <v>59</v>
      </c>
      <c r="I58">
        <v>8.8553205999999995E-2</v>
      </c>
      <c r="J58">
        <v>1108</v>
      </c>
      <c r="K58">
        <v>12512.25167</v>
      </c>
      <c r="L58">
        <v>0.84</v>
      </c>
      <c r="M58">
        <v>0.180981595</v>
      </c>
      <c r="N58">
        <v>0</v>
      </c>
      <c r="O58" t="s">
        <v>620</v>
      </c>
      <c r="P58">
        <f t="shared" si="2"/>
        <v>12.769326919999999</v>
      </c>
      <c r="Q58">
        <f t="shared" si="3"/>
        <v>1.9E-2</v>
      </c>
      <c r="R58">
        <f t="shared" si="4"/>
        <v>1.7000000000000001E-2</v>
      </c>
      <c r="S58">
        <f t="shared" si="5"/>
        <v>0.84</v>
      </c>
      <c r="T58">
        <f t="shared" si="6"/>
        <v>1.681</v>
      </c>
      <c r="U58">
        <f t="shared" si="7"/>
        <v>7.3913080170000001</v>
      </c>
      <c r="V58">
        <f t="shared" si="8"/>
        <v>1.7999999999999999E-2</v>
      </c>
      <c r="W58">
        <f t="shared" si="9"/>
        <v>7.0000000000000007E-2</v>
      </c>
      <c r="X58">
        <f t="shared" si="10"/>
        <v>0.91200000000000003</v>
      </c>
      <c r="Y58">
        <v>102.3051589</v>
      </c>
      <c r="Z58">
        <v>0</v>
      </c>
      <c r="AA58">
        <v>75370</v>
      </c>
      <c r="AB58">
        <v>21403</v>
      </c>
      <c r="AC58">
        <v>2.4597187E-2</v>
      </c>
      <c r="AD58">
        <v>0.84342094400000001</v>
      </c>
      <c r="AF58">
        <v>12.769326919999999</v>
      </c>
      <c r="AG58">
        <v>1.9E-2</v>
      </c>
      <c r="AH58">
        <v>1.7000000000000001E-2</v>
      </c>
      <c r="AI58">
        <v>0.84</v>
      </c>
      <c r="AJ58">
        <v>1.681</v>
      </c>
      <c r="AK58">
        <v>7.3913080170000001</v>
      </c>
      <c r="AL58">
        <v>1.7999999999999999E-2</v>
      </c>
      <c r="AM58">
        <v>7.0000000000000007E-2</v>
      </c>
      <c r="AN58">
        <v>0.91200000000000003</v>
      </c>
    </row>
    <row r="59" spans="1:40">
      <c r="A59">
        <v>2127</v>
      </c>
      <c r="B59" t="s">
        <v>689</v>
      </c>
      <c r="C59" t="s">
        <v>687</v>
      </c>
      <c r="D59" t="s">
        <v>688</v>
      </c>
      <c r="E59">
        <v>438</v>
      </c>
      <c r="F59">
        <v>1652</v>
      </c>
      <c r="G59">
        <v>54.828337490000003</v>
      </c>
      <c r="H59">
        <v>117</v>
      </c>
      <c r="I59">
        <v>8.5702604000000002E-2</v>
      </c>
      <c r="J59">
        <v>1769</v>
      </c>
      <c r="K59">
        <v>20641.14645</v>
      </c>
      <c r="L59">
        <v>0.78100000000000003</v>
      </c>
      <c r="M59">
        <v>0.21081081099999999</v>
      </c>
      <c r="N59">
        <v>0</v>
      </c>
      <c r="O59" t="s">
        <v>613</v>
      </c>
      <c r="P59">
        <f t="shared" si="2"/>
        <v>10.45359712</v>
      </c>
      <c r="Q59">
        <f t="shared" si="3"/>
        <v>3.5999999999999997E-2</v>
      </c>
      <c r="R59">
        <f t="shared" si="4"/>
        <v>3.1E-2</v>
      </c>
      <c r="S59">
        <f t="shared" si="5"/>
        <v>0.78100000000000003</v>
      </c>
      <c r="T59">
        <f t="shared" si="6"/>
        <v>2.0405128210000001</v>
      </c>
      <c r="U59">
        <f t="shared" si="7"/>
        <v>5.6653912110000002</v>
      </c>
      <c r="V59">
        <f t="shared" si="8"/>
        <v>6.7000000000000004E-2</v>
      </c>
      <c r="W59">
        <f t="shared" si="9"/>
        <v>0.107</v>
      </c>
      <c r="X59">
        <f t="shared" si="10"/>
        <v>0.78100000000000003</v>
      </c>
      <c r="Y59">
        <v>163.42650219999999</v>
      </c>
      <c r="Z59">
        <v>0</v>
      </c>
      <c r="AA59">
        <v>454184</v>
      </c>
      <c r="AB59">
        <v>170596</v>
      </c>
      <c r="AC59">
        <v>6.5715274000000004E-2</v>
      </c>
      <c r="AD59">
        <v>0.72549415100000003</v>
      </c>
      <c r="AF59">
        <v>10.45359712</v>
      </c>
      <c r="AG59">
        <v>3.5999999999999997E-2</v>
      </c>
      <c r="AH59">
        <v>3.1E-2</v>
      </c>
      <c r="AI59">
        <v>0.78100000000000003</v>
      </c>
      <c r="AJ59">
        <v>2.0405128210000001</v>
      </c>
      <c r="AK59">
        <v>5.6653912110000002</v>
      </c>
      <c r="AL59">
        <v>6.7000000000000004E-2</v>
      </c>
      <c r="AM59">
        <v>0.107</v>
      </c>
      <c r="AN59">
        <v>0.78100000000000003</v>
      </c>
    </row>
    <row r="60" spans="1:40">
      <c r="A60">
        <v>2128</v>
      </c>
      <c r="B60" t="s">
        <v>689</v>
      </c>
      <c r="C60" t="s">
        <v>687</v>
      </c>
      <c r="D60" t="s">
        <v>688</v>
      </c>
      <c r="E60">
        <v>499</v>
      </c>
      <c r="F60">
        <v>1580</v>
      </c>
      <c r="G60">
        <v>90.248019600000006</v>
      </c>
      <c r="H60">
        <v>514</v>
      </c>
      <c r="I60">
        <v>0.14107330700000001</v>
      </c>
      <c r="J60">
        <v>2094</v>
      </c>
      <c r="K60">
        <v>14843.346659999999</v>
      </c>
      <c r="L60">
        <v>0.82599999999999996</v>
      </c>
      <c r="M60">
        <v>0.50740375100000001</v>
      </c>
      <c r="N60">
        <v>0</v>
      </c>
      <c r="O60" t="s">
        <v>613</v>
      </c>
      <c r="P60">
        <f t="shared" si="2"/>
        <v>11.93820513</v>
      </c>
      <c r="Q60">
        <f t="shared" si="3"/>
        <v>2.5999999999999999E-2</v>
      </c>
      <c r="R60">
        <f t="shared" si="4"/>
        <v>1.0999999999999999E-2</v>
      </c>
      <c r="S60">
        <f t="shared" si="5"/>
        <v>0.82599999999999996</v>
      </c>
      <c r="T60">
        <f t="shared" si="6"/>
        <v>1.805909091</v>
      </c>
      <c r="U60">
        <f t="shared" si="7"/>
        <v>5.9391930479999999</v>
      </c>
      <c r="V60">
        <f t="shared" si="8"/>
        <v>3.2000000000000001E-2</v>
      </c>
      <c r="W60">
        <f t="shared" si="9"/>
        <v>0.08</v>
      </c>
      <c r="X60">
        <f t="shared" si="10"/>
        <v>0.83</v>
      </c>
      <c r="Y60">
        <v>228.90758009999999</v>
      </c>
      <c r="Z60">
        <v>0</v>
      </c>
      <c r="AA60">
        <v>454184</v>
      </c>
      <c r="AB60">
        <v>170596</v>
      </c>
      <c r="AC60">
        <v>6.5715274000000004E-2</v>
      </c>
      <c r="AD60">
        <v>0.72549415100000003</v>
      </c>
      <c r="AF60">
        <v>11.93820513</v>
      </c>
      <c r="AG60">
        <v>2.5999999999999999E-2</v>
      </c>
      <c r="AH60">
        <v>1.0999999999999999E-2</v>
      </c>
      <c r="AI60">
        <v>0.82599999999999996</v>
      </c>
      <c r="AJ60">
        <v>1.805909091</v>
      </c>
      <c r="AK60">
        <v>5.9391930479999999</v>
      </c>
      <c r="AL60">
        <v>3.2000000000000001E-2</v>
      </c>
      <c r="AM60">
        <v>0.08</v>
      </c>
      <c r="AN60">
        <v>0.83</v>
      </c>
    </row>
    <row r="61" spans="1:40">
      <c r="A61">
        <v>2129</v>
      </c>
      <c r="B61" t="s">
        <v>702</v>
      </c>
      <c r="C61" t="s">
        <v>696</v>
      </c>
      <c r="D61" t="s">
        <v>697</v>
      </c>
      <c r="E61">
        <v>356</v>
      </c>
      <c r="F61">
        <v>911</v>
      </c>
      <c r="G61">
        <v>77.620150640000006</v>
      </c>
      <c r="H61">
        <v>231</v>
      </c>
      <c r="I61">
        <v>0.121334363</v>
      </c>
      <c r="J61">
        <v>1142</v>
      </c>
      <c r="K61">
        <v>9412.0080390000003</v>
      </c>
      <c r="L61">
        <v>0.81200000000000006</v>
      </c>
      <c r="M61">
        <v>0.39352640500000002</v>
      </c>
      <c r="N61">
        <v>0</v>
      </c>
      <c r="O61" t="s">
        <v>613</v>
      </c>
      <c r="P61">
        <f t="shared" si="2"/>
        <v>14.81402299</v>
      </c>
      <c r="Q61">
        <f t="shared" si="3"/>
        <v>0.03</v>
      </c>
      <c r="R61">
        <f t="shared" si="4"/>
        <v>1.4999999999999999E-2</v>
      </c>
      <c r="S61">
        <f t="shared" si="5"/>
        <v>0.81200000000000006</v>
      </c>
      <c r="T61">
        <f t="shared" si="6"/>
        <v>1.9950000000000001</v>
      </c>
      <c r="U61">
        <f t="shared" si="7"/>
        <v>6.8525763360000003</v>
      </c>
      <c r="V61">
        <f t="shared" si="8"/>
        <v>2.8000000000000001E-2</v>
      </c>
      <c r="W61">
        <f t="shared" si="9"/>
        <v>0.11899999999999999</v>
      </c>
      <c r="X61">
        <f t="shared" si="10"/>
        <v>0.79800000000000004</v>
      </c>
      <c r="Y61">
        <v>104.4744796</v>
      </c>
      <c r="Z61">
        <v>0</v>
      </c>
      <c r="AA61">
        <v>90778</v>
      </c>
      <c r="AB61">
        <v>31662</v>
      </c>
      <c r="AC61">
        <v>3.1753482E-2</v>
      </c>
      <c r="AD61">
        <v>0.82960131100000001</v>
      </c>
      <c r="AF61">
        <v>14.81402299</v>
      </c>
      <c r="AG61">
        <v>0.03</v>
      </c>
      <c r="AH61">
        <v>1.4999999999999999E-2</v>
      </c>
      <c r="AI61">
        <v>0.81200000000000006</v>
      </c>
      <c r="AJ61">
        <v>1.9950000000000001</v>
      </c>
      <c r="AK61">
        <v>6.8525763360000003</v>
      </c>
      <c r="AL61">
        <v>2.8000000000000001E-2</v>
      </c>
      <c r="AM61">
        <v>0.11899999999999999</v>
      </c>
      <c r="AN61">
        <v>0.79800000000000004</v>
      </c>
    </row>
    <row r="62" spans="1:40">
      <c r="A62">
        <v>2130</v>
      </c>
      <c r="B62" t="s">
        <v>702</v>
      </c>
      <c r="C62" t="s">
        <v>696</v>
      </c>
      <c r="D62" t="s">
        <v>697</v>
      </c>
      <c r="E62">
        <v>465</v>
      </c>
      <c r="F62">
        <v>1368</v>
      </c>
      <c r="G62">
        <v>59.261615890000002</v>
      </c>
      <c r="H62">
        <v>125</v>
      </c>
      <c r="I62">
        <v>9.2629290000000003E-2</v>
      </c>
      <c r="J62">
        <v>1493</v>
      </c>
      <c r="K62">
        <v>16118.011920000001</v>
      </c>
      <c r="L62">
        <v>0.79300000000000004</v>
      </c>
      <c r="M62">
        <v>0.211864407</v>
      </c>
      <c r="N62">
        <v>0</v>
      </c>
      <c r="O62" t="s">
        <v>613</v>
      </c>
      <c r="P62">
        <f t="shared" si="2"/>
        <v>9.1751515149999996</v>
      </c>
      <c r="Q62">
        <f t="shared" si="3"/>
        <v>3.6999999999999998E-2</v>
      </c>
      <c r="R62">
        <f t="shared" si="4"/>
        <v>2.5000000000000001E-2</v>
      </c>
      <c r="S62">
        <f t="shared" si="5"/>
        <v>0.79300000000000004</v>
      </c>
      <c r="T62">
        <f t="shared" si="6"/>
        <v>2.5425</v>
      </c>
      <c r="U62">
        <f t="shared" si="7"/>
        <v>5.2997872340000001</v>
      </c>
      <c r="V62">
        <f t="shared" si="8"/>
        <v>1.6E-2</v>
      </c>
      <c r="W62">
        <f t="shared" si="9"/>
        <v>0.13900000000000001</v>
      </c>
      <c r="X62">
        <f t="shared" si="10"/>
        <v>0.81100000000000005</v>
      </c>
      <c r="Y62">
        <v>179.75395990000001</v>
      </c>
      <c r="Z62">
        <v>0</v>
      </c>
      <c r="AA62">
        <v>90778</v>
      </c>
      <c r="AB62">
        <v>31662</v>
      </c>
      <c r="AC62">
        <v>3.1753482E-2</v>
      </c>
      <c r="AD62">
        <v>0.82960131100000001</v>
      </c>
      <c r="AF62">
        <v>9.1751515149999996</v>
      </c>
      <c r="AG62">
        <v>3.6999999999999998E-2</v>
      </c>
      <c r="AH62">
        <v>2.5000000000000001E-2</v>
      </c>
      <c r="AI62">
        <v>0.79300000000000004</v>
      </c>
      <c r="AJ62">
        <v>2.5425</v>
      </c>
      <c r="AK62">
        <v>5.2997872340000001</v>
      </c>
      <c r="AL62">
        <v>1.6E-2</v>
      </c>
      <c r="AM62">
        <v>0.13900000000000001</v>
      </c>
      <c r="AN62">
        <v>0.81100000000000005</v>
      </c>
    </row>
    <row r="63" spans="1:40">
      <c r="A63">
        <v>2131</v>
      </c>
      <c r="B63" t="s">
        <v>702</v>
      </c>
      <c r="C63" t="s">
        <v>696</v>
      </c>
      <c r="D63" t="s">
        <v>697</v>
      </c>
      <c r="E63">
        <v>368</v>
      </c>
      <c r="F63">
        <v>854</v>
      </c>
      <c r="G63">
        <v>49.810703580000002</v>
      </c>
      <c r="H63">
        <v>298</v>
      </c>
      <c r="I63">
        <v>7.7863313000000003E-2</v>
      </c>
      <c r="J63">
        <v>1152</v>
      </c>
      <c r="K63">
        <v>14795.15777</v>
      </c>
      <c r="L63">
        <v>0.75800000000000001</v>
      </c>
      <c r="M63">
        <v>0.447447447</v>
      </c>
      <c r="N63">
        <v>0</v>
      </c>
      <c r="O63" t="s">
        <v>613</v>
      </c>
      <c r="P63">
        <f t="shared" si="2"/>
        <v>10.64150442</v>
      </c>
      <c r="Q63">
        <f t="shared" si="3"/>
        <v>6.0999999999999999E-2</v>
      </c>
      <c r="R63">
        <f t="shared" si="4"/>
        <v>1.4999999999999999E-2</v>
      </c>
      <c r="S63">
        <f t="shared" si="5"/>
        <v>0.75800000000000001</v>
      </c>
      <c r="T63">
        <f t="shared" si="6"/>
        <v>1.9524999999999999</v>
      </c>
      <c r="U63">
        <f t="shared" si="7"/>
        <v>5.6496305419999997</v>
      </c>
      <c r="V63">
        <f t="shared" si="8"/>
        <v>3.7999999999999999E-2</v>
      </c>
      <c r="W63">
        <f t="shared" si="9"/>
        <v>0.16600000000000001</v>
      </c>
      <c r="X63">
        <f t="shared" si="10"/>
        <v>0.72</v>
      </c>
      <c r="Y63">
        <v>22.009908039999999</v>
      </c>
      <c r="Z63">
        <v>0</v>
      </c>
      <c r="AA63">
        <v>90778</v>
      </c>
      <c r="AB63">
        <v>31662</v>
      </c>
      <c r="AC63">
        <v>3.1753482E-2</v>
      </c>
      <c r="AD63">
        <v>0.82960131100000001</v>
      </c>
      <c r="AF63">
        <v>10.64150442</v>
      </c>
      <c r="AG63">
        <v>6.0999999999999999E-2</v>
      </c>
      <c r="AH63">
        <v>1.4999999999999999E-2</v>
      </c>
      <c r="AI63">
        <v>0.75800000000000001</v>
      </c>
      <c r="AJ63">
        <v>1.9524999999999999</v>
      </c>
      <c r="AK63">
        <v>5.6496305419999997</v>
      </c>
      <c r="AL63">
        <v>3.7999999999999999E-2</v>
      </c>
      <c r="AM63">
        <v>0.16600000000000001</v>
      </c>
      <c r="AN63">
        <v>0.72</v>
      </c>
    </row>
    <row r="64" spans="1:40">
      <c r="A64">
        <v>2132</v>
      </c>
      <c r="B64" t="s">
        <v>702</v>
      </c>
      <c r="C64" t="s">
        <v>696</v>
      </c>
      <c r="D64" t="s">
        <v>697</v>
      </c>
      <c r="E64">
        <v>363</v>
      </c>
      <c r="F64">
        <v>1080</v>
      </c>
      <c r="G64">
        <v>37.550340429999999</v>
      </c>
      <c r="H64">
        <v>232</v>
      </c>
      <c r="I64">
        <v>5.8692253999999999E-2</v>
      </c>
      <c r="J64">
        <v>1312</v>
      </c>
      <c r="K64">
        <v>22353.886770000001</v>
      </c>
      <c r="L64">
        <v>0.77200000000000002</v>
      </c>
      <c r="M64">
        <v>0.389915966</v>
      </c>
      <c r="N64">
        <v>0</v>
      </c>
      <c r="O64" t="s">
        <v>613</v>
      </c>
      <c r="P64">
        <f t="shared" si="2"/>
        <v>11.010283019999999</v>
      </c>
      <c r="Q64">
        <f t="shared" si="3"/>
        <v>5.1999999999999998E-2</v>
      </c>
      <c r="R64">
        <f t="shared" si="4"/>
        <v>1.2E-2</v>
      </c>
      <c r="S64">
        <f t="shared" si="5"/>
        <v>0.77200000000000002</v>
      </c>
      <c r="T64">
        <f t="shared" si="6"/>
        <v>1.7737499999999999</v>
      </c>
      <c r="U64">
        <f t="shared" si="7"/>
        <v>6.4305231389999999</v>
      </c>
      <c r="V64">
        <f t="shared" si="8"/>
        <v>2.3E-2</v>
      </c>
      <c r="W64">
        <f t="shared" si="9"/>
        <v>0.13100000000000001</v>
      </c>
      <c r="X64">
        <f t="shared" si="10"/>
        <v>0.81499999999999995</v>
      </c>
      <c r="Y64">
        <v>181.66343269999999</v>
      </c>
      <c r="Z64">
        <v>0</v>
      </c>
      <c r="AA64">
        <v>90778</v>
      </c>
      <c r="AB64">
        <v>31662</v>
      </c>
      <c r="AC64">
        <v>3.1753482E-2</v>
      </c>
      <c r="AD64">
        <v>0.82960131100000001</v>
      </c>
      <c r="AF64">
        <v>11.010283019999999</v>
      </c>
      <c r="AG64">
        <v>5.1999999999999998E-2</v>
      </c>
      <c r="AH64">
        <v>1.2E-2</v>
      </c>
      <c r="AI64">
        <v>0.77200000000000002</v>
      </c>
      <c r="AJ64">
        <v>1.7737499999999999</v>
      </c>
      <c r="AK64">
        <v>6.4305231389999999</v>
      </c>
      <c r="AL64">
        <v>2.3E-2</v>
      </c>
      <c r="AM64">
        <v>0.13100000000000001</v>
      </c>
      <c r="AN64">
        <v>0.81499999999999995</v>
      </c>
    </row>
    <row r="65" spans="1:40">
      <c r="A65">
        <v>2133</v>
      </c>
      <c r="B65" t="s">
        <v>703</v>
      </c>
      <c r="C65" t="s">
        <v>696</v>
      </c>
      <c r="D65" t="s">
        <v>697</v>
      </c>
      <c r="E65">
        <v>456</v>
      </c>
      <c r="F65">
        <v>1481</v>
      </c>
      <c r="G65">
        <v>81.787734580000006</v>
      </c>
      <c r="H65">
        <v>73</v>
      </c>
      <c r="I65">
        <v>0.12783937300000001</v>
      </c>
      <c r="J65">
        <v>1554</v>
      </c>
      <c r="K65">
        <v>12155.87939</v>
      </c>
      <c r="L65">
        <v>0.79300000000000004</v>
      </c>
      <c r="M65">
        <v>0.137996219</v>
      </c>
      <c r="N65">
        <v>0</v>
      </c>
      <c r="O65" t="s">
        <v>620</v>
      </c>
      <c r="P65">
        <f t="shared" si="2"/>
        <v>12.6508871</v>
      </c>
      <c r="Q65">
        <f t="shared" si="3"/>
        <v>3.5000000000000003E-2</v>
      </c>
      <c r="R65">
        <f t="shared" si="4"/>
        <v>2.4E-2</v>
      </c>
      <c r="S65">
        <f t="shared" si="5"/>
        <v>0.79300000000000004</v>
      </c>
      <c r="T65">
        <f t="shared" si="6"/>
        <v>3.7084999999999999</v>
      </c>
      <c r="U65">
        <f t="shared" si="7"/>
        <v>7.2595552149999998</v>
      </c>
      <c r="V65">
        <f t="shared" si="8"/>
        <v>0.05</v>
      </c>
      <c r="W65">
        <f t="shared" si="9"/>
        <v>0.13800000000000001</v>
      </c>
      <c r="X65">
        <f t="shared" si="10"/>
        <v>0.77500000000000002</v>
      </c>
      <c r="Y65">
        <v>223.853184</v>
      </c>
      <c r="Z65">
        <v>0</v>
      </c>
      <c r="AA65">
        <v>27567</v>
      </c>
      <c r="AB65">
        <v>8371</v>
      </c>
      <c r="AC65">
        <v>2.6639960000000001E-2</v>
      </c>
      <c r="AD65">
        <v>0.83875813700000001</v>
      </c>
      <c r="AF65">
        <v>12.6508871</v>
      </c>
      <c r="AG65">
        <v>3.5000000000000003E-2</v>
      </c>
      <c r="AH65">
        <v>2.4E-2</v>
      </c>
      <c r="AI65">
        <v>0.79300000000000004</v>
      </c>
      <c r="AJ65">
        <v>3.7084999999999999</v>
      </c>
      <c r="AK65">
        <v>7.2595552149999998</v>
      </c>
      <c r="AL65">
        <v>0.05</v>
      </c>
      <c r="AM65">
        <v>0.13800000000000001</v>
      </c>
      <c r="AN65">
        <v>0.77500000000000002</v>
      </c>
    </row>
    <row r="66" spans="1:40">
      <c r="A66">
        <v>2134</v>
      </c>
      <c r="B66" t="s">
        <v>702</v>
      </c>
      <c r="C66" t="s">
        <v>696</v>
      </c>
      <c r="D66" t="s">
        <v>697</v>
      </c>
      <c r="E66">
        <v>512</v>
      </c>
      <c r="F66">
        <v>1340</v>
      </c>
      <c r="G66">
        <v>136.24337030000001</v>
      </c>
      <c r="H66">
        <v>421</v>
      </c>
      <c r="I66">
        <v>0.212963294</v>
      </c>
      <c r="J66">
        <v>1761</v>
      </c>
      <c r="K66">
        <v>8269.0306249999994</v>
      </c>
      <c r="L66">
        <v>0.879</v>
      </c>
      <c r="M66">
        <v>0.45123258300000002</v>
      </c>
      <c r="N66">
        <v>0</v>
      </c>
      <c r="O66" t="s">
        <v>620</v>
      </c>
      <c r="P66">
        <f t="shared" si="2"/>
        <v>14.676237110000001</v>
      </c>
      <c r="Q66">
        <f t="shared" si="3"/>
        <v>1.4999999999999999E-2</v>
      </c>
      <c r="R66">
        <f t="shared" si="4"/>
        <v>8.0000000000000002E-3</v>
      </c>
      <c r="S66">
        <f t="shared" si="5"/>
        <v>0.879</v>
      </c>
      <c r="T66">
        <f t="shared" si="6"/>
        <v>3.1454545450000002</v>
      </c>
      <c r="U66">
        <f t="shared" si="7"/>
        <v>7.4171992979999999</v>
      </c>
      <c r="V66">
        <f t="shared" si="8"/>
        <v>2.8000000000000001E-2</v>
      </c>
      <c r="W66">
        <f t="shared" si="9"/>
        <v>5.5E-2</v>
      </c>
      <c r="X66">
        <f t="shared" si="10"/>
        <v>0.89400000000000002</v>
      </c>
      <c r="Y66">
        <v>245.4408038</v>
      </c>
      <c r="Z66">
        <v>0</v>
      </c>
      <c r="AA66">
        <v>90778</v>
      </c>
      <c r="AB66">
        <v>31662</v>
      </c>
      <c r="AC66">
        <v>3.1753482E-2</v>
      </c>
      <c r="AD66">
        <v>0.82960131100000001</v>
      </c>
      <c r="AF66">
        <v>14.676237110000001</v>
      </c>
      <c r="AG66">
        <v>1.4999999999999999E-2</v>
      </c>
      <c r="AH66">
        <v>8.0000000000000002E-3</v>
      </c>
      <c r="AI66">
        <v>0.879</v>
      </c>
      <c r="AJ66">
        <v>3.1454545450000002</v>
      </c>
      <c r="AK66">
        <v>7.4171992979999999</v>
      </c>
      <c r="AL66">
        <v>2.8000000000000001E-2</v>
      </c>
      <c r="AM66">
        <v>5.5E-2</v>
      </c>
      <c r="AN66">
        <v>0.89400000000000002</v>
      </c>
    </row>
    <row r="67" spans="1:40">
      <c r="A67">
        <v>2135</v>
      </c>
      <c r="B67" t="s">
        <v>698</v>
      </c>
      <c r="C67" t="s">
        <v>693</v>
      </c>
      <c r="D67" t="s">
        <v>694</v>
      </c>
      <c r="E67">
        <v>302</v>
      </c>
      <c r="F67">
        <v>855</v>
      </c>
      <c r="G67">
        <v>68.649597990000004</v>
      </c>
      <c r="H67">
        <v>86</v>
      </c>
      <c r="I67">
        <v>0.10730680400000001</v>
      </c>
      <c r="J67">
        <v>941</v>
      </c>
      <c r="K67">
        <v>8769.2482199999995</v>
      </c>
      <c r="L67">
        <v>0.77300000000000002</v>
      </c>
      <c r="M67">
        <v>0.22164948500000001</v>
      </c>
      <c r="N67">
        <v>0</v>
      </c>
      <c r="O67" t="s">
        <v>620</v>
      </c>
      <c r="P67">
        <f t="shared" si="2"/>
        <v>18.41375</v>
      </c>
      <c r="Q67">
        <f t="shared" si="3"/>
        <v>8.9999999999999993E-3</v>
      </c>
      <c r="R67">
        <f t="shared" si="4"/>
        <v>2.5000000000000001E-2</v>
      </c>
      <c r="S67">
        <f t="shared" si="5"/>
        <v>0.77300000000000002</v>
      </c>
      <c r="T67">
        <f t="shared" si="6"/>
        <v>1.8225</v>
      </c>
      <c r="U67">
        <f t="shared" si="7"/>
        <v>7.5405942619999999</v>
      </c>
      <c r="V67">
        <f t="shared" si="8"/>
        <v>4.9000000000000002E-2</v>
      </c>
      <c r="W67">
        <f t="shared" si="9"/>
        <v>3.9E-2</v>
      </c>
      <c r="X67">
        <f t="shared" si="10"/>
        <v>0.85399999999999998</v>
      </c>
      <c r="Y67">
        <v>71.872707590000005</v>
      </c>
      <c r="Z67">
        <v>0</v>
      </c>
      <c r="AA67">
        <v>88250</v>
      </c>
      <c r="AB67">
        <v>31723</v>
      </c>
      <c r="AC67">
        <v>1.0795895999999999E-2</v>
      </c>
      <c r="AD67">
        <v>0.817760245</v>
      </c>
      <c r="AF67">
        <v>18.41375</v>
      </c>
      <c r="AG67">
        <v>8.9999999999999993E-3</v>
      </c>
      <c r="AH67">
        <v>2.5000000000000001E-2</v>
      </c>
      <c r="AI67">
        <v>0.77300000000000002</v>
      </c>
      <c r="AJ67">
        <v>1.8225</v>
      </c>
      <c r="AK67">
        <v>7.5405942619999999</v>
      </c>
      <c r="AL67">
        <v>4.9000000000000002E-2</v>
      </c>
      <c r="AM67">
        <v>3.9E-2</v>
      </c>
      <c r="AN67">
        <v>0.85399999999999998</v>
      </c>
    </row>
    <row r="68" spans="1:40">
      <c r="A68">
        <v>2136</v>
      </c>
      <c r="B68" t="s">
        <v>698</v>
      </c>
      <c r="C68" t="s">
        <v>693</v>
      </c>
      <c r="D68" t="s">
        <v>694</v>
      </c>
      <c r="E68">
        <v>364</v>
      </c>
      <c r="F68">
        <v>1186</v>
      </c>
      <c r="G68">
        <v>139.08409950000001</v>
      </c>
      <c r="H68">
        <v>7</v>
      </c>
      <c r="I68">
        <v>0.21739915500000001</v>
      </c>
      <c r="J68">
        <v>1193</v>
      </c>
      <c r="K68">
        <v>5487.6018260000001</v>
      </c>
      <c r="L68">
        <v>0.85899999999999999</v>
      </c>
      <c r="M68">
        <v>1.8867925000000001E-2</v>
      </c>
      <c r="N68">
        <v>0</v>
      </c>
      <c r="O68" t="s">
        <v>625</v>
      </c>
      <c r="P68">
        <f t="shared" si="2"/>
        <v>20.704150940000002</v>
      </c>
      <c r="Q68">
        <f t="shared" si="3"/>
        <v>2.5000000000000001E-2</v>
      </c>
      <c r="R68">
        <f t="shared" si="4"/>
        <v>1.0999999999999999E-2</v>
      </c>
      <c r="S68">
        <f t="shared" si="5"/>
        <v>0.85899999999999999</v>
      </c>
      <c r="T68">
        <f t="shared" si="6"/>
        <v>0.76</v>
      </c>
      <c r="U68">
        <f t="shared" si="7"/>
        <v>9.6121874999999992</v>
      </c>
      <c r="V68">
        <f t="shared" si="8"/>
        <v>4.0705882352941189E-2</v>
      </c>
      <c r="W68">
        <f t="shared" si="9"/>
        <v>0.11700000000000001</v>
      </c>
      <c r="X68">
        <f t="shared" si="10"/>
        <v>0.88300000000000001</v>
      </c>
      <c r="Y68">
        <v>87.919762270000007</v>
      </c>
      <c r="Z68">
        <v>0</v>
      </c>
      <c r="AA68">
        <v>88250</v>
      </c>
      <c r="AB68">
        <v>31723</v>
      </c>
      <c r="AC68">
        <v>1.0795895999999999E-2</v>
      </c>
      <c r="AD68">
        <v>0.817760245</v>
      </c>
      <c r="AF68">
        <v>20.704150940000002</v>
      </c>
      <c r="AG68">
        <v>2.5000000000000001E-2</v>
      </c>
      <c r="AH68">
        <v>1.0999999999999999E-2</v>
      </c>
      <c r="AI68">
        <v>0.85899999999999999</v>
      </c>
      <c r="AJ68">
        <v>0.76</v>
      </c>
      <c r="AK68">
        <v>9.6121874999999992</v>
      </c>
      <c r="AL68">
        <v>0</v>
      </c>
      <c r="AM68">
        <v>0.11700000000000001</v>
      </c>
      <c r="AN68">
        <v>0.88300000000000001</v>
      </c>
    </row>
    <row r="69" spans="1:40">
      <c r="A69">
        <v>2137</v>
      </c>
      <c r="B69" t="s">
        <v>698</v>
      </c>
      <c r="C69" t="s">
        <v>693</v>
      </c>
      <c r="D69" t="s">
        <v>694</v>
      </c>
      <c r="E69">
        <v>370</v>
      </c>
      <c r="F69">
        <v>1053</v>
      </c>
      <c r="G69">
        <v>66.168082490000003</v>
      </c>
      <c r="H69">
        <v>130</v>
      </c>
      <c r="I69">
        <v>0.10342436000000001</v>
      </c>
      <c r="J69">
        <v>1183</v>
      </c>
      <c r="K69">
        <v>11438.31105</v>
      </c>
      <c r="L69">
        <v>0.79600000000000004</v>
      </c>
      <c r="M69">
        <v>0.26</v>
      </c>
      <c r="N69">
        <v>0</v>
      </c>
      <c r="O69" t="s">
        <v>620</v>
      </c>
      <c r="P69">
        <f t="shared" si="2"/>
        <v>17.300306119999998</v>
      </c>
      <c r="Q69">
        <f t="shared" si="3"/>
        <v>1.452380952380952E-2</v>
      </c>
      <c r="R69">
        <f t="shared" si="4"/>
        <v>0.02</v>
      </c>
      <c r="S69">
        <f t="shared" si="5"/>
        <v>0.79600000000000004</v>
      </c>
      <c r="T69">
        <f t="shared" si="6"/>
        <v>1.4937499999999999</v>
      </c>
      <c r="U69">
        <f t="shared" si="7"/>
        <v>7.6565123970000002</v>
      </c>
      <c r="V69">
        <f t="shared" si="8"/>
        <v>4.0705882352941189E-2</v>
      </c>
      <c r="W69">
        <f t="shared" si="9"/>
        <v>5.2166666666666632E-2</v>
      </c>
      <c r="X69">
        <f t="shared" si="10"/>
        <v>0.91600000000000004</v>
      </c>
      <c r="Y69">
        <v>132.2176742</v>
      </c>
      <c r="Z69">
        <v>0</v>
      </c>
      <c r="AA69">
        <v>88250</v>
      </c>
      <c r="AB69">
        <v>31723</v>
      </c>
      <c r="AC69">
        <v>1.0795895999999999E-2</v>
      </c>
      <c r="AD69">
        <v>0.817760245</v>
      </c>
      <c r="AF69">
        <v>17.300306119999998</v>
      </c>
      <c r="AG69">
        <v>0</v>
      </c>
      <c r="AH69">
        <v>0.02</v>
      </c>
      <c r="AI69">
        <v>0.79600000000000004</v>
      </c>
      <c r="AJ69">
        <v>1.4937499999999999</v>
      </c>
      <c r="AK69">
        <v>7.6565123970000002</v>
      </c>
      <c r="AL69">
        <v>0</v>
      </c>
      <c r="AM69">
        <v>0</v>
      </c>
      <c r="AN69">
        <v>0.91600000000000004</v>
      </c>
    </row>
    <row r="70" spans="1:40">
      <c r="A70">
        <v>2138</v>
      </c>
      <c r="B70" t="s">
        <v>689</v>
      </c>
      <c r="C70" t="s">
        <v>687</v>
      </c>
      <c r="D70" t="s">
        <v>688</v>
      </c>
      <c r="E70">
        <v>1136</v>
      </c>
      <c r="F70">
        <v>1904</v>
      </c>
      <c r="G70">
        <v>64.953447150000002</v>
      </c>
      <c r="H70">
        <v>651</v>
      </c>
      <c r="I70">
        <v>0.101534502</v>
      </c>
      <c r="J70">
        <v>2555</v>
      </c>
      <c r="K70">
        <v>25163.860059999999</v>
      </c>
      <c r="L70">
        <v>0.748</v>
      </c>
      <c r="M70">
        <v>0.364297706</v>
      </c>
      <c r="N70">
        <v>0</v>
      </c>
      <c r="O70" t="s">
        <v>613</v>
      </c>
      <c r="P70">
        <f t="shared" si="2"/>
        <v>8.9833571429999992</v>
      </c>
      <c r="Q70">
        <f t="shared" si="3"/>
        <v>2.8000000000000001E-2</v>
      </c>
      <c r="R70">
        <f t="shared" si="4"/>
        <v>3.6999999999999998E-2</v>
      </c>
      <c r="S70">
        <f t="shared" si="5"/>
        <v>0.748</v>
      </c>
      <c r="T70">
        <f t="shared" si="6"/>
        <v>2.0823636360000002</v>
      </c>
      <c r="U70">
        <f t="shared" si="7"/>
        <v>5.7157848570000001</v>
      </c>
      <c r="V70">
        <f t="shared" si="8"/>
        <v>8.2000000000000003E-2</v>
      </c>
      <c r="W70">
        <f t="shared" si="9"/>
        <v>8.2000000000000003E-2</v>
      </c>
      <c r="X70">
        <f t="shared" si="10"/>
        <v>0.745</v>
      </c>
      <c r="Y70">
        <v>192.17005019999999</v>
      </c>
      <c r="Z70">
        <v>0</v>
      </c>
      <c r="AA70">
        <v>454184</v>
      </c>
      <c r="AB70">
        <v>170596</v>
      </c>
      <c r="AC70">
        <v>6.5715274000000004E-2</v>
      </c>
      <c r="AD70">
        <v>0.72549415100000003</v>
      </c>
      <c r="AF70">
        <v>8.9833571429999992</v>
      </c>
      <c r="AG70">
        <v>2.8000000000000001E-2</v>
      </c>
      <c r="AH70">
        <v>3.6999999999999998E-2</v>
      </c>
      <c r="AI70">
        <v>0.748</v>
      </c>
      <c r="AJ70">
        <v>2.0823636360000002</v>
      </c>
      <c r="AK70">
        <v>5.7157848570000001</v>
      </c>
      <c r="AL70">
        <v>8.2000000000000003E-2</v>
      </c>
      <c r="AM70">
        <v>8.2000000000000003E-2</v>
      </c>
      <c r="AN70">
        <v>0.745</v>
      </c>
    </row>
    <row r="71" spans="1:40">
      <c r="A71">
        <v>2139</v>
      </c>
      <c r="B71" t="s">
        <v>689</v>
      </c>
      <c r="C71" t="s">
        <v>687</v>
      </c>
      <c r="D71" t="s">
        <v>688</v>
      </c>
      <c r="E71">
        <v>678</v>
      </c>
      <c r="F71">
        <v>1226</v>
      </c>
      <c r="G71">
        <v>23.125632190000001</v>
      </c>
      <c r="H71">
        <v>97</v>
      </c>
      <c r="I71">
        <v>3.6147433999999999E-2</v>
      </c>
      <c r="J71">
        <v>1323</v>
      </c>
      <c r="K71">
        <v>36600.108319999999</v>
      </c>
      <c r="L71">
        <v>0.57599999999999996</v>
      </c>
      <c r="M71">
        <v>0.12516129000000001</v>
      </c>
      <c r="N71">
        <v>0</v>
      </c>
      <c r="O71" t="s">
        <v>606</v>
      </c>
      <c r="P71">
        <f t="shared" si="2"/>
        <v>9.7927433629999996</v>
      </c>
      <c r="Q71">
        <f t="shared" si="3"/>
        <v>0.115</v>
      </c>
      <c r="R71">
        <f t="shared" si="4"/>
        <v>7.0999999999999994E-2</v>
      </c>
      <c r="S71">
        <f t="shared" si="5"/>
        <v>0.57599999999999996</v>
      </c>
      <c r="T71">
        <f t="shared" si="6"/>
        <v>1.9114285710000001</v>
      </c>
      <c r="U71">
        <f t="shared" si="7"/>
        <v>5.8727777779999997</v>
      </c>
      <c r="V71">
        <f t="shared" si="8"/>
        <v>8.2000000000000003E-2</v>
      </c>
      <c r="W71">
        <f t="shared" si="9"/>
        <v>0.23200000000000001</v>
      </c>
      <c r="X71">
        <f t="shared" si="10"/>
        <v>0.54600000000000004</v>
      </c>
      <c r="Y71">
        <v>139.686947</v>
      </c>
      <c r="Z71">
        <v>0</v>
      </c>
      <c r="AA71">
        <v>454184</v>
      </c>
      <c r="AB71">
        <v>170596</v>
      </c>
      <c r="AC71">
        <v>6.5715274000000004E-2</v>
      </c>
      <c r="AD71">
        <v>0.72549415100000003</v>
      </c>
      <c r="AF71">
        <v>9.7927433629999996</v>
      </c>
      <c r="AG71">
        <v>0.115</v>
      </c>
      <c r="AH71">
        <v>7.0999999999999994E-2</v>
      </c>
      <c r="AI71">
        <v>0.57599999999999996</v>
      </c>
      <c r="AJ71">
        <v>1.9114285710000001</v>
      </c>
      <c r="AK71">
        <v>5.8727777779999997</v>
      </c>
      <c r="AL71">
        <v>8.2000000000000003E-2</v>
      </c>
      <c r="AM71">
        <v>0.23200000000000001</v>
      </c>
      <c r="AN71">
        <v>0.54600000000000004</v>
      </c>
    </row>
    <row r="72" spans="1:40">
      <c r="A72">
        <v>2140</v>
      </c>
      <c r="B72" t="s">
        <v>689</v>
      </c>
      <c r="C72" t="s">
        <v>687</v>
      </c>
      <c r="D72" t="s">
        <v>688</v>
      </c>
      <c r="E72">
        <v>353</v>
      </c>
      <c r="F72">
        <v>810</v>
      </c>
      <c r="G72">
        <v>33.649781249999997</v>
      </c>
      <c r="H72">
        <v>77</v>
      </c>
      <c r="I72">
        <v>5.2601094000000001E-2</v>
      </c>
      <c r="J72">
        <v>887</v>
      </c>
      <c r="K72">
        <v>16862.76715</v>
      </c>
      <c r="L72">
        <v>0.76600000000000001</v>
      </c>
      <c r="M72">
        <v>0.17906976699999999</v>
      </c>
      <c r="N72">
        <v>1</v>
      </c>
      <c r="O72" t="s">
        <v>613</v>
      </c>
      <c r="P72">
        <f t="shared" si="2"/>
        <v>9.9700000000000006</v>
      </c>
      <c r="Q72">
        <f t="shared" si="3"/>
        <v>7.8E-2</v>
      </c>
      <c r="R72">
        <f t="shared" si="4"/>
        <v>4.2999999999999997E-2</v>
      </c>
      <c r="S72">
        <f t="shared" si="5"/>
        <v>0.76600000000000001</v>
      </c>
      <c r="T72">
        <f t="shared" si="6"/>
        <v>1.642727273</v>
      </c>
      <c r="U72">
        <f t="shared" si="7"/>
        <v>5.4505729169999997</v>
      </c>
      <c r="V72">
        <f t="shared" si="8"/>
        <v>7.6999999999999999E-2</v>
      </c>
      <c r="W72">
        <f t="shared" si="9"/>
        <v>0.17899999999999999</v>
      </c>
      <c r="X72">
        <f t="shared" si="10"/>
        <v>0.68400000000000005</v>
      </c>
      <c r="Y72">
        <v>134.51380589999999</v>
      </c>
      <c r="Z72">
        <v>0</v>
      </c>
      <c r="AA72">
        <v>454184</v>
      </c>
      <c r="AB72">
        <v>170596</v>
      </c>
      <c r="AC72">
        <v>6.5715274000000004E-2</v>
      </c>
      <c r="AD72">
        <v>0.72549415100000003</v>
      </c>
      <c r="AF72">
        <v>9.9700000000000006</v>
      </c>
      <c r="AG72">
        <v>7.8E-2</v>
      </c>
      <c r="AH72">
        <v>4.2999999999999997E-2</v>
      </c>
      <c r="AI72">
        <v>0.76600000000000001</v>
      </c>
      <c r="AJ72">
        <v>1.642727273</v>
      </c>
      <c r="AK72">
        <v>5.4505729169999997</v>
      </c>
      <c r="AL72">
        <v>7.6999999999999999E-2</v>
      </c>
      <c r="AM72">
        <v>0.17899999999999999</v>
      </c>
      <c r="AN72">
        <v>0.68400000000000005</v>
      </c>
    </row>
    <row r="73" spans="1:40">
      <c r="A73">
        <v>2141</v>
      </c>
      <c r="B73" t="s">
        <v>689</v>
      </c>
      <c r="C73" t="s">
        <v>687</v>
      </c>
      <c r="D73" t="s">
        <v>688</v>
      </c>
      <c r="E73">
        <v>310</v>
      </c>
      <c r="F73">
        <v>710</v>
      </c>
      <c r="G73">
        <v>22.639551820000001</v>
      </c>
      <c r="H73">
        <v>113</v>
      </c>
      <c r="I73">
        <v>3.5387121000000001E-2</v>
      </c>
      <c r="J73">
        <v>823</v>
      </c>
      <c r="K73">
        <v>23257.0488</v>
      </c>
      <c r="L73">
        <v>0.73599999999999999</v>
      </c>
      <c r="M73">
        <v>0.26713947999999998</v>
      </c>
      <c r="N73">
        <v>1</v>
      </c>
      <c r="O73" t="s">
        <v>606</v>
      </c>
      <c r="P73">
        <f t="shared" si="2"/>
        <v>10.35346667</v>
      </c>
      <c r="Q73">
        <f t="shared" si="3"/>
        <v>6.3E-2</v>
      </c>
      <c r="R73">
        <f t="shared" si="4"/>
        <v>2.8000000000000001E-2</v>
      </c>
      <c r="S73">
        <f t="shared" si="5"/>
        <v>0.73599999999999999</v>
      </c>
      <c r="T73">
        <f t="shared" si="6"/>
        <v>2.1875</v>
      </c>
      <c r="U73">
        <f t="shared" si="7"/>
        <v>5.2677411169999999</v>
      </c>
      <c r="V73">
        <f t="shared" si="8"/>
        <v>0.05</v>
      </c>
      <c r="W73">
        <f t="shared" si="9"/>
        <v>0.12</v>
      </c>
      <c r="X73">
        <f t="shared" si="10"/>
        <v>0.75</v>
      </c>
      <c r="Y73">
        <v>114.6106802</v>
      </c>
      <c r="Z73">
        <v>0</v>
      </c>
      <c r="AA73">
        <v>454184</v>
      </c>
      <c r="AB73">
        <v>170596</v>
      </c>
      <c r="AC73">
        <v>6.5715274000000004E-2</v>
      </c>
      <c r="AD73">
        <v>0.72549415100000003</v>
      </c>
      <c r="AF73">
        <v>10.35346667</v>
      </c>
      <c r="AG73">
        <v>6.3E-2</v>
      </c>
      <c r="AH73">
        <v>2.8000000000000001E-2</v>
      </c>
      <c r="AI73">
        <v>0.73599999999999999</v>
      </c>
      <c r="AJ73">
        <v>2.1875</v>
      </c>
      <c r="AK73">
        <v>5.2677411169999999</v>
      </c>
      <c r="AL73">
        <v>0.05</v>
      </c>
      <c r="AM73">
        <v>0.12</v>
      </c>
      <c r="AN73">
        <v>0.75</v>
      </c>
    </row>
    <row r="74" spans="1:40">
      <c r="A74">
        <v>2142</v>
      </c>
      <c r="B74" t="s">
        <v>689</v>
      </c>
      <c r="C74" t="s">
        <v>687</v>
      </c>
      <c r="D74" t="s">
        <v>688</v>
      </c>
      <c r="E74">
        <v>1022</v>
      </c>
      <c r="F74">
        <v>1947</v>
      </c>
      <c r="G74">
        <v>37.396433709999997</v>
      </c>
      <c r="H74">
        <v>96</v>
      </c>
      <c r="I74">
        <v>5.8456306999999999E-2</v>
      </c>
      <c r="J74">
        <v>2043</v>
      </c>
      <c r="K74">
        <v>34949.180079999998</v>
      </c>
      <c r="L74">
        <v>0.70599999999999996</v>
      </c>
      <c r="M74">
        <v>8.5867621000000005E-2</v>
      </c>
      <c r="N74">
        <v>0</v>
      </c>
      <c r="O74" t="s">
        <v>606</v>
      </c>
      <c r="P74">
        <f t="shared" si="2"/>
        <v>9.7886451609999998</v>
      </c>
      <c r="Q74">
        <f t="shared" si="3"/>
        <v>7.8E-2</v>
      </c>
      <c r="R74">
        <f t="shared" si="4"/>
        <v>4.2000000000000003E-2</v>
      </c>
      <c r="S74">
        <f t="shared" si="5"/>
        <v>0.70599999999999996</v>
      </c>
      <c r="T74">
        <f t="shared" si="6"/>
        <v>2.2829999999999999</v>
      </c>
      <c r="U74">
        <f t="shared" si="7"/>
        <v>5.9945555559999999</v>
      </c>
      <c r="V74">
        <f t="shared" si="8"/>
        <v>6.4000000000000001E-2</v>
      </c>
      <c r="W74">
        <f t="shared" si="9"/>
        <v>0.20899999999999999</v>
      </c>
      <c r="X74">
        <f t="shared" si="10"/>
        <v>0.66200000000000003</v>
      </c>
      <c r="Y74">
        <v>148.5746733</v>
      </c>
      <c r="Z74">
        <v>0</v>
      </c>
      <c r="AA74">
        <v>454184</v>
      </c>
      <c r="AB74">
        <v>170596</v>
      </c>
      <c r="AC74">
        <v>6.5715274000000004E-2</v>
      </c>
      <c r="AD74">
        <v>0.72549415100000003</v>
      </c>
      <c r="AF74">
        <v>9.7886451609999998</v>
      </c>
      <c r="AG74">
        <v>7.8E-2</v>
      </c>
      <c r="AH74">
        <v>4.2000000000000003E-2</v>
      </c>
      <c r="AI74">
        <v>0.70599999999999996</v>
      </c>
      <c r="AJ74">
        <v>2.2829999999999999</v>
      </c>
      <c r="AK74">
        <v>5.9945555559999999</v>
      </c>
      <c r="AL74">
        <v>6.4000000000000001E-2</v>
      </c>
      <c r="AM74">
        <v>0.20899999999999999</v>
      </c>
      <c r="AN74">
        <v>0.66200000000000003</v>
      </c>
    </row>
    <row r="75" spans="1:40">
      <c r="A75">
        <v>2143</v>
      </c>
      <c r="B75" t="s">
        <v>689</v>
      </c>
      <c r="C75" t="s">
        <v>687</v>
      </c>
      <c r="D75" t="s">
        <v>688</v>
      </c>
      <c r="E75">
        <v>913</v>
      </c>
      <c r="F75">
        <v>1690</v>
      </c>
      <c r="G75">
        <v>26.85012824</v>
      </c>
      <c r="H75">
        <v>327</v>
      </c>
      <c r="I75">
        <v>4.1968255000000003E-2</v>
      </c>
      <c r="J75">
        <v>2017</v>
      </c>
      <c r="K75">
        <v>48060.134980000003</v>
      </c>
      <c r="L75">
        <v>0.63800000000000001</v>
      </c>
      <c r="M75">
        <v>0.26370967699999998</v>
      </c>
      <c r="N75">
        <v>1</v>
      </c>
      <c r="O75" t="s">
        <v>606</v>
      </c>
      <c r="P75">
        <f t="shared" si="2"/>
        <v>12.76045455</v>
      </c>
      <c r="Q75">
        <f t="shared" si="3"/>
        <v>0.11700000000000001</v>
      </c>
      <c r="R75">
        <f t="shared" si="4"/>
        <v>4.8000000000000001E-2</v>
      </c>
      <c r="S75">
        <f t="shared" si="5"/>
        <v>0.63800000000000001</v>
      </c>
      <c r="T75">
        <f t="shared" si="6"/>
        <v>1.999180328</v>
      </c>
      <c r="U75">
        <f t="shared" si="7"/>
        <v>6.3604909559999996</v>
      </c>
      <c r="V75">
        <f t="shared" si="8"/>
        <v>9.0999999999999998E-2</v>
      </c>
      <c r="W75">
        <f t="shared" si="9"/>
        <v>0.28100000000000003</v>
      </c>
      <c r="X75">
        <f t="shared" si="10"/>
        <v>0.502</v>
      </c>
      <c r="Y75">
        <v>277.62439369999998</v>
      </c>
      <c r="Z75">
        <v>0</v>
      </c>
      <c r="AA75">
        <v>454184</v>
      </c>
      <c r="AB75">
        <v>170596</v>
      </c>
      <c r="AC75">
        <v>6.5715274000000004E-2</v>
      </c>
      <c r="AD75">
        <v>0.72549415100000003</v>
      </c>
      <c r="AF75">
        <v>12.76045455</v>
      </c>
      <c r="AG75">
        <v>0.11700000000000001</v>
      </c>
      <c r="AH75">
        <v>4.8000000000000001E-2</v>
      </c>
      <c r="AI75">
        <v>0.63800000000000001</v>
      </c>
      <c r="AJ75">
        <v>1.999180328</v>
      </c>
      <c r="AK75">
        <v>6.3604909559999996</v>
      </c>
      <c r="AL75">
        <v>9.0999999999999998E-2</v>
      </c>
      <c r="AM75">
        <v>0.28100000000000003</v>
      </c>
      <c r="AN75">
        <v>0.502</v>
      </c>
    </row>
    <row r="76" spans="1:40">
      <c r="A76">
        <v>2144</v>
      </c>
      <c r="B76" t="s">
        <v>689</v>
      </c>
      <c r="C76" t="s">
        <v>687</v>
      </c>
      <c r="D76" t="s">
        <v>688</v>
      </c>
      <c r="E76">
        <v>689</v>
      </c>
      <c r="F76">
        <v>1886</v>
      </c>
      <c r="G76">
        <v>29.767653960000001</v>
      </c>
      <c r="H76">
        <v>72</v>
      </c>
      <c r="I76">
        <v>4.6529831000000001E-2</v>
      </c>
      <c r="J76">
        <v>1958</v>
      </c>
      <c r="K76">
        <v>42080.531089999997</v>
      </c>
      <c r="L76">
        <v>0.71699999999999997</v>
      </c>
      <c r="M76">
        <v>9.4612351999999997E-2</v>
      </c>
      <c r="N76">
        <v>0</v>
      </c>
      <c r="O76" t="s">
        <v>613</v>
      </c>
      <c r="P76">
        <f t="shared" ref="P76:P139" si="11">IF(OR(IFERROR(AF76=0,TRUE),ISERROR(AF76)),AVERAGEIFS(AF:AF,$B:$B,$B76,AF:AF,"&gt;0"),AF76)</f>
        <v>10.662622949999999</v>
      </c>
      <c r="Q76">
        <f t="shared" ref="Q76:Q139" si="12">IF(OR(IFERROR(AG76=0,TRUE),ISERROR(AG76)),AVERAGEIFS(AG:AG,$B:$B,$B76,AG:AG,"&gt;0"),AG76)</f>
        <v>6.5000000000000002E-2</v>
      </c>
      <c r="R76">
        <f t="shared" ref="R76:R139" si="13">IF(OR(IFERROR(AH76=0,TRUE),ISERROR(AH76)),AVERAGEIFS(AH:AH,$B:$B,$B76,AH:AH,"&gt;0"),AH76)</f>
        <v>5.1999999999999998E-2</v>
      </c>
      <c r="S76">
        <f t="shared" ref="S76:S139" si="14">IF(OR(IFERROR(AI76=0,TRUE),ISERROR(AI76)),AVERAGEIFS(AI:AI,$B:$B,$B76,AI:AI,"&gt;0"),AI76)</f>
        <v>0.71699999999999997</v>
      </c>
      <c r="T76">
        <f t="shared" ref="T76:T139" si="15">IF(OR(IFERROR(AJ76=0,TRUE),ISERROR(AJ76)),AVERAGEIFS(AJ:AJ,$B:$B,$B76,AJ:AJ,"&gt;0"),AJ76)</f>
        <v>1.733333333</v>
      </c>
      <c r="U76">
        <f t="shared" ref="U76:U139" si="16">IF(OR(IFERROR(AK76=0,TRUE),ISERROR(AK76)),AVERAGEIFS(AK:AK,$B:$B,$B76,AK:AK,"&gt;0"),AK76)</f>
        <v>5.731251758</v>
      </c>
      <c r="V76">
        <f t="shared" ref="V76:V139" si="17">IF(OR(IFERROR(AL76=0,TRUE),ISERROR(AL76)),AVERAGEIFS(AL:AL,$B:$B,$B76,AL:AL,"&gt;0"),AL76)</f>
        <v>0.1</v>
      </c>
      <c r="W76">
        <f t="shared" ref="W76:W139" si="18">IF(OR(IFERROR(AM76=0,TRUE),ISERROR(AM76)),AVERAGEIFS(AM:AM,$B:$B,$B76,AM:AM,"&gt;0"),AM76)</f>
        <v>0.216</v>
      </c>
      <c r="X76">
        <f t="shared" ref="X76:X139" si="19">IF(OR(IFERROR(AN76=0,TRUE),ISERROR(AN76)),AVERAGEIFS(AN:AN,$B:$B,$B76,AN:AN,"&gt;0"),AN76)</f>
        <v>0.64200000000000002</v>
      </c>
      <c r="Y76">
        <v>115.153301</v>
      </c>
      <c r="Z76">
        <v>0</v>
      </c>
      <c r="AA76">
        <v>454184</v>
      </c>
      <c r="AB76">
        <v>170596</v>
      </c>
      <c r="AC76">
        <v>6.5715274000000004E-2</v>
      </c>
      <c r="AD76">
        <v>0.72549415100000003</v>
      </c>
      <c r="AF76">
        <v>10.662622949999999</v>
      </c>
      <c r="AG76">
        <v>6.5000000000000002E-2</v>
      </c>
      <c r="AH76">
        <v>5.1999999999999998E-2</v>
      </c>
      <c r="AI76">
        <v>0.71699999999999997</v>
      </c>
      <c r="AJ76">
        <v>1.733333333</v>
      </c>
      <c r="AK76">
        <v>5.731251758</v>
      </c>
      <c r="AL76">
        <v>0.1</v>
      </c>
      <c r="AM76">
        <v>0.216</v>
      </c>
      <c r="AN76">
        <v>0.64200000000000002</v>
      </c>
    </row>
    <row r="77" spans="1:40">
      <c r="A77">
        <v>2145</v>
      </c>
      <c r="B77" t="s">
        <v>689</v>
      </c>
      <c r="C77" t="s">
        <v>687</v>
      </c>
      <c r="D77" t="s">
        <v>688</v>
      </c>
      <c r="E77">
        <v>582</v>
      </c>
      <c r="F77">
        <v>1592</v>
      </c>
      <c r="G77">
        <v>24.302490240000001</v>
      </c>
      <c r="H77">
        <v>112</v>
      </c>
      <c r="I77">
        <v>3.7987193000000002E-2</v>
      </c>
      <c r="J77">
        <v>1704</v>
      </c>
      <c r="K77">
        <v>44857.223330000001</v>
      </c>
      <c r="L77">
        <v>0.63200000000000001</v>
      </c>
      <c r="M77">
        <v>0.16138328499999999</v>
      </c>
      <c r="N77">
        <v>0</v>
      </c>
      <c r="O77" t="s">
        <v>606</v>
      </c>
      <c r="P77">
        <f t="shared" si="11"/>
        <v>9.9852542369999995</v>
      </c>
      <c r="Q77">
        <f t="shared" si="12"/>
        <v>8.4000000000000005E-2</v>
      </c>
      <c r="R77">
        <f t="shared" si="13"/>
        <v>5.1999999999999998E-2</v>
      </c>
      <c r="S77">
        <f t="shared" si="14"/>
        <v>0.63200000000000001</v>
      </c>
      <c r="T77">
        <f t="shared" si="15"/>
        <v>1.8574999999999999</v>
      </c>
      <c r="U77">
        <f t="shared" si="16"/>
        <v>6.392326454</v>
      </c>
      <c r="V77">
        <f t="shared" si="17"/>
        <v>5.2999999999999999E-2</v>
      </c>
      <c r="W77">
        <f t="shared" si="18"/>
        <v>0.26800000000000002</v>
      </c>
      <c r="X77">
        <f t="shared" si="19"/>
        <v>0.621</v>
      </c>
      <c r="Y77">
        <v>209.9936659</v>
      </c>
      <c r="Z77">
        <v>0</v>
      </c>
      <c r="AA77">
        <v>454184</v>
      </c>
      <c r="AB77">
        <v>170596</v>
      </c>
      <c r="AC77">
        <v>6.5715274000000004E-2</v>
      </c>
      <c r="AD77">
        <v>0.72549415100000003</v>
      </c>
      <c r="AF77">
        <v>9.9852542369999995</v>
      </c>
      <c r="AG77">
        <v>8.4000000000000005E-2</v>
      </c>
      <c r="AH77">
        <v>5.1999999999999998E-2</v>
      </c>
      <c r="AI77">
        <v>0.63200000000000001</v>
      </c>
      <c r="AJ77">
        <v>1.8574999999999999</v>
      </c>
      <c r="AK77">
        <v>6.392326454</v>
      </c>
      <c r="AL77">
        <v>5.2999999999999999E-2</v>
      </c>
      <c r="AM77">
        <v>0.26800000000000002</v>
      </c>
      <c r="AN77">
        <v>0.621</v>
      </c>
    </row>
    <row r="78" spans="1:40">
      <c r="A78">
        <v>2146</v>
      </c>
      <c r="B78" t="s">
        <v>689</v>
      </c>
      <c r="C78" t="s">
        <v>687</v>
      </c>
      <c r="D78" t="s">
        <v>688</v>
      </c>
      <c r="E78">
        <v>417</v>
      </c>
      <c r="F78">
        <v>1139</v>
      </c>
      <c r="G78">
        <v>23.460987660000001</v>
      </c>
      <c r="H78">
        <v>223</v>
      </c>
      <c r="I78">
        <v>3.6675159999999998E-2</v>
      </c>
      <c r="J78">
        <v>1362</v>
      </c>
      <c r="K78">
        <v>37136.852299999999</v>
      </c>
      <c r="L78">
        <v>0.69599999999999995</v>
      </c>
      <c r="M78">
        <v>0.34843750000000001</v>
      </c>
      <c r="N78">
        <v>0</v>
      </c>
      <c r="O78" t="s">
        <v>606</v>
      </c>
      <c r="P78">
        <f t="shared" si="11"/>
        <v>11.53184783</v>
      </c>
      <c r="Q78">
        <f t="shared" si="12"/>
        <v>6.7000000000000004E-2</v>
      </c>
      <c r="R78">
        <f t="shared" si="13"/>
        <v>3.5999999999999997E-2</v>
      </c>
      <c r="S78">
        <f t="shared" si="14"/>
        <v>0.69599999999999995</v>
      </c>
      <c r="T78">
        <f t="shared" si="15"/>
        <v>1.6119444439999999</v>
      </c>
      <c r="U78">
        <f t="shared" si="16"/>
        <v>5.9632243679999997</v>
      </c>
      <c r="V78">
        <f t="shared" si="17"/>
        <v>0.108</v>
      </c>
      <c r="W78">
        <f t="shared" si="18"/>
        <v>0.20399999999999999</v>
      </c>
      <c r="X78">
        <f t="shared" si="19"/>
        <v>0.58599999999999997</v>
      </c>
      <c r="Y78">
        <v>82.063580950000002</v>
      </c>
      <c r="Z78">
        <v>0</v>
      </c>
      <c r="AA78">
        <v>454184</v>
      </c>
      <c r="AB78">
        <v>170596</v>
      </c>
      <c r="AC78">
        <v>6.5715274000000004E-2</v>
      </c>
      <c r="AD78">
        <v>0.72549415100000003</v>
      </c>
      <c r="AF78">
        <v>11.53184783</v>
      </c>
      <c r="AG78">
        <v>6.7000000000000004E-2</v>
      </c>
      <c r="AH78">
        <v>3.5999999999999997E-2</v>
      </c>
      <c r="AI78">
        <v>0.69599999999999995</v>
      </c>
      <c r="AJ78">
        <v>1.6119444439999999</v>
      </c>
      <c r="AK78">
        <v>5.9632243679999997</v>
      </c>
      <c r="AL78">
        <v>0.108</v>
      </c>
      <c r="AM78">
        <v>0.20399999999999999</v>
      </c>
      <c r="AN78">
        <v>0.58599999999999997</v>
      </c>
    </row>
    <row r="79" spans="1:40">
      <c r="A79">
        <v>2147</v>
      </c>
      <c r="B79" t="s">
        <v>700</v>
      </c>
      <c r="C79" t="s">
        <v>687</v>
      </c>
      <c r="D79" t="s">
        <v>688</v>
      </c>
      <c r="E79">
        <v>1096</v>
      </c>
      <c r="F79">
        <v>3709</v>
      </c>
      <c r="G79">
        <v>59.657609119999996</v>
      </c>
      <c r="H79">
        <v>559</v>
      </c>
      <c r="I79">
        <v>9.3255216000000002E-2</v>
      </c>
      <c r="J79">
        <v>4268</v>
      </c>
      <c r="K79">
        <v>45766.877</v>
      </c>
      <c r="L79">
        <v>0.60899999999999999</v>
      </c>
      <c r="M79">
        <v>0.33776434999999999</v>
      </c>
      <c r="N79">
        <v>0</v>
      </c>
      <c r="O79" t="s">
        <v>613</v>
      </c>
      <c r="P79">
        <f t="shared" si="11"/>
        <v>10.55956044</v>
      </c>
      <c r="Q79">
        <f t="shared" si="12"/>
        <v>0.115</v>
      </c>
      <c r="R79">
        <f t="shared" si="13"/>
        <v>5.5E-2</v>
      </c>
      <c r="S79">
        <f t="shared" si="14"/>
        <v>0.60899999999999999</v>
      </c>
      <c r="T79">
        <f t="shared" si="15"/>
        <v>2.3062831859999999</v>
      </c>
      <c r="U79">
        <f t="shared" si="16"/>
        <v>5.5296428569999998</v>
      </c>
      <c r="V79">
        <f t="shared" si="17"/>
        <v>0.14299999999999999</v>
      </c>
      <c r="W79">
        <f t="shared" si="18"/>
        <v>0.317</v>
      </c>
      <c r="X79">
        <f t="shared" si="19"/>
        <v>0.441</v>
      </c>
      <c r="Y79">
        <v>163.17877609999999</v>
      </c>
      <c r="Z79">
        <v>0</v>
      </c>
      <c r="AA79">
        <v>15503</v>
      </c>
      <c r="AB79">
        <v>7551</v>
      </c>
      <c r="AC79">
        <v>4.9459042000000002E-2</v>
      </c>
      <c r="AD79">
        <v>0.76960973700000002</v>
      </c>
      <c r="AF79">
        <v>10.55956044</v>
      </c>
      <c r="AG79">
        <v>0.115</v>
      </c>
      <c r="AH79">
        <v>5.5E-2</v>
      </c>
      <c r="AI79">
        <v>0.60899999999999999</v>
      </c>
      <c r="AJ79">
        <v>2.3062831859999999</v>
      </c>
      <c r="AK79">
        <v>5.5296428569999998</v>
      </c>
      <c r="AL79">
        <v>0.14299999999999999</v>
      </c>
      <c r="AM79">
        <v>0.317</v>
      </c>
      <c r="AN79">
        <v>0.441</v>
      </c>
    </row>
    <row r="80" spans="1:40">
      <c r="A80">
        <v>2148</v>
      </c>
      <c r="B80" t="s">
        <v>704</v>
      </c>
      <c r="C80" t="s">
        <v>687</v>
      </c>
      <c r="D80" t="s">
        <v>688</v>
      </c>
      <c r="E80">
        <v>273</v>
      </c>
      <c r="F80">
        <v>779</v>
      </c>
      <c r="G80">
        <v>92.747605359999994</v>
      </c>
      <c r="H80">
        <v>0</v>
      </c>
      <c r="I80">
        <v>0.144980041</v>
      </c>
      <c r="J80">
        <v>779</v>
      </c>
      <c r="K80">
        <v>5373.1533980000004</v>
      </c>
      <c r="L80">
        <v>0.84399999999999997</v>
      </c>
      <c r="M80">
        <v>0</v>
      </c>
      <c r="N80">
        <v>0</v>
      </c>
      <c r="O80" t="s">
        <v>620</v>
      </c>
      <c r="P80">
        <f t="shared" si="11"/>
        <v>6.8369387760000002</v>
      </c>
      <c r="Q80">
        <f t="shared" si="12"/>
        <v>2.7E-2</v>
      </c>
      <c r="R80">
        <f t="shared" si="13"/>
        <v>2.1999999999999999E-2</v>
      </c>
      <c r="S80">
        <f t="shared" si="14"/>
        <v>0.84399999999999997</v>
      </c>
      <c r="T80">
        <f t="shared" si="15"/>
        <v>3.544</v>
      </c>
      <c r="U80">
        <f t="shared" si="16"/>
        <v>4.9231092439999999</v>
      </c>
      <c r="V80">
        <f t="shared" si="17"/>
        <v>9.5000000000000001E-2</v>
      </c>
      <c r="W80">
        <f t="shared" si="18"/>
        <v>0.127</v>
      </c>
      <c r="X80">
        <f t="shared" si="19"/>
        <v>0.77800000000000002</v>
      </c>
      <c r="Y80">
        <v>127.5450271</v>
      </c>
      <c r="Z80">
        <v>0</v>
      </c>
      <c r="AA80">
        <v>11276</v>
      </c>
      <c r="AB80">
        <v>3933</v>
      </c>
      <c r="AC80">
        <v>3.4575116000000003E-2</v>
      </c>
      <c r="AD80">
        <v>0.79388848300000003</v>
      </c>
      <c r="AF80">
        <v>6.8369387760000002</v>
      </c>
      <c r="AG80">
        <v>2.7E-2</v>
      </c>
      <c r="AH80">
        <v>2.1999999999999999E-2</v>
      </c>
      <c r="AI80">
        <v>0.84399999999999997</v>
      </c>
      <c r="AJ80">
        <v>3.544</v>
      </c>
      <c r="AK80">
        <v>4.9231092439999999</v>
      </c>
      <c r="AL80">
        <v>9.5000000000000001E-2</v>
      </c>
      <c r="AM80">
        <v>0.127</v>
      </c>
      <c r="AN80">
        <v>0.77800000000000002</v>
      </c>
    </row>
    <row r="81" spans="1:40">
      <c r="A81">
        <v>2149</v>
      </c>
      <c r="B81" t="s">
        <v>705</v>
      </c>
      <c r="C81" t="s">
        <v>696</v>
      </c>
      <c r="D81" t="s">
        <v>697</v>
      </c>
      <c r="E81">
        <v>760</v>
      </c>
      <c r="F81">
        <v>2393</v>
      </c>
      <c r="G81">
        <v>131.61277659999999</v>
      </c>
      <c r="H81">
        <v>3148</v>
      </c>
      <c r="I81">
        <v>0.205712114</v>
      </c>
      <c r="J81">
        <v>5541</v>
      </c>
      <c r="K81">
        <v>26935.70103</v>
      </c>
      <c r="L81">
        <v>0.84299999999999997</v>
      </c>
      <c r="M81">
        <v>0.80552712400000004</v>
      </c>
      <c r="N81">
        <v>0</v>
      </c>
      <c r="O81" t="s">
        <v>613</v>
      </c>
      <c r="P81">
        <f t="shared" si="11"/>
        <v>11.814785710000001</v>
      </c>
      <c r="Q81">
        <f t="shared" si="12"/>
        <v>1.0999999999999999E-2</v>
      </c>
      <c r="R81">
        <f t="shared" si="13"/>
        <v>2.3E-2</v>
      </c>
      <c r="S81">
        <f t="shared" si="14"/>
        <v>0.84299999999999997</v>
      </c>
      <c r="T81">
        <f t="shared" si="15"/>
        <v>2.018085106</v>
      </c>
      <c r="U81">
        <f t="shared" si="16"/>
        <v>6.8022607659999998</v>
      </c>
      <c r="V81">
        <f t="shared" si="17"/>
        <v>4.8000000000000001E-2</v>
      </c>
      <c r="W81">
        <f t="shared" si="18"/>
        <v>3.5999999999999997E-2</v>
      </c>
      <c r="X81">
        <f t="shared" si="19"/>
        <v>0.86699999999999999</v>
      </c>
      <c r="Y81">
        <v>108.5977</v>
      </c>
      <c r="Z81">
        <v>0</v>
      </c>
      <c r="AA81">
        <v>152832</v>
      </c>
      <c r="AB81">
        <v>45686</v>
      </c>
      <c r="AC81">
        <v>2.1596295000000001E-2</v>
      </c>
      <c r="AD81">
        <v>0.84212384500000004</v>
      </c>
      <c r="AF81">
        <v>11.814785710000001</v>
      </c>
      <c r="AG81">
        <v>1.0999999999999999E-2</v>
      </c>
      <c r="AH81">
        <v>2.3E-2</v>
      </c>
      <c r="AI81">
        <v>0.84299999999999997</v>
      </c>
      <c r="AJ81">
        <v>2.018085106</v>
      </c>
      <c r="AK81">
        <v>6.8022607659999998</v>
      </c>
      <c r="AL81">
        <v>4.8000000000000001E-2</v>
      </c>
      <c r="AM81">
        <v>3.5999999999999997E-2</v>
      </c>
      <c r="AN81">
        <v>0.86699999999999999</v>
      </c>
    </row>
    <row r="82" spans="1:40">
      <c r="A82">
        <v>2150</v>
      </c>
      <c r="B82" t="s">
        <v>705</v>
      </c>
      <c r="C82" t="s">
        <v>696</v>
      </c>
      <c r="D82" t="s">
        <v>697</v>
      </c>
      <c r="E82">
        <v>294</v>
      </c>
      <c r="F82">
        <v>881</v>
      </c>
      <c r="G82">
        <v>65.04368169</v>
      </c>
      <c r="H82">
        <v>44</v>
      </c>
      <c r="I82">
        <v>0.10166663500000001</v>
      </c>
      <c r="J82">
        <v>925</v>
      </c>
      <c r="K82">
        <v>9098.3634899999997</v>
      </c>
      <c r="L82">
        <v>0.83499999999999996</v>
      </c>
      <c r="M82">
        <v>0.13017751499999999</v>
      </c>
      <c r="N82">
        <v>0</v>
      </c>
      <c r="O82" t="s">
        <v>620</v>
      </c>
      <c r="P82">
        <f t="shared" si="11"/>
        <v>11.43696203</v>
      </c>
      <c r="Q82">
        <f t="shared" si="12"/>
        <v>2.4E-2</v>
      </c>
      <c r="R82">
        <f t="shared" si="13"/>
        <v>2.5999999999999999E-2</v>
      </c>
      <c r="S82">
        <f t="shared" si="14"/>
        <v>0.83499999999999996</v>
      </c>
      <c r="T82">
        <f t="shared" si="15"/>
        <v>2.0978571430000001</v>
      </c>
      <c r="U82">
        <f t="shared" si="16"/>
        <v>6.7307029480000002</v>
      </c>
      <c r="V82">
        <f t="shared" si="17"/>
        <v>2.3E-2</v>
      </c>
      <c r="W82">
        <f t="shared" si="18"/>
        <v>6.9000000000000006E-2</v>
      </c>
      <c r="X82">
        <f t="shared" si="19"/>
        <v>0.90800000000000003</v>
      </c>
      <c r="Y82">
        <v>113.03029549999999</v>
      </c>
      <c r="Z82">
        <v>0</v>
      </c>
      <c r="AA82">
        <v>152832</v>
      </c>
      <c r="AB82">
        <v>45686</v>
      </c>
      <c r="AC82">
        <v>2.1596295000000001E-2</v>
      </c>
      <c r="AD82">
        <v>0.84212384500000004</v>
      </c>
      <c r="AF82">
        <v>11.43696203</v>
      </c>
      <c r="AG82">
        <v>2.4E-2</v>
      </c>
      <c r="AH82">
        <v>2.5999999999999999E-2</v>
      </c>
      <c r="AI82">
        <v>0.83499999999999996</v>
      </c>
      <c r="AJ82">
        <v>2.0978571430000001</v>
      </c>
      <c r="AK82">
        <v>6.7307029480000002</v>
      </c>
      <c r="AL82">
        <v>2.3E-2</v>
      </c>
      <c r="AM82">
        <v>6.9000000000000006E-2</v>
      </c>
      <c r="AN82">
        <v>0.90800000000000003</v>
      </c>
    </row>
    <row r="83" spans="1:40">
      <c r="A83">
        <v>2151</v>
      </c>
      <c r="B83" t="s">
        <v>689</v>
      </c>
      <c r="C83" t="s">
        <v>687</v>
      </c>
      <c r="D83" t="s">
        <v>688</v>
      </c>
      <c r="E83">
        <v>547</v>
      </c>
      <c r="F83">
        <v>1109</v>
      </c>
      <c r="G83">
        <v>65.617111750000007</v>
      </c>
      <c r="H83">
        <v>242</v>
      </c>
      <c r="I83">
        <v>0.102571643</v>
      </c>
      <c r="J83">
        <v>1351</v>
      </c>
      <c r="K83">
        <v>13171.281660000001</v>
      </c>
      <c r="L83">
        <v>0.74099999999999999</v>
      </c>
      <c r="M83">
        <v>0.30671736399999999</v>
      </c>
      <c r="N83">
        <v>1</v>
      </c>
      <c r="O83" t="s">
        <v>613</v>
      </c>
      <c r="P83">
        <f t="shared" si="11"/>
        <v>10.86676301</v>
      </c>
      <c r="Q83">
        <f t="shared" si="12"/>
        <v>0.106</v>
      </c>
      <c r="R83">
        <f t="shared" si="13"/>
        <v>3.5999999999999997E-2</v>
      </c>
      <c r="S83">
        <f t="shared" si="14"/>
        <v>0.74099999999999999</v>
      </c>
      <c r="T83">
        <f t="shared" si="15"/>
        <v>2.6218181820000002</v>
      </c>
      <c r="U83">
        <f t="shared" si="16"/>
        <v>6.5272621810000002</v>
      </c>
      <c r="V83">
        <f t="shared" si="17"/>
        <v>6.2E-2</v>
      </c>
      <c r="W83">
        <f t="shared" si="18"/>
        <v>0.23899999999999999</v>
      </c>
      <c r="X83">
        <f t="shared" si="19"/>
        <v>0.627</v>
      </c>
      <c r="Y83">
        <v>78.375693400000003</v>
      </c>
      <c r="Z83">
        <v>0</v>
      </c>
      <c r="AA83">
        <v>454184</v>
      </c>
      <c r="AB83">
        <v>170596</v>
      </c>
      <c r="AC83">
        <v>6.5715274000000004E-2</v>
      </c>
      <c r="AD83">
        <v>0.72549415100000003</v>
      </c>
      <c r="AF83">
        <v>10.86676301</v>
      </c>
      <c r="AG83">
        <v>0.106</v>
      </c>
      <c r="AH83">
        <v>3.5999999999999997E-2</v>
      </c>
      <c r="AI83">
        <v>0.74099999999999999</v>
      </c>
      <c r="AJ83">
        <v>2.6218181820000002</v>
      </c>
      <c r="AK83">
        <v>6.5272621810000002</v>
      </c>
      <c r="AL83">
        <v>6.2E-2</v>
      </c>
      <c r="AM83">
        <v>0.23899999999999999</v>
      </c>
      <c r="AN83">
        <v>0.627</v>
      </c>
    </row>
    <row r="84" spans="1:40">
      <c r="A84">
        <v>2152</v>
      </c>
      <c r="B84" t="s">
        <v>689</v>
      </c>
      <c r="C84" t="s">
        <v>687</v>
      </c>
      <c r="D84" t="s">
        <v>688</v>
      </c>
      <c r="E84">
        <v>242</v>
      </c>
      <c r="F84">
        <v>564</v>
      </c>
      <c r="G84">
        <v>39.94514058</v>
      </c>
      <c r="H84">
        <v>904</v>
      </c>
      <c r="I84">
        <v>6.2443894999999999E-2</v>
      </c>
      <c r="J84">
        <v>1468</v>
      </c>
      <c r="K84">
        <v>23509.103650000001</v>
      </c>
      <c r="L84">
        <v>0.79</v>
      </c>
      <c r="M84">
        <v>0.78883071599999999</v>
      </c>
      <c r="N84">
        <v>1</v>
      </c>
      <c r="O84" t="s">
        <v>613</v>
      </c>
      <c r="P84">
        <f t="shared" si="11"/>
        <v>12.93875676</v>
      </c>
      <c r="Q84">
        <f t="shared" si="12"/>
        <v>4.1000000000000002E-2</v>
      </c>
      <c r="R84">
        <f t="shared" si="13"/>
        <v>3.3000000000000002E-2</v>
      </c>
      <c r="S84">
        <f t="shared" si="14"/>
        <v>0.79</v>
      </c>
      <c r="T84">
        <f t="shared" si="15"/>
        <v>2.4153125000000002</v>
      </c>
      <c r="U84">
        <f t="shared" si="16"/>
        <v>8.1393874830000001</v>
      </c>
      <c r="V84">
        <f t="shared" si="17"/>
        <v>5.6000000000000001E-2</v>
      </c>
      <c r="W84">
        <f t="shared" si="18"/>
        <v>8.5000000000000006E-2</v>
      </c>
      <c r="X84">
        <f t="shared" si="19"/>
        <v>0.79100000000000004</v>
      </c>
      <c r="Y84">
        <v>187.31738050000001</v>
      </c>
      <c r="Z84">
        <v>0</v>
      </c>
      <c r="AA84">
        <v>454184</v>
      </c>
      <c r="AB84">
        <v>170596</v>
      </c>
      <c r="AC84">
        <v>6.5715274000000004E-2</v>
      </c>
      <c r="AD84">
        <v>0.72549415100000003</v>
      </c>
      <c r="AF84">
        <v>12.93875676</v>
      </c>
      <c r="AG84">
        <v>4.1000000000000002E-2</v>
      </c>
      <c r="AH84">
        <v>3.3000000000000002E-2</v>
      </c>
      <c r="AI84">
        <v>0.79</v>
      </c>
      <c r="AJ84">
        <v>2.4153125000000002</v>
      </c>
      <c r="AK84">
        <v>8.1393874830000001</v>
      </c>
      <c r="AL84">
        <v>5.6000000000000001E-2</v>
      </c>
      <c r="AM84">
        <v>8.5000000000000006E-2</v>
      </c>
      <c r="AN84">
        <v>0.79100000000000004</v>
      </c>
    </row>
    <row r="85" spans="1:40">
      <c r="A85">
        <v>2153</v>
      </c>
      <c r="B85" t="s">
        <v>686</v>
      </c>
      <c r="C85" t="s">
        <v>687</v>
      </c>
      <c r="D85" t="s">
        <v>688</v>
      </c>
      <c r="E85">
        <v>408</v>
      </c>
      <c r="F85">
        <v>943</v>
      </c>
      <c r="G85">
        <v>46.555887200000001</v>
      </c>
      <c r="H85">
        <v>1995</v>
      </c>
      <c r="I85">
        <v>7.2774136000000003E-2</v>
      </c>
      <c r="J85">
        <v>2938</v>
      </c>
      <c r="K85">
        <v>40371.485829999998</v>
      </c>
      <c r="L85">
        <v>0.72399999999999998</v>
      </c>
      <c r="M85">
        <v>0.83021223499999997</v>
      </c>
      <c r="N85">
        <v>0</v>
      </c>
      <c r="O85" t="s">
        <v>606</v>
      </c>
      <c r="P85">
        <f t="shared" si="11"/>
        <v>11.771734690000001</v>
      </c>
      <c r="Q85">
        <f t="shared" si="12"/>
        <v>6.2E-2</v>
      </c>
      <c r="R85">
        <f t="shared" si="13"/>
        <v>2.5000000000000001E-2</v>
      </c>
      <c r="S85">
        <f t="shared" si="14"/>
        <v>0.72399999999999998</v>
      </c>
      <c r="T85">
        <f t="shared" si="15"/>
        <v>1.77275</v>
      </c>
      <c r="U85">
        <f t="shared" si="16"/>
        <v>6.7021300449999996</v>
      </c>
      <c r="V85">
        <f t="shared" si="17"/>
        <v>5.5E-2</v>
      </c>
      <c r="W85">
        <f t="shared" si="18"/>
        <v>0.17799999999999999</v>
      </c>
      <c r="X85">
        <f t="shared" si="19"/>
        <v>0.623</v>
      </c>
      <c r="Y85">
        <v>434.0590302</v>
      </c>
      <c r="Z85">
        <v>1</v>
      </c>
      <c r="AA85">
        <v>140316</v>
      </c>
      <c r="AB85">
        <v>49638</v>
      </c>
      <c r="AC85">
        <v>9.1283894000000004E-2</v>
      </c>
      <c r="AD85">
        <v>0.60339869999999995</v>
      </c>
      <c r="AF85">
        <v>11.771734690000001</v>
      </c>
      <c r="AG85">
        <v>6.2E-2</v>
      </c>
      <c r="AH85">
        <v>2.5000000000000001E-2</v>
      </c>
      <c r="AI85">
        <v>0.72399999999999998</v>
      </c>
      <c r="AJ85">
        <v>1.77275</v>
      </c>
      <c r="AK85">
        <v>6.7021300449999996</v>
      </c>
      <c r="AL85">
        <v>5.5E-2</v>
      </c>
      <c r="AM85">
        <v>0.17799999999999999</v>
      </c>
      <c r="AN85">
        <v>0.623</v>
      </c>
    </row>
    <row r="86" spans="1:40">
      <c r="A86">
        <v>2154</v>
      </c>
      <c r="B86" t="s">
        <v>689</v>
      </c>
      <c r="C86" t="s">
        <v>687</v>
      </c>
      <c r="D86" t="s">
        <v>688</v>
      </c>
      <c r="E86">
        <v>519</v>
      </c>
      <c r="F86">
        <v>1070</v>
      </c>
      <c r="G86">
        <v>81.893575170000005</v>
      </c>
      <c r="H86">
        <v>305</v>
      </c>
      <c r="I86">
        <v>0.12801385200000001</v>
      </c>
      <c r="J86">
        <v>1375</v>
      </c>
      <c r="K86">
        <v>10741.02512</v>
      </c>
      <c r="L86">
        <v>0.72299999999999998</v>
      </c>
      <c r="M86">
        <v>0.37014563099999997</v>
      </c>
      <c r="N86">
        <v>0</v>
      </c>
      <c r="O86" t="s">
        <v>613</v>
      </c>
      <c r="P86">
        <f t="shared" si="11"/>
        <v>7.4509999999999996</v>
      </c>
      <c r="Q86">
        <f t="shared" si="12"/>
        <v>6.3E-2</v>
      </c>
      <c r="R86">
        <f t="shared" si="13"/>
        <v>4.2000000000000003E-2</v>
      </c>
      <c r="S86">
        <f t="shared" si="14"/>
        <v>0.72299999999999998</v>
      </c>
      <c r="T86">
        <f t="shared" si="15"/>
        <v>2.5165853660000002</v>
      </c>
      <c r="U86">
        <f t="shared" si="16"/>
        <v>5.0601029410000002</v>
      </c>
      <c r="V86">
        <f t="shared" si="17"/>
        <v>9.4E-2</v>
      </c>
      <c r="W86">
        <f t="shared" si="18"/>
        <v>0.17499999999999999</v>
      </c>
      <c r="X86">
        <f t="shared" si="19"/>
        <v>0.66</v>
      </c>
      <c r="Y86">
        <v>258.71059009999999</v>
      </c>
      <c r="Z86">
        <v>0</v>
      </c>
      <c r="AA86">
        <v>454184</v>
      </c>
      <c r="AB86">
        <v>170596</v>
      </c>
      <c r="AC86">
        <v>6.5715274000000004E-2</v>
      </c>
      <c r="AD86">
        <v>0.72549415100000003</v>
      </c>
      <c r="AF86">
        <v>7.4509999999999996</v>
      </c>
      <c r="AG86">
        <v>6.3E-2</v>
      </c>
      <c r="AH86">
        <v>4.2000000000000003E-2</v>
      </c>
      <c r="AI86">
        <v>0.72299999999999998</v>
      </c>
      <c r="AJ86">
        <v>2.5165853660000002</v>
      </c>
      <c r="AK86">
        <v>5.0601029410000002</v>
      </c>
      <c r="AL86">
        <v>9.4E-2</v>
      </c>
      <c r="AM86">
        <v>0.17499999999999999</v>
      </c>
      <c r="AN86">
        <v>0.66</v>
      </c>
    </row>
    <row r="87" spans="1:40">
      <c r="A87">
        <v>2155</v>
      </c>
      <c r="B87" t="s">
        <v>686</v>
      </c>
      <c r="C87" t="s">
        <v>687</v>
      </c>
      <c r="D87" t="s">
        <v>688</v>
      </c>
      <c r="E87">
        <v>380</v>
      </c>
      <c r="F87">
        <v>887</v>
      </c>
      <c r="G87">
        <v>32.421309000000001</v>
      </c>
      <c r="H87">
        <v>304</v>
      </c>
      <c r="I87">
        <v>5.0680192999999998E-2</v>
      </c>
      <c r="J87">
        <v>1191</v>
      </c>
      <c r="K87">
        <v>23500.30514</v>
      </c>
      <c r="L87">
        <v>0.67500000000000004</v>
      </c>
      <c r="M87">
        <v>0.44444444399999999</v>
      </c>
      <c r="N87">
        <v>0</v>
      </c>
      <c r="O87" t="s">
        <v>606</v>
      </c>
      <c r="P87">
        <f t="shared" si="11"/>
        <v>9.9002352939999998</v>
      </c>
      <c r="Q87">
        <f t="shared" si="12"/>
        <v>6.9000000000000006E-2</v>
      </c>
      <c r="R87">
        <f t="shared" si="13"/>
        <v>4.2999999999999997E-2</v>
      </c>
      <c r="S87">
        <f t="shared" si="14"/>
        <v>0.67500000000000004</v>
      </c>
      <c r="T87">
        <f t="shared" si="15"/>
        <v>2.3194444440000002</v>
      </c>
      <c r="U87">
        <f t="shared" si="16"/>
        <v>5.6511510789999999</v>
      </c>
      <c r="V87">
        <f t="shared" si="17"/>
        <v>8.6999999999999994E-2</v>
      </c>
      <c r="W87">
        <f t="shared" si="18"/>
        <v>0.14499999999999999</v>
      </c>
      <c r="X87">
        <f t="shared" si="19"/>
        <v>0.61599999999999999</v>
      </c>
      <c r="Y87">
        <v>252.64279970000001</v>
      </c>
      <c r="Z87">
        <v>1</v>
      </c>
      <c r="AA87">
        <v>140316</v>
      </c>
      <c r="AB87">
        <v>49638</v>
      </c>
      <c r="AC87">
        <v>9.1283894000000004E-2</v>
      </c>
      <c r="AD87">
        <v>0.60339869999999995</v>
      </c>
      <c r="AF87">
        <v>9.9002352939999998</v>
      </c>
      <c r="AG87">
        <v>6.9000000000000006E-2</v>
      </c>
      <c r="AH87">
        <v>4.2999999999999997E-2</v>
      </c>
      <c r="AI87">
        <v>0.67500000000000004</v>
      </c>
      <c r="AJ87">
        <v>2.3194444440000002</v>
      </c>
      <c r="AK87">
        <v>5.6511510789999999</v>
      </c>
      <c r="AL87">
        <v>8.6999999999999994E-2</v>
      </c>
      <c r="AM87">
        <v>0.14499999999999999</v>
      </c>
      <c r="AN87">
        <v>0.61599999999999999</v>
      </c>
    </row>
    <row r="88" spans="1:40">
      <c r="A88">
        <v>2156</v>
      </c>
      <c r="B88" t="s">
        <v>686</v>
      </c>
      <c r="C88" t="s">
        <v>687</v>
      </c>
      <c r="D88" t="s">
        <v>688</v>
      </c>
      <c r="E88">
        <v>456</v>
      </c>
      <c r="F88">
        <v>1090</v>
      </c>
      <c r="G88">
        <v>97.374232199999994</v>
      </c>
      <c r="H88">
        <v>155</v>
      </c>
      <c r="I88">
        <v>0.152211441</v>
      </c>
      <c r="J88">
        <v>1245</v>
      </c>
      <c r="K88">
        <v>8179.4114280000003</v>
      </c>
      <c r="L88">
        <v>0.76200000000000001</v>
      </c>
      <c r="M88">
        <v>0.25368248799999998</v>
      </c>
      <c r="N88">
        <v>0</v>
      </c>
      <c r="O88" t="s">
        <v>613</v>
      </c>
      <c r="P88">
        <f t="shared" si="11"/>
        <v>11.343191490000001</v>
      </c>
      <c r="Q88">
        <f t="shared" si="12"/>
        <v>4.9000000000000002E-2</v>
      </c>
      <c r="R88">
        <f t="shared" si="13"/>
        <v>4.7E-2</v>
      </c>
      <c r="S88">
        <f t="shared" si="14"/>
        <v>0.76200000000000001</v>
      </c>
      <c r="T88">
        <f t="shared" si="15"/>
        <v>1.9891666670000001</v>
      </c>
      <c r="U88">
        <f t="shared" si="16"/>
        <v>6.7222735350000002</v>
      </c>
      <c r="V88">
        <f t="shared" si="17"/>
        <v>0.11600000000000001</v>
      </c>
      <c r="W88">
        <f t="shared" si="18"/>
        <v>0.15</v>
      </c>
      <c r="X88">
        <f t="shared" si="19"/>
        <v>0.63900000000000001</v>
      </c>
      <c r="Y88">
        <v>164.1745397</v>
      </c>
      <c r="Z88">
        <v>1</v>
      </c>
      <c r="AA88">
        <v>140316</v>
      </c>
      <c r="AB88">
        <v>49638</v>
      </c>
      <c r="AC88">
        <v>9.1283894000000004E-2</v>
      </c>
      <c r="AD88">
        <v>0.60339869999999995</v>
      </c>
      <c r="AF88">
        <v>11.343191490000001</v>
      </c>
      <c r="AG88">
        <v>4.9000000000000002E-2</v>
      </c>
      <c r="AH88">
        <v>4.7E-2</v>
      </c>
      <c r="AI88">
        <v>0.76200000000000001</v>
      </c>
      <c r="AJ88">
        <v>1.9891666670000001</v>
      </c>
      <c r="AK88">
        <v>6.7222735350000002</v>
      </c>
      <c r="AL88">
        <v>0.11600000000000001</v>
      </c>
      <c r="AM88">
        <v>0.15</v>
      </c>
      <c r="AN88">
        <v>0.63900000000000001</v>
      </c>
    </row>
    <row r="89" spans="1:40">
      <c r="A89">
        <v>2157</v>
      </c>
      <c r="B89" t="s">
        <v>689</v>
      </c>
      <c r="C89" t="s">
        <v>687</v>
      </c>
      <c r="D89" t="s">
        <v>688</v>
      </c>
      <c r="E89">
        <v>563</v>
      </c>
      <c r="F89">
        <v>1148</v>
      </c>
      <c r="G89">
        <v>48.81152574</v>
      </c>
      <c r="H89">
        <v>291</v>
      </c>
      <c r="I89">
        <v>7.6297143999999997E-2</v>
      </c>
      <c r="J89">
        <v>1439</v>
      </c>
      <c r="K89">
        <v>18860.47006</v>
      </c>
      <c r="L89">
        <v>0.71199999999999997</v>
      </c>
      <c r="M89">
        <v>0.340749415</v>
      </c>
      <c r="N89">
        <v>1</v>
      </c>
      <c r="O89" t="s">
        <v>606</v>
      </c>
      <c r="P89">
        <f t="shared" si="11"/>
        <v>9.3235064940000001</v>
      </c>
      <c r="Q89">
        <f t="shared" si="12"/>
        <v>6.8000000000000005E-2</v>
      </c>
      <c r="R89">
        <f t="shared" si="13"/>
        <v>4.4999999999999998E-2</v>
      </c>
      <c r="S89">
        <f t="shared" si="14"/>
        <v>0.71199999999999997</v>
      </c>
      <c r="T89">
        <f t="shared" si="15"/>
        <v>1.92</v>
      </c>
      <c r="U89">
        <f t="shared" si="16"/>
        <v>6.009086162</v>
      </c>
      <c r="V89">
        <f t="shared" si="17"/>
        <v>7.6999999999999999E-2</v>
      </c>
      <c r="W89">
        <f t="shared" si="18"/>
        <v>0.191</v>
      </c>
      <c r="X89">
        <f t="shared" si="19"/>
        <v>0.65500000000000003</v>
      </c>
      <c r="Y89">
        <v>154.79758899999999</v>
      </c>
      <c r="Z89">
        <v>0</v>
      </c>
      <c r="AA89">
        <v>454184</v>
      </c>
      <c r="AB89">
        <v>170596</v>
      </c>
      <c r="AC89">
        <v>6.5715274000000004E-2</v>
      </c>
      <c r="AD89">
        <v>0.72549415100000003</v>
      </c>
      <c r="AF89">
        <v>9.3235064940000001</v>
      </c>
      <c r="AG89">
        <v>6.8000000000000005E-2</v>
      </c>
      <c r="AH89">
        <v>4.4999999999999998E-2</v>
      </c>
      <c r="AI89">
        <v>0.71199999999999997</v>
      </c>
      <c r="AJ89">
        <v>1.92</v>
      </c>
      <c r="AK89">
        <v>6.009086162</v>
      </c>
      <c r="AL89">
        <v>7.6999999999999999E-2</v>
      </c>
      <c r="AM89">
        <v>0.191</v>
      </c>
      <c r="AN89">
        <v>0.65500000000000003</v>
      </c>
    </row>
    <row r="90" spans="1:40">
      <c r="A90">
        <v>2158</v>
      </c>
      <c r="B90" t="s">
        <v>689</v>
      </c>
      <c r="C90" t="s">
        <v>687</v>
      </c>
      <c r="D90" t="s">
        <v>688</v>
      </c>
      <c r="E90">
        <v>716</v>
      </c>
      <c r="F90">
        <v>1743</v>
      </c>
      <c r="G90">
        <v>456.98609249999998</v>
      </c>
      <c r="H90">
        <v>14</v>
      </c>
      <c r="I90">
        <v>0.71434936599999999</v>
      </c>
      <c r="J90">
        <v>1757</v>
      </c>
      <c r="K90">
        <v>2459.580821</v>
      </c>
      <c r="L90">
        <v>0.879</v>
      </c>
      <c r="M90">
        <v>1.9178081999999999E-2</v>
      </c>
      <c r="N90">
        <v>0</v>
      </c>
      <c r="O90" t="s">
        <v>620</v>
      </c>
      <c r="P90">
        <f t="shared" si="11"/>
        <v>11.89697368</v>
      </c>
      <c r="Q90">
        <f t="shared" si="12"/>
        <v>5.8000000000000003E-2</v>
      </c>
      <c r="R90">
        <f t="shared" si="13"/>
        <v>4.8000000000000001E-2</v>
      </c>
      <c r="S90">
        <f t="shared" si="14"/>
        <v>0.879</v>
      </c>
      <c r="T90">
        <f t="shared" si="15"/>
        <v>2.8887499999999999</v>
      </c>
      <c r="U90">
        <f t="shared" si="16"/>
        <v>8.1967999999999996</v>
      </c>
      <c r="V90">
        <f t="shared" si="17"/>
        <v>9.7000000000000003E-2</v>
      </c>
      <c r="W90">
        <f t="shared" si="18"/>
        <v>0.16900000000000001</v>
      </c>
      <c r="X90">
        <f t="shared" si="19"/>
        <v>0.73399999999999999</v>
      </c>
      <c r="Y90">
        <v>30.4899837</v>
      </c>
      <c r="Z90">
        <v>0</v>
      </c>
      <c r="AA90">
        <v>454184</v>
      </c>
      <c r="AB90">
        <v>170596</v>
      </c>
      <c r="AC90">
        <v>6.5715274000000004E-2</v>
      </c>
      <c r="AD90">
        <v>0.72549415100000003</v>
      </c>
      <c r="AF90">
        <v>11.89697368</v>
      </c>
      <c r="AG90">
        <v>5.8000000000000003E-2</v>
      </c>
      <c r="AH90">
        <v>4.8000000000000001E-2</v>
      </c>
      <c r="AI90">
        <v>0.879</v>
      </c>
      <c r="AJ90">
        <v>2.8887499999999999</v>
      </c>
      <c r="AK90">
        <v>8.1967999999999996</v>
      </c>
      <c r="AL90">
        <v>9.7000000000000003E-2</v>
      </c>
      <c r="AM90">
        <v>0.16900000000000001</v>
      </c>
      <c r="AN90">
        <v>0.73399999999999999</v>
      </c>
    </row>
    <row r="91" spans="1:40">
      <c r="A91">
        <v>2159</v>
      </c>
      <c r="B91" t="s">
        <v>689</v>
      </c>
      <c r="C91" t="s">
        <v>687</v>
      </c>
      <c r="D91" t="s">
        <v>688</v>
      </c>
      <c r="E91">
        <v>990</v>
      </c>
      <c r="F91">
        <v>2263</v>
      </c>
      <c r="G91">
        <v>436.29805709999999</v>
      </c>
      <c r="H91">
        <v>217</v>
      </c>
      <c r="I91">
        <v>0.68200497299999996</v>
      </c>
      <c r="J91">
        <v>2480</v>
      </c>
      <c r="K91">
        <v>3636.337121</v>
      </c>
      <c r="L91">
        <v>0.877</v>
      </c>
      <c r="M91">
        <v>0.17978458999999999</v>
      </c>
      <c r="N91">
        <v>0</v>
      </c>
      <c r="O91" t="s">
        <v>620</v>
      </c>
      <c r="P91">
        <f t="shared" si="11"/>
        <v>12.519934429999999</v>
      </c>
      <c r="Q91">
        <f t="shared" si="12"/>
        <v>0.04</v>
      </c>
      <c r="R91">
        <f t="shared" si="13"/>
        <v>4.3999999999999997E-2</v>
      </c>
      <c r="S91">
        <f t="shared" si="14"/>
        <v>0.877</v>
      </c>
      <c r="T91">
        <f t="shared" si="15"/>
        <v>2.7545588240000001</v>
      </c>
      <c r="U91">
        <f t="shared" si="16"/>
        <v>8.1874733640000006</v>
      </c>
      <c r="V91">
        <f t="shared" si="17"/>
        <v>7.1999999999999995E-2</v>
      </c>
      <c r="W91">
        <f t="shared" si="18"/>
        <v>0.13700000000000001</v>
      </c>
      <c r="X91">
        <f t="shared" si="19"/>
        <v>0.78600000000000003</v>
      </c>
      <c r="Y91">
        <v>31.578044550000001</v>
      </c>
      <c r="Z91">
        <v>0</v>
      </c>
      <c r="AA91">
        <v>454184</v>
      </c>
      <c r="AB91">
        <v>170596</v>
      </c>
      <c r="AC91">
        <v>6.5715274000000004E-2</v>
      </c>
      <c r="AD91">
        <v>0.72549415100000003</v>
      </c>
      <c r="AF91">
        <v>12.519934429999999</v>
      </c>
      <c r="AG91">
        <v>0.04</v>
      </c>
      <c r="AH91">
        <v>4.3999999999999997E-2</v>
      </c>
      <c r="AI91">
        <v>0.877</v>
      </c>
      <c r="AJ91">
        <v>2.7545588240000001</v>
      </c>
      <c r="AK91">
        <v>8.1874733640000006</v>
      </c>
      <c r="AL91">
        <v>7.1999999999999995E-2</v>
      </c>
      <c r="AM91">
        <v>0.13700000000000001</v>
      </c>
      <c r="AN91">
        <v>0.78600000000000003</v>
      </c>
    </row>
    <row r="92" spans="1:40">
      <c r="A92">
        <v>2160</v>
      </c>
      <c r="B92" t="s">
        <v>689</v>
      </c>
      <c r="C92" t="s">
        <v>687</v>
      </c>
      <c r="D92" t="s">
        <v>688</v>
      </c>
      <c r="E92">
        <v>575</v>
      </c>
      <c r="F92">
        <v>1383</v>
      </c>
      <c r="G92">
        <v>54.144167869999997</v>
      </c>
      <c r="H92">
        <v>96</v>
      </c>
      <c r="I92">
        <v>8.4637934999999997E-2</v>
      </c>
      <c r="J92">
        <v>1479</v>
      </c>
      <c r="K92">
        <v>17474.43389</v>
      </c>
      <c r="L92">
        <v>0.71799999999999997</v>
      </c>
      <c r="M92">
        <v>0.14307004500000001</v>
      </c>
      <c r="N92">
        <v>0</v>
      </c>
      <c r="O92" t="s">
        <v>613</v>
      </c>
      <c r="P92">
        <f t="shared" si="11"/>
        <v>7.0093258430000001</v>
      </c>
      <c r="Q92">
        <f t="shared" si="12"/>
        <v>7.1999999999999995E-2</v>
      </c>
      <c r="R92">
        <f t="shared" si="13"/>
        <v>0.05</v>
      </c>
      <c r="S92">
        <f t="shared" si="14"/>
        <v>0.71799999999999997</v>
      </c>
      <c r="T92">
        <f t="shared" si="15"/>
        <v>2.0230555560000001</v>
      </c>
      <c r="U92">
        <f t="shared" si="16"/>
        <v>4.7392277229999999</v>
      </c>
      <c r="V92">
        <f t="shared" si="17"/>
        <v>0.10100000000000001</v>
      </c>
      <c r="W92">
        <f t="shared" si="18"/>
        <v>0.20899999999999999</v>
      </c>
      <c r="X92">
        <f t="shared" si="19"/>
        <v>0.60099999999999998</v>
      </c>
      <c r="Y92">
        <v>157.7592707</v>
      </c>
      <c r="Z92">
        <v>0</v>
      </c>
      <c r="AA92">
        <v>454184</v>
      </c>
      <c r="AB92">
        <v>170596</v>
      </c>
      <c r="AC92">
        <v>6.5715274000000004E-2</v>
      </c>
      <c r="AD92">
        <v>0.72549415100000003</v>
      </c>
      <c r="AF92">
        <v>7.0093258430000001</v>
      </c>
      <c r="AG92">
        <v>7.1999999999999995E-2</v>
      </c>
      <c r="AH92">
        <v>0.05</v>
      </c>
      <c r="AI92">
        <v>0.71799999999999997</v>
      </c>
      <c r="AJ92">
        <v>2.0230555560000001</v>
      </c>
      <c r="AK92">
        <v>4.7392277229999999</v>
      </c>
      <c r="AL92">
        <v>0.10100000000000001</v>
      </c>
      <c r="AM92">
        <v>0.20899999999999999</v>
      </c>
      <c r="AN92">
        <v>0.60099999999999998</v>
      </c>
    </row>
    <row r="93" spans="1:40">
      <c r="A93">
        <v>2161</v>
      </c>
      <c r="B93" t="s">
        <v>689</v>
      </c>
      <c r="C93" t="s">
        <v>687</v>
      </c>
      <c r="D93" t="s">
        <v>688</v>
      </c>
      <c r="E93">
        <v>579</v>
      </c>
      <c r="F93">
        <v>1453</v>
      </c>
      <c r="G93">
        <v>58.321516379999998</v>
      </c>
      <c r="H93">
        <v>222</v>
      </c>
      <c r="I93">
        <v>9.1166102999999998E-2</v>
      </c>
      <c r="J93">
        <v>1675</v>
      </c>
      <c r="K93">
        <v>18373.056919999999</v>
      </c>
      <c r="L93">
        <v>0.63900000000000001</v>
      </c>
      <c r="M93">
        <v>0.27715355800000002</v>
      </c>
      <c r="N93">
        <v>1</v>
      </c>
      <c r="O93" t="s">
        <v>613</v>
      </c>
      <c r="P93">
        <f t="shared" si="11"/>
        <v>8.1390833330000003</v>
      </c>
      <c r="Q93">
        <f t="shared" si="12"/>
        <v>0.126</v>
      </c>
      <c r="R93">
        <f t="shared" si="13"/>
        <v>3.9E-2</v>
      </c>
      <c r="S93">
        <f t="shared" si="14"/>
        <v>0.63900000000000001</v>
      </c>
      <c r="T93">
        <f t="shared" si="15"/>
        <v>2.053157895</v>
      </c>
      <c r="U93">
        <f t="shared" si="16"/>
        <v>5.0117310919999998</v>
      </c>
      <c r="V93">
        <f t="shared" si="17"/>
        <v>8.7999999999999995E-2</v>
      </c>
      <c r="W93">
        <f t="shared" si="18"/>
        <v>0.28599999999999998</v>
      </c>
      <c r="X93">
        <f t="shared" si="19"/>
        <v>0.55300000000000005</v>
      </c>
      <c r="Y93">
        <v>168.9034953</v>
      </c>
      <c r="Z93">
        <v>0</v>
      </c>
      <c r="AA93">
        <v>454184</v>
      </c>
      <c r="AB93">
        <v>170596</v>
      </c>
      <c r="AC93">
        <v>6.5715274000000004E-2</v>
      </c>
      <c r="AD93">
        <v>0.72549415100000003</v>
      </c>
      <c r="AF93">
        <v>8.1390833330000003</v>
      </c>
      <c r="AG93">
        <v>0.126</v>
      </c>
      <c r="AH93">
        <v>3.9E-2</v>
      </c>
      <c r="AI93">
        <v>0.63900000000000001</v>
      </c>
      <c r="AJ93">
        <v>2.053157895</v>
      </c>
      <c r="AK93">
        <v>5.0117310919999998</v>
      </c>
      <c r="AL93">
        <v>8.7999999999999995E-2</v>
      </c>
      <c r="AM93">
        <v>0.28599999999999998</v>
      </c>
      <c r="AN93">
        <v>0.55300000000000005</v>
      </c>
    </row>
    <row r="94" spans="1:40">
      <c r="A94">
        <v>2162</v>
      </c>
      <c r="B94" t="s">
        <v>689</v>
      </c>
      <c r="C94" t="s">
        <v>687</v>
      </c>
      <c r="D94" t="s">
        <v>688</v>
      </c>
      <c r="E94">
        <v>419</v>
      </c>
      <c r="F94">
        <v>1384</v>
      </c>
      <c r="G94">
        <v>70.59363415</v>
      </c>
      <c r="H94">
        <v>569</v>
      </c>
      <c r="I94">
        <v>0.110347158</v>
      </c>
      <c r="J94">
        <v>1953</v>
      </c>
      <c r="K94">
        <v>17698.688709999999</v>
      </c>
      <c r="L94">
        <v>0.78200000000000003</v>
      </c>
      <c r="M94">
        <v>0.57591093100000001</v>
      </c>
      <c r="N94">
        <v>0</v>
      </c>
      <c r="O94" t="s">
        <v>613</v>
      </c>
      <c r="P94">
        <f t="shared" si="11"/>
        <v>11.454720500000001</v>
      </c>
      <c r="Q94">
        <f t="shared" si="12"/>
        <v>5.1999999999999998E-2</v>
      </c>
      <c r="R94">
        <f t="shared" si="13"/>
        <v>1.7999999999999999E-2</v>
      </c>
      <c r="S94">
        <f t="shared" si="14"/>
        <v>0.78200000000000003</v>
      </c>
      <c r="T94">
        <f t="shared" si="15"/>
        <v>2.1488461540000001</v>
      </c>
      <c r="U94">
        <f t="shared" si="16"/>
        <v>6.3988988359999999</v>
      </c>
      <c r="V94">
        <f t="shared" si="17"/>
        <v>2.9000000000000001E-2</v>
      </c>
      <c r="W94">
        <f t="shared" si="18"/>
        <v>0.16700000000000001</v>
      </c>
      <c r="X94">
        <f t="shared" si="19"/>
        <v>0.76700000000000002</v>
      </c>
      <c r="Y94">
        <v>126.6880941</v>
      </c>
      <c r="Z94">
        <v>0</v>
      </c>
      <c r="AA94">
        <v>454184</v>
      </c>
      <c r="AB94">
        <v>170596</v>
      </c>
      <c r="AC94">
        <v>6.5715274000000004E-2</v>
      </c>
      <c r="AD94">
        <v>0.72549415100000003</v>
      </c>
      <c r="AF94">
        <v>11.454720500000001</v>
      </c>
      <c r="AG94">
        <v>5.1999999999999998E-2</v>
      </c>
      <c r="AH94">
        <v>1.7999999999999999E-2</v>
      </c>
      <c r="AI94">
        <v>0.78200000000000003</v>
      </c>
      <c r="AJ94">
        <v>2.1488461540000001</v>
      </c>
      <c r="AK94">
        <v>6.3988988359999999</v>
      </c>
      <c r="AL94">
        <v>2.9000000000000001E-2</v>
      </c>
      <c r="AM94">
        <v>0.16700000000000001</v>
      </c>
      <c r="AN94">
        <v>0.76700000000000002</v>
      </c>
    </row>
    <row r="95" spans="1:40">
      <c r="A95">
        <v>2163</v>
      </c>
      <c r="B95" t="s">
        <v>691</v>
      </c>
      <c r="C95" t="s">
        <v>684</v>
      </c>
      <c r="D95" t="s">
        <v>685</v>
      </c>
      <c r="E95">
        <v>669</v>
      </c>
      <c r="F95">
        <v>2124</v>
      </c>
      <c r="G95">
        <v>134.94715740000001</v>
      </c>
      <c r="H95">
        <v>249</v>
      </c>
      <c r="I95">
        <v>0.21093589900000001</v>
      </c>
      <c r="J95">
        <v>2373</v>
      </c>
      <c r="K95">
        <v>11249.863160000001</v>
      </c>
      <c r="L95">
        <v>0.83499999999999996</v>
      </c>
      <c r="M95">
        <v>0.27124183000000002</v>
      </c>
      <c r="N95">
        <v>0</v>
      </c>
      <c r="O95" t="s">
        <v>620</v>
      </c>
      <c r="P95">
        <f t="shared" si="11"/>
        <v>12.391806020000001</v>
      </c>
      <c r="Q95">
        <f t="shared" si="12"/>
        <v>2.1000000000000001E-2</v>
      </c>
      <c r="R95">
        <f t="shared" si="13"/>
        <v>1.0999999999999999E-2</v>
      </c>
      <c r="S95">
        <f t="shared" si="14"/>
        <v>0.83499999999999996</v>
      </c>
      <c r="T95">
        <f t="shared" si="15"/>
        <v>2.1274999999999999</v>
      </c>
      <c r="U95">
        <f t="shared" si="16"/>
        <v>7.2002661339999996</v>
      </c>
      <c r="V95">
        <f t="shared" si="17"/>
        <v>1.4999999999999999E-2</v>
      </c>
      <c r="W95">
        <f t="shared" si="18"/>
        <v>7.0000000000000007E-2</v>
      </c>
      <c r="X95">
        <f t="shared" si="19"/>
        <v>0.90600000000000003</v>
      </c>
      <c r="Y95">
        <v>112.3434132</v>
      </c>
      <c r="Z95">
        <v>0</v>
      </c>
      <c r="AA95">
        <v>236250</v>
      </c>
      <c r="AB95">
        <v>76158</v>
      </c>
      <c r="AC95">
        <v>1.7652984E-2</v>
      </c>
      <c r="AD95">
        <v>0.84750225300000004</v>
      </c>
      <c r="AF95">
        <v>12.391806020000001</v>
      </c>
      <c r="AG95">
        <v>2.1000000000000001E-2</v>
      </c>
      <c r="AH95">
        <v>1.0999999999999999E-2</v>
      </c>
      <c r="AI95">
        <v>0.83499999999999996</v>
      </c>
      <c r="AJ95">
        <v>2.1274999999999999</v>
      </c>
      <c r="AK95">
        <v>7.2002661339999996</v>
      </c>
      <c r="AL95">
        <v>1.4999999999999999E-2</v>
      </c>
      <c r="AM95">
        <v>7.0000000000000007E-2</v>
      </c>
      <c r="AN95">
        <v>0.90600000000000003</v>
      </c>
    </row>
    <row r="96" spans="1:40">
      <c r="A96">
        <v>2164</v>
      </c>
      <c r="B96" t="s">
        <v>689</v>
      </c>
      <c r="C96" t="s">
        <v>687</v>
      </c>
      <c r="D96" t="s">
        <v>688</v>
      </c>
      <c r="E96">
        <v>396</v>
      </c>
      <c r="F96">
        <v>1226</v>
      </c>
      <c r="G96">
        <v>47.157302860000001</v>
      </c>
      <c r="H96">
        <v>588</v>
      </c>
      <c r="I96">
        <v>7.3714077000000003E-2</v>
      </c>
      <c r="J96">
        <v>1814</v>
      </c>
      <c r="K96">
        <v>24608.596809999999</v>
      </c>
      <c r="L96">
        <v>0.70799999999999996</v>
      </c>
      <c r="M96">
        <v>0.59756097600000002</v>
      </c>
      <c r="N96">
        <v>0</v>
      </c>
      <c r="O96" t="s">
        <v>613</v>
      </c>
      <c r="P96">
        <f t="shared" si="11"/>
        <v>12.795</v>
      </c>
      <c r="Q96">
        <f t="shared" si="12"/>
        <v>2.1000000000000001E-2</v>
      </c>
      <c r="R96">
        <f t="shared" si="13"/>
        <v>4.2000000000000003E-2</v>
      </c>
      <c r="S96">
        <f t="shared" si="14"/>
        <v>0.70799999999999996</v>
      </c>
      <c r="T96">
        <f t="shared" si="15"/>
        <v>1.4822058819999999</v>
      </c>
      <c r="U96">
        <f t="shared" si="16"/>
        <v>6.2158972050000001</v>
      </c>
      <c r="V96">
        <f t="shared" si="17"/>
        <v>7.5999999999999998E-2</v>
      </c>
      <c r="W96">
        <f t="shared" si="18"/>
        <v>7.5999999999999998E-2</v>
      </c>
      <c r="X96">
        <f t="shared" si="19"/>
        <v>0.78200000000000003</v>
      </c>
      <c r="Y96">
        <v>122.2335033</v>
      </c>
      <c r="Z96">
        <v>0</v>
      </c>
      <c r="AA96">
        <v>454184</v>
      </c>
      <c r="AB96">
        <v>170596</v>
      </c>
      <c r="AC96">
        <v>6.5715274000000004E-2</v>
      </c>
      <c r="AD96">
        <v>0.72549415100000003</v>
      </c>
      <c r="AF96">
        <v>12.795</v>
      </c>
      <c r="AG96">
        <v>2.1000000000000001E-2</v>
      </c>
      <c r="AH96">
        <v>4.2000000000000003E-2</v>
      </c>
      <c r="AI96">
        <v>0.70799999999999996</v>
      </c>
      <c r="AJ96">
        <v>1.4822058819999999</v>
      </c>
      <c r="AK96">
        <v>6.2158972050000001</v>
      </c>
      <c r="AL96">
        <v>7.5999999999999998E-2</v>
      </c>
      <c r="AM96">
        <v>7.5999999999999998E-2</v>
      </c>
      <c r="AN96">
        <v>0.78200000000000003</v>
      </c>
    </row>
    <row r="97" spans="1:40">
      <c r="A97">
        <v>2165</v>
      </c>
      <c r="B97" t="s">
        <v>702</v>
      </c>
      <c r="C97" t="s">
        <v>696</v>
      </c>
      <c r="D97" t="s">
        <v>697</v>
      </c>
      <c r="E97">
        <v>431</v>
      </c>
      <c r="F97">
        <v>1276</v>
      </c>
      <c r="G97">
        <v>52.932284289999998</v>
      </c>
      <c r="H97">
        <v>66</v>
      </c>
      <c r="I97">
        <v>8.2738759999999995E-2</v>
      </c>
      <c r="J97">
        <v>1342</v>
      </c>
      <c r="K97">
        <v>16219.7258</v>
      </c>
      <c r="L97">
        <v>0.81399999999999995</v>
      </c>
      <c r="M97">
        <v>0.132796781</v>
      </c>
      <c r="N97">
        <v>0</v>
      </c>
      <c r="O97" t="s">
        <v>613</v>
      </c>
      <c r="P97">
        <f t="shared" si="11"/>
        <v>14.38875</v>
      </c>
      <c r="Q97">
        <f t="shared" si="12"/>
        <v>4.7E-2</v>
      </c>
      <c r="R97">
        <f t="shared" si="13"/>
        <v>1.0999999999999999E-2</v>
      </c>
      <c r="S97">
        <f t="shared" si="14"/>
        <v>0.81399999999999995</v>
      </c>
      <c r="T97">
        <f t="shared" si="15"/>
        <v>2.9883333329999999</v>
      </c>
      <c r="U97">
        <f t="shared" si="16"/>
        <v>7.5300242129999999</v>
      </c>
      <c r="V97">
        <f t="shared" si="17"/>
        <v>3.7999999999999999E-2</v>
      </c>
      <c r="W97">
        <f t="shared" si="18"/>
        <v>0.13500000000000001</v>
      </c>
      <c r="X97">
        <f t="shared" si="19"/>
        <v>0.76900000000000002</v>
      </c>
      <c r="Y97">
        <v>88.35383813</v>
      </c>
      <c r="Z97">
        <v>0</v>
      </c>
      <c r="AA97">
        <v>90778</v>
      </c>
      <c r="AB97">
        <v>31662</v>
      </c>
      <c r="AC97">
        <v>3.1753482E-2</v>
      </c>
      <c r="AD97">
        <v>0.82960131100000001</v>
      </c>
      <c r="AF97">
        <v>14.38875</v>
      </c>
      <c r="AG97">
        <v>4.7E-2</v>
      </c>
      <c r="AH97">
        <v>1.0999999999999999E-2</v>
      </c>
      <c r="AI97">
        <v>0.81399999999999995</v>
      </c>
      <c r="AJ97">
        <v>2.9883333329999999</v>
      </c>
      <c r="AK97">
        <v>7.5300242129999999</v>
      </c>
      <c r="AL97">
        <v>3.7999999999999999E-2</v>
      </c>
      <c r="AM97">
        <v>0.13500000000000001</v>
      </c>
      <c r="AN97">
        <v>0.76900000000000002</v>
      </c>
    </row>
    <row r="98" spans="1:40">
      <c r="A98">
        <v>2166</v>
      </c>
      <c r="B98" t="s">
        <v>689</v>
      </c>
      <c r="C98" t="s">
        <v>687</v>
      </c>
      <c r="D98" t="s">
        <v>688</v>
      </c>
      <c r="E98">
        <v>339</v>
      </c>
      <c r="F98">
        <v>1077</v>
      </c>
      <c r="G98">
        <v>37.808885859999997</v>
      </c>
      <c r="H98">
        <v>0</v>
      </c>
      <c r="I98">
        <v>5.9101504999999999E-2</v>
      </c>
      <c r="J98">
        <v>1077</v>
      </c>
      <c r="K98">
        <v>18222.886200000001</v>
      </c>
      <c r="L98">
        <v>0.748</v>
      </c>
      <c r="M98">
        <v>0</v>
      </c>
      <c r="N98">
        <v>0</v>
      </c>
      <c r="O98" t="s">
        <v>613</v>
      </c>
      <c r="P98">
        <f t="shared" si="11"/>
        <v>14.1555</v>
      </c>
      <c r="Q98">
        <f t="shared" si="12"/>
        <v>4.8000000000000001E-2</v>
      </c>
      <c r="R98">
        <f t="shared" si="13"/>
        <v>2.1000000000000001E-2</v>
      </c>
      <c r="S98">
        <f t="shared" si="14"/>
        <v>0.748</v>
      </c>
      <c r="T98">
        <f t="shared" si="15"/>
        <v>2.2108333330000001</v>
      </c>
      <c r="U98">
        <f t="shared" si="16"/>
        <v>6.2202863959999997</v>
      </c>
      <c r="V98">
        <f t="shared" si="17"/>
        <v>0.02</v>
      </c>
      <c r="W98">
        <f t="shared" si="18"/>
        <v>0.14299999999999999</v>
      </c>
      <c r="X98">
        <f t="shared" si="19"/>
        <v>0.81599999999999995</v>
      </c>
      <c r="Y98">
        <v>146.75162739999999</v>
      </c>
      <c r="Z98">
        <v>0</v>
      </c>
      <c r="AA98">
        <v>454184</v>
      </c>
      <c r="AB98">
        <v>170596</v>
      </c>
      <c r="AC98">
        <v>6.5715274000000004E-2</v>
      </c>
      <c r="AD98">
        <v>0.72549415100000003</v>
      </c>
      <c r="AF98">
        <v>14.1555</v>
      </c>
      <c r="AG98">
        <v>4.8000000000000001E-2</v>
      </c>
      <c r="AH98">
        <v>2.1000000000000001E-2</v>
      </c>
      <c r="AI98">
        <v>0.748</v>
      </c>
      <c r="AJ98">
        <v>2.2108333330000001</v>
      </c>
      <c r="AK98">
        <v>6.2202863959999997</v>
      </c>
      <c r="AL98">
        <v>0.02</v>
      </c>
      <c r="AM98">
        <v>0.14299999999999999</v>
      </c>
      <c r="AN98">
        <v>0.81599999999999995</v>
      </c>
    </row>
    <row r="99" spans="1:40">
      <c r="A99">
        <v>2167</v>
      </c>
      <c r="B99" t="s">
        <v>689</v>
      </c>
      <c r="C99" t="s">
        <v>687</v>
      </c>
      <c r="D99" t="s">
        <v>688</v>
      </c>
      <c r="E99">
        <v>270</v>
      </c>
      <c r="F99">
        <v>851</v>
      </c>
      <c r="G99">
        <v>40.642582500000003</v>
      </c>
      <c r="H99">
        <v>51</v>
      </c>
      <c r="I99">
        <v>6.3528513999999994E-2</v>
      </c>
      <c r="J99">
        <v>902</v>
      </c>
      <c r="K99">
        <v>14198.34879</v>
      </c>
      <c r="L99">
        <v>0.77200000000000002</v>
      </c>
      <c r="M99">
        <v>0.158878505</v>
      </c>
      <c r="N99">
        <v>0</v>
      </c>
      <c r="O99" t="s">
        <v>620</v>
      </c>
      <c r="P99">
        <f t="shared" si="11"/>
        <v>12.28960526</v>
      </c>
      <c r="Q99">
        <f t="shared" si="12"/>
        <v>0.02</v>
      </c>
      <c r="R99">
        <f t="shared" si="13"/>
        <v>0.04</v>
      </c>
      <c r="S99">
        <f t="shared" si="14"/>
        <v>0.77200000000000002</v>
      </c>
      <c r="T99">
        <f t="shared" si="15"/>
        <v>1.585909091</v>
      </c>
      <c r="U99">
        <f t="shared" si="16"/>
        <v>6.43283293</v>
      </c>
      <c r="V99">
        <f t="shared" si="17"/>
        <v>3.5000000000000003E-2</v>
      </c>
      <c r="W99">
        <f t="shared" si="18"/>
        <v>4.7E-2</v>
      </c>
      <c r="X99">
        <f t="shared" si="19"/>
        <v>0.89400000000000002</v>
      </c>
      <c r="Y99">
        <v>136.72221809999999</v>
      </c>
      <c r="Z99">
        <v>0</v>
      </c>
      <c r="AA99">
        <v>454184</v>
      </c>
      <c r="AB99">
        <v>170596</v>
      </c>
      <c r="AC99">
        <v>6.5715274000000004E-2</v>
      </c>
      <c r="AD99">
        <v>0.72549415100000003</v>
      </c>
      <c r="AF99">
        <v>12.28960526</v>
      </c>
      <c r="AG99">
        <v>0.02</v>
      </c>
      <c r="AH99">
        <v>0.04</v>
      </c>
      <c r="AI99">
        <v>0.77200000000000002</v>
      </c>
      <c r="AJ99">
        <v>1.585909091</v>
      </c>
      <c r="AK99">
        <v>6.43283293</v>
      </c>
      <c r="AL99">
        <v>3.5000000000000003E-2</v>
      </c>
      <c r="AM99">
        <v>4.7E-2</v>
      </c>
      <c r="AN99">
        <v>0.89400000000000002</v>
      </c>
    </row>
    <row r="100" spans="1:40">
      <c r="A100">
        <v>2168</v>
      </c>
      <c r="B100" t="s">
        <v>702</v>
      </c>
      <c r="C100" t="s">
        <v>696</v>
      </c>
      <c r="D100" t="s">
        <v>697</v>
      </c>
      <c r="E100">
        <v>318</v>
      </c>
      <c r="F100">
        <v>812</v>
      </c>
      <c r="G100">
        <v>70.023867879999997</v>
      </c>
      <c r="H100">
        <v>25</v>
      </c>
      <c r="I100">
        <v>0.10945466099999999</v>
      </c>
      <c r="J100">
        <v>837</v>
      </c>
      <c r="K100">
        <v>7647.001894</v>
      </c>
      <c r="L100">
        <v>0.77700000000000002</v>
      </c>
      <c r="M100">
        <v>7.2886297000000003E-2</v>
      </c>
      <c r="N100">
        <v>0</v>
      </c>
      <c r="O100" t="s">
        <v>613</v>
      </c>
      <c r="P100">
        <f t="shared" si="11"/>
        <v>9.2775362319999992</v>
      </c>
      <c r="Q100">
        <f t="shared" si="12"/>
        <v>5.7000000000000002E-2</v>
      </c>
      <c r="R100">
        <f t="shared" si="13"/>
        <v>1.2999999999999999E-2</v>
      </c>
      <c r="S100">
        <f t="shared" si="14"/>
        <v>0.77700000000000002</v>
      </c>
      <c r="T100">
        <f t="shared" si="15"/>
        <v>1.3533333329999999</v>
      </c>
      <c r="U100">
        <f t="shared" si="16"/>
        <v>5.622032967</v>
      </c>
      <c r="V100">
        <f t="shared" si="17"/>
        <v>4.2301204819277106E-2</v>
      </c>
      <c r="W100">
        <f t="shared" si="18"/>
        <v>0.20599999999999999</v>
      </c>
      <c r="X100">
        <f t="shared" si="19"/>
        <v>0.71099999999999997</v>
      </c>
      <c r="Y100">
        <v>170.32232529999999</v>
      </c>
      <c r="Z100">
        <v>0</v>
      </c>
      <c r="AA100">
        <v>90778</v>
      </c>
      <c r="AB100">
        <v>31662</v>
      </c>
      <c r="AC100">
        <v>3.1753482E-2</v>
      </c>
      <c r="AD100">
        <v>0.82960131100000001</v>
      </c>
      <c r="AF100">
        <v>9.2775362319999992</v>
      </c>
      <c r="AG100">
        <v>5.7000000000000002E-2</v>
      </c>
      <c r="AH100">
        <v>1.2999999999999999E-2</v>
      </c>
      <c r="AI100">
        <v>0.77700000000000002</v>
      </c>
      <c r="AJ100">
        <v>1.3533333329999999</v>
      </c>
      <c r="AK100">
        <v>5.622032967</v>
      </c>
      <c r="AL100">
        <v>0</v>
      </c>
      <c r="AM100">
        <v>0.20599999999999999</v>
      </c>
      <c r="AN100">
        <v>0.71099999999999997</v>
      </c>
    </row>
    <row r="101" spans="1:40">
      <c r="A101">
        <v>2169</v>
      </c>
      <c r="B101" t="s">
        <v>691</v>
      </c>
      <c r="C101" t="s">
        <v>684</v>
      </c>
      <c r="D101" t="s">
        <v>685</v>
      </c>
      <c r="E101">
        <v>592</v>
      </c>
      <c r="F101">
        <v>1880</v>
      </c>
      <c r="G101">
        <v>79.791590839999998</v>
      </c>
      <c r="H101">
        <v>150</v>
      </c>
      <c r="I101">
        <v>0.124718208</v>
      </c>
      <c r="J101">
        <v>2030</v>
      </c>
      <c r="K101">
        <v>16276.693139999999</v>
      </c>
      <c r="L101">
        <v>0.83299999999999996</v>
      </c>
      <c r="M101">
        <v>0.20215633399999999</v>
      </c>
      <c r="N101">
        <v>0</v>
      </c>
      <c r="O101" t="s">
        <v>620</v>
      </c>
      <c r="P101">
        <f t="shared" si="11"/>
        <v>13.283225809999999</v>
      </c>
      <c r="Q101">
        <f t="shared" si="12"/>
        <v>1.6E-2</v>
      </c>
      <c r="R101">
        <f t="shared" si="13"/>
        <v>1.7000000000000001E-2</v>
      </c>
      <c r="S101">
        <f t="shared" si="14"/>
        <v>0.83299999999999996</v>
      </c>
      <c r="T101">
        <f t="shared" si="15"/>
        <v>2.4649999999999999</v>
      </c>
      <c r="U101">
        <f t="shared" si="16"/>
        <v>6.5618835620000002</v>
      </c>
      <c r="V101">
        <f t="shared" si="17"/>
        <v>2.4E-2</v>
      </c>
      <c r="W101">
        <f t="shared" si="18"/>
        <v>4.8000000000000001E-2</v>
      </c>
      <c r="X101">
        <f t="shared" si="19"/>
        <v>0.92300000000000004</v>
      </c>
      <c r="Y101">
        <v>229.2471553</v>
      </c>
      <c r="Z101">
        <v>0</v>
      </c>
      <c r="AA101">
        <v>236250</v>
      </c>
      <c r="AB101">
        <v>76158</v>
      </c>
      <c r="AC101">
        <v>1.7652984E-2</v>
      </c>
      <c r="AD101">
        <v>0.84750225300000004</v>
      </c>
      <c r="AF101">
        <v>13.283225809999999</v>
      </c>
      <c r="AG101">
        <v>1.6E-2</v>
      </c>
      <c r="AH101">
        <v>1.7000000000000001E-2</v>
      </c>
      <c r="AI101">
        <v>0.83299999999999996</v>
      </c>
      <c r="AJ101">
        <v>2.4649999999999999</v>
      </c>
      <c r="AK101">
        <v>6.5618835620000002</v>
      </c>
      <c r="AL101">
        <v>2.4E-2</v>
      </c>
      <c r="AM101">
        <v>4.8000000000000001E-2</v>
      </c>
      <c r="AN101">
        <v>0.92300000000000004</v>
      </c>
    </row>
    <row r="102" spans="1:40">
      <c r="A102">
        <v>2170</v>
      </c>
      <c r="B102" t="s">
        <v>702</v>
      </c>
      <c r="C102" t="s">
        <v>696</v>
      </c>
      <c r="D102" t="s">
        <v>697</v>
      </c>
      <c r="E102">
        <v>694</v>
      </c>
      <c r="F102">
        <v>1992</v>
      </c>
      <c r="G102">
        <v>290.83480459999998</v>
      </c>
      <c r="H102">
        <v>837</v>
      </c>
      <c r="I102">
        <v>0.45461165100000001</v>
      </c>
      <c r="J102">
        <v>2829</v>
      </c>
      <c r="K102">
        <v>6222.8937459999997</v>
      </c>
      <c r="L102">
        <v>0.86799999999999999</v>
      </c>
      <c r="M102">
        <v>0.54670150200000001</v>
      </c>
      <c r="N102">
        <v>0</v>
      </c>
      <c r="O102" t="s">
        <v>620</v>
      </c>
      <c r="P102">
        <f t="shared" si="11"/>
        <v>12.356111110000001</v>
      </c>
      <c r="Q102">
        <f t="shared" si="12"/>
        <v>2.7E-2</v>
      </c>
      <c r="R102">
        <f t="shared" si="13"/>
        <v>3.4000000000000002E-2</v>
      </c>
      <c r="S102">
        <f t="shared" si="14"/>
        <v>0.86799999999999999</v>
      </c>
      <c r="T102">
        <f t="shared" si="15"/>
        <v>2.260344828</v>
      </c>
      <c r="U102">
        <f t="shared" si="16"/>
        <v>7.3993233079999996</v>
      </c>
      <c r="V102">
        <f t="shared" si="17"/>
        <v>6.8000000000000005E-2</v>
      </c>
      <c r="W102">
        <f t="shared" si="18"/>
        <v>0.107</v>
      </c>
      <c r="X102">
        <f t="shared" si="19"/>
        <v>0.80400000000000005</v>
      </c>
      <c r="Y102">
        <v>65.253147429999999</v>
      </c>
      <c r="Z102">
        <v>0</v>
      </c>
      <c r="AA102">
        <v>90778</v>
      </c>
      <c r="AB102">
        <v>31662</v>
      </c>
      <c r="AC102">
        <v>3.1753482E-2</v>
      </c>
      <c r="AD102">
        <v>0.82960131100000001</v>
      </c>
      <c r="AF102">
        <v>12.356111110000001</v>
      </c>
      <c r="AG102">
        <v>2.7E-2</v>
      </c>
      <c r="AH102">
        <v>3.4000000000000002E-2</v>
      </c>
      <c r="AI102">
        <v>0.86799999999999999</v>
      </c>
      <c r="AJ102">
        <v>2.260344828</v>
      </c>
      <c r="AK102">
        <v>7.3993233079999996</v>
      </c>
      <c r="AL102">
        <v>6.8000000000000005E-2</v>
      </c>
      <c r="AM102">
        <v>0.107</v>
      </c>
      <c r="AN102">
        <v>0.80400000000000005</v>
      </c>
    </row>
    <row r="103" spans="1:40">
      <c r="A103">
        <v>2171</v>
      </c>
      <c r="B103" t="s">
        <v>702</v>
      </c>
      <c r="C103" t="s">
        <v>696</v>
      </c>
      <c r="D103" t="s">
        <v>697</v>
      </c>
      <c r="E103">
        <v>491</v>
      </c>
      <c r="F103">
        <v>1626</v>
      </c>
      <c r="G103">
        <v>94.398545659999996</v>
      </c>
      <c r="H103">
        <v>122</v>
      </c>
      <c r="I103">
        <v>0.147549243</v>
      </c>
      <c r="J103">
        <v>1748</v>
      </c>
      <c r="K103">
        <v>11846.89236</v>
      </c>
      <c r="L103">
        <v>0.80300000000000005</v>
      </c>
      <c r="M103">
        <v>0.19902120700000001</v>
      </c>
      <c r="N103">
        <v>0</v>
      </c>
      <c r="O103" t="s">
        <v>613</v>
      </c>
      <c r="P103">
        <f t="shared" si="11"/>
        <v>10.688750000000001</v>
      </c>
      <c r="Q103">
        <f t="shared" si="12"/>
        <v>5.3999999999999999E-2</v>
      </c>
      <c r="R103">
        <f t="shared" si="13"/>
        <v>2.5000000000000001E-2</v>
      </c>
      <c r="S103">
        <f t="shared" si="14"/>
        <v>0.80300000000000005</v>
      </c>
      <c r="T103">
        <f t="shared" si="15"/>
        <v>2.9490909090000001</v>
      </c>
      <c r="U103">
        <f t="shared" si="16"/>
        <v>5.9560888890000001</v>
      </c>
      <c r="V103">
        <f t="shared" si="17"/>
        <v>3.6999999999999998E-2</v>
      </c>
      <c r="W103">
        <f t="shared" si="18"/>
        <v>0.20100000000000001</v>
      </c>
      <c r="X103">
        <f t="shared" si="19"/>
        <v>0.63500000000000001</v>
      </c>
      <c r="Y103">
        <v>144.32225410000001</v>
      </c>
      <c r="Z103">
        <v>0</v>
      </c>
      <c r="AA103">
        <v>90778</v>
      </c>
      <c r="AB103">
        <v>31662</v>
      </c>
      <c r="AC103">
        <v>3.1753482E-2</v>
      </c>
      <c r="AD103">
        <v>0.82960131100000001</v>
      </c>
      <c r="AF103">
        <v>10.688750000000001</v>
      </c>
      <c r="AG103">
        <v>5.3999999999999999E-2</v>
      </c>
      <c r="AH103">
        <v>2.5000000000000001E-2</v>
      </c>
      <c r="AI103">
        <v>0.80300000000000005</v>
      </c>
      <c r="AJ103">
        <v>2.9490909090000001</v>
      </c>
      <c r="AK103">
        <v>5.9560888890000001</v>
      </c>
      <c r="AL103">
        <v>3.6999999999999998E-2</v>
      </c>
      <c r="AM103">
        <v>0.20100000000000001</v>
      </c>
      <c r="AN103">
        <v>0.63500000000000001</v>
      </c>
    </row>
    <row r="104" spans="1:40">
      <c r="A104">
        <v>2172</v>
      </c>
      <c r="B104" t="s">
        <v>689</v>
      </c>
      <c r="C104" t="s">
        <v>687</v>
      </c>
      <c r="D104" t="s">
        <v>688</v>
      </c>
      <c r="E104">
        <v>413</v>
      </c>
      <c r="F104">
        <v>1543</v>
      </c>
      <c r="G104">
        <v>46.109315170000002</v>
      </c>
      <c r="H104">
        <v>63</v>
      </c>
      <c r="I104">
        <v>7.2074864000000002E-2</v>
      </c>
      <c r="J104">
        <v>1606</v>
      </c>
      <c r="K104">
        <v>22282.38682</v>
      </c>
      <c r="L104">
        <v>0.65200000000000002</v>
      </c>
      <c r="M104">
        <v>0.132352941</v>
      </c>
      <c r="N104">
        <v>0</v>
      </c>
      <c r="O104" t="s">
        <v>613</v>
      </c>
      <c r="P104">
        <f t="shared" si="11"/>
        <v>12.934827589999999</v>
      </c>
      <c r="Q104">
        <f t="shared" si="12"/>
        <v>7.0999999999999994E-2</v>
      </c>
      <c r="R104">
        <f t="shared" si="13"/>
        <v>4.4999999999999998E-2</v>
      </c>
      <c r="S104">
        <f t="shared" si="14"/>
        <v>0.65200000000000002</v>
      </c>
      <c r="T104">
        <f t="shared" si="15"/>
        <v>2.733333333</v>
      </c>
      <c r="U104">
        <f t="shared" si="16"/>
        <v>6.1750196849999996</v>
      </c>
      <c r="V104">
        <f t="shared" si="17"/>
        <v>0.105</v>
      </c>
      <c r="W104">
        <f t="shared" si="18"/>
        <v>0.23799999999999999</v>
      </c>
      <c r="X104">
        <f t="shared" si="19"/>
        <v>0.60799999999999998</v>
      </c>
      <c r="Y104">
        <v>258.19613179999999</v>
      </c>
      <c r="Z104">
        <v>0</v>
      </c>
      <c r="AA104">
        <v>454184</v>
      </c>
      <c r="AB104">
        <v>170596</v>
      </c>
      <c r="AC104">
        <v>6.5715274000000004E-2</v>
      </c>
      <c r="AD104">
        <v>0.72549415100000003</v>
      </c>
      <c r="AF104">
        <v>12.934827589999999</v>
      </c>
      <c r="AG104">
        <v>7.0999999999999994E-2</v>
      </c>
      <c r="AH104">
        <v>4.4999999999999998E-2</v>
      </c>
      <c r="AI104">
        <v>0.65200000000000002</v>
      </c>
      <c r="AJ104">
        <v>2.733333333</v>
      </c>
      <c r="AK104">
        <v>6.1750196849999996</v>
      </c>
      <c r="AL104">
        <v>0.105</v>
      </c>
      <c r="AM104">
        <v>0.23799999999999999</v>
      </c>
      <c r="AN104">
        <v>0.60799999999999998</v>
      </c>
    </row>
    <row r="105" spans="1:40">
      <c r="A105">
        <v>2173</v>
      </c>
      <c r="B105" t="s">
        <v>689</v>
      </c>
      <c r="C105" t="s">
        <v>687</v>
      </c>
      <c r="D105" t="s">
        <v>688</v>
      </c>
      <c r="E105">
        <v>361</v>
      </c>
      <c r="F105">
        <v>1559</v>
      </c>
      <c r="G105">
        <v>48.778139750000001</v>
      </c>
      <c r="H105">
        <v>48</v>
      </c>
      <c r="I105">
        <v>7.6246719000000004E-2</v>
      </c>
      <c r="J105">
        <v>1607</v>
      </c>
      <c r="K105">
        <v>21076.316739999998</v>
      </c>
      <c r="L105">
        <v>0.73899999999999999</v>
      </c>
      <c r="M105">
        <v>0.117359413</v>
      </c>
      <c r="N105">
        <v>0</v>
      </c>
      <c r="O105" t="s">
        <v>613</v>
      </c>
      <c r="P105">
        <f t="shared" si="11"/>
        <v>11.362916670000001</v>
      </c>
      <c r="Q105">
        <f t="shared" si="12"/>
        <v>4.5999999999999999E-2</v>
      </c>
      <c r="R105">
        <f t="shared" si="13"/>
        <v>1.6E-2</v>
      </c>
      <c r="S105">
        <f t="shared" si="14"/>
        <v>0.73899999999999999</v>
      </c>
      <c r="T105">
        <f t="shared" si="15"/>
        <v>1.4512499999999999</v>
      </c>
      <c r="U105">
        <f t="shared" si="16"/>
        <v>5.1902356410000001</v>
      </c>
      <c r="V105">
        <f t="shared" si="17"/>
        <v>5.6000000000000001E-2</v>
      </c>
      <c r="W105">
        <f t="shared" si="18"/>
        <v>0.16800000000000001</v>
      </c>
      <c r="X105">
        <f t="shared" si="19"/>
        <v>0.67300000000000004</v>
      </c>
      <c r="Y105">
        <v>122.91440540000001</v>
      </c>
      <c r="Z105">
        <v>0</v>
      </c>
      <c r="AA105">
        <v>454184</v>
      </c>
      <c r="AB105">
        <v>170596</v>
      </c>
      <c r="AC105">
        <v>6.5715274000000004E-2</v>
      </c>
      <c r="AD105">
        <v>0.72549415100000003</v>
      </c>
      <c r="AF105">
        <v>11.362916670000001</v>
      </c>
      <c r="AG105">
        <v>4.5999999999999999E-2</v>
      </c>
      <c r="AH105">
        <v>1.6E-2</v>
      </c>
      <c r="AI105">
        <v>0.73899999999999999</v>
      </c>
      <c r="AJ105">
        <v>1.4512499999999999</v>
      </c>
      <c r="AK105">
        <v>5.1902356410000001</v>
      </c>
      <c r="AL105">
        <v>5.6000000000000001E-2</v>
      </c>
      <c r="AM105">
        <v>0.16800000000000001</v>
      </c>
      <c r="AN105">
        <v>0.67300000000000004</v>
      </c>
    </row>
    <row r="106" spans="1:40">
      <c r="A106">
        <v>2174</v>
      </c>
      <c r="B106" t="s">
        <v>689</v>
      </c>
      <c r="C106" t="s">
        <v>687</v>
      </c>
      <c r="D106" t="s">
        <v>688</v>
      </c>
      <c r="E106">
        <v>194</v>
      </c>
      <c r="F106">
        <v>564</v>
      </c>
      <c r="G106">
        <v>94.912619059999997</v>
      </c>
      <c r="H106">
        <v>1369</v>
      </c>
      <c r="I106">
        <v>0.148367798</v>
      </c>
      <c r="J106">
        <v>1933</v>
      </c>
      <c r="K106">
        <v>13028.433569999999</v>
      </c>
      <c r="L106">
        <v>0.752</v>
      </c>
      <c r="M106">
        <v>0.87587971799999997</v>
      </c>
      <c r="N106">
        <v>0</v>
      </c>
      <c r="O106" t="s">
        <v>613</v>
      </c>
      <c r="P106">
        <f t="shared" si="11"/>
        <v>12.79770701</v>
      </c>
      <c r="Q106">
        <f t="shared" si="12"/>
        <v>8.1000000000000003E-2</v>
      </c>
      <c r="R106">
        <f t="shared" si="13"/>
        <v>3.6999999999999998E-2</v>
      </c>
      <c r="S106">
        <f t="shared" si="14"/>
        <v>0.752</v>
      </c>
      <c r="T106">
        <f t="shared" si="15"/>
        <v>1.8073684210000001</v>
      </c>
      <c r="U106">
        <f t="shared" si="16"/>
        <v>7.7371024259999999</v>
      </c>
      <c r="V106">
        <f t="shared" si="17"/>
        <v>7.4999999999999997E-2</v>
      </c>
      <c r="W106">
        <f t="shared" si="18"/>
        <v>0.19800000000000001</v>
      </c>
      <c r="X106">
        <f t="shared" si="19"/>
        <v>0.69199999999999995</v>
      </c>
      <c r="Y106">
        <v>216.69327530000001</v>
      </c>
      <c r="Z106">
        <v>0</v>
      </c>
      <c r="AA106">
        <v>454184</v>
      </c>
      <c r="AB106">
        <v>170596</v>
      </c>
      <c r="AC106">
        <v>6.5715274000000004E-2</v>
      </c>
      <c r="AD106">
        <v>0.72549415100000003</v>
      </c>
      <c r="AF106">
        <v>12.79770701</v>
      </c>
      <c r="AG106">
        <v>8.1000000000000003E-2</v>
      </c>
      <c r="AH106">
        <v>3.6999999999999998E-2</v>
      </c>
      <c r="AI106">
        <v>0.752</v>
      </c>
      <c r="AJ106">
        <v>1.8073684210000001</v>
      </c>
      <c r="AK106">
        <v>7.7371024259999999</v>
      </c>
      <c r="AL106">
        <v>7.4999999999999997E-2</v>
      </c>
      <c r="AM106">
        <v>0.19800000000000001</v>
      </c>
      <c r="AN106">
        <v>0.69199999999999995</v>
      </c>
    </row>
    <row r="107" spans="1:40">
      <c r="A107">
        <v>2175</v>
      </c>
      <c r="B107" t="s">
        <v>689</v>
      </c>
      <c r="C107" t="s">
        <v>687</v>
      </c>
      <c r="D107" t="s">
        <v>688</v>
      </c>
      <c r="E107">
        <v>1</v>
      </c>
      <c r="F107">
        <v>3</v>
      </c>
      <c r="G107">
        <v>70.01980476</v>
      </c>
      <c r="H107">
        <v>1995</v>
      </c>
      <c r="I107">
        <v>0.10944617099999999</v>
      </c>
      <c r="J107">
        <v>1998</v>
      </c>
      <c r="K107">
        <v>18255.549569999999</v>
      </c>
      <c r="L107">
        <v>0.879</v>
      </c>
      <c r="M107">
        <v>0.99949899799999997</v>
      </c>
      <c r="N107">
        <v>0</v>
      </c>
      <c r="O107" t="s">
        <v>613</v>
      </c>
      <c r="P107">
        <f t="shared" si="11"/>
        <v>15.91826923</v>
      </c>
      <c r="Q107">
        <f t="shared" si="12"/>
        <v>2.7E-2</v>
      </c>
      <c r="R107">
        <f t="shared" si="13"/>
        <v>1.2999999999999999E-2</v>
      </c>
      <c r="S107">
        <f t="shared" si="14"/>
        <v>0.879</v>
      </c>
      <c r="T107">
        <f t="shared" si="15"/>
        <v>2.6559374999999998</v>
      </c>
      <c r="U107">
        <f t="shared" si="16"/>
        <v>7.7756125750000002</v>
      </c>
      <c r="V107">
        <f t="shared" si="17"/>
        <v>3.3000000000000002E-2</v>
      </c>
      <c r="W107">
        <f t="shared" si="18"/>
        <v>6.6000000000000003E-2</v>
      </c>
      <c r="X107">
        <f t="shared" si="19"/>
        <v>0.86</v>
      </c>
      <c r="Y107">
        <v>124.3339684</v>
      </c>
      <c r="Z107">
        <v>0</v>
      </c>
      <c r="AA107">
        <v>454184</v>
      </c>
      <c r="AB107">
        <v>170596</v>
      </c>
      <c r="AC107">
        <v>6.5715274000000004E-2</v>
      </c>
      <c r="AD107">
        <v>0.72549415100000003</v>
      </c>
      <c r="AF107">
        <v>15.91826923</v>
      </c>
      <c r="AG107">
        <v>2.7E-2</v>
      </c>
      <c r="AH107">
        <v>1.2999999999999999E-2</v>
      </c>
      <c r="AI107">
        <v>0.879</v>
      </c>
      <c r="AJ107">
        <v>2.6559374999999998</v>
      </c>
      <c r="AK107">
        <v>7.7756125750000002</v>
      </c>
      <c r="AL107">
        <v>3.3000000000000002E-2</v>
      </c>
      <c r="AM107">
        <v>6.6000000000000003E-2</v>
      </c>
      <c r="AN107">
        <v>0.86</v>
      </c>
    </row>
    <row r="108" spans="1:40">
      <c r="A108">
        <v>2176</v>
      </c>
      <c r="B108" t="s">
        <v>689</v>
      </c>
      <c r="C108" t="s">
        <v>687</v>
      </c>
      <c r="D108" t="s">
        <v>688</v>
      </c>
      <c r="E108">
        <v>473</v>
      </c>
      <c r="F108">
        <v>1372</v>
      </c>
      <c r="G108">
        <v>23.284639729999999</v>
      </c>
      <c r="H108">
        <v>124</v>
      </c>
      <c r="I108">
        <v>3.6396513999999998E-2</v>
      </c>
      <c r="J108">
        <v>1496</v>
      </c>
      <c r="K108">
        <v>41102.837489999998</v>
      </c>
      <c r="L108">
        <v>0.71699999999999997</v>
      </c>
      <c r="M108">
        <v>0.20770519300000001</v>
      </c>
      <c r="N108">
        <v>0</v>
      </c>
      <c r="O108" t="s">
        <v>613</v>
      </c>
      <c r="P108">
        <f t="shared" si="11"/>
        <v>10.06834783</v>
      </c>
      <c r="Q108">
        <f t="shared" si="12"/>
        <v>5.5E-2</v>
      </c>
      <c r="R108">
        <f t="shared" si="13"/>
        <v>3.7999999999999999E-2</v>
      </c>
      <c r="S108">
        <f t="shared" si="14"/>
        <v>0.71699999999999997</v>
      </c>
      <c r="T108">
        <f t="shared" si="15"/>
        <v>2.1680000000000001</v>
      </c>
      <c r="U108">
        <f t="shared" si="16"/>
        <v>5.7071243039999997</v>
      </c>
      <c r="V108">
        <f t="shared" si="17"/>
        <v>3.2000000000000001E-2</v>
      </c>
      <c r="W108">
        <f t="shared" si="18"/>
        <v>0.182</v>
      </c>
      <c r="X108">
        <f t="shared" si="19"/>
        <v>0.747</v>
      </c>
      <c r="Y108">
        <v>110.5788007</v>
      </c>
      <c r="Z108">
        <v>0</v>
      </c>
      <c r="AA108">
        <v>454184</v>
      </c>
      <c r="AB108">
        <v>170596</v>
      </c>
      <c r="AC108">
        <v>6.5715274000000004E-2</v>
      </c>
      <c r="AD108">
        <v>0.72549415100000003</v>
      </c>
      <c r="AF108">
        <v>10.06834783</v>
      </c>
      <c r="AG108">
        <v>5.5E-2</v>
      </c>
      <c r="AH108">
        <v>3.7999999999999999E-2</v>
      </c>
      <c r="AI108">
        <v>0.71699999999999997</v>
      </c>
      <c r="AJ108">
        <v>2.1680000000000001</v>
      </c>
      <c r="AK108">
        <v>5.7071243039999997</v>
      </c>
      <c r="AL108">
        <v>3.2000000000000001E-2</v>
      </c>
      <c r="AM108">
        <v>0.182</v>
      </c>
      <c r="AN108">
        <v>0.747</v>
      </c>
    </row>
    <row r="109" spans="1:40">
      <c r="A109">
        <v>2177</v>
      </c>
      <c r="B109" t="s">
        <v>689</v>
      </c>
      <c r="C109" t="s">
        <v>687</v>
      </c>
      <c r="D109" t="s">
        <v>688</v>
      </c>
      <c r="E109">
        <v>381</v>
      </c>
      <c r="F109">
        <v>1527</v>
      </c>
      <c r="G109">
        <v>32.90755566</v>
      </c>
      <c r="H109">
        <v>151</v>
      </c>
      <c r="I109">
        <v>5.1436571E-2</v>
      </c>
      <c r="J109">
        <v>1678</v>
      </c>
      <c r="K109">
        <v>32622.703409999998</v>
      </c>
      <c r="L109">
        <v>0.63700000000000001</v>
      </c>
      <c r="M109">
        <v>0.283834586</v>
      </c>
      <c r="N109">
        <v>0</v>
      </c>
      <c r="O109" t="s">
        <v>606</v>
      </c>
      <c r="P109">
        <f t="shared" si="11"/>
        <v>9.3063636360000004</v>
      </c>
      <c r="Q109">
        <f t="shared" si="12"/>
        <v>5.8000000000000003E-2</v>
      </c>
      <c r="R109">
        <f t="shared" si="13"/>
        <v>5.8999999999999997E-2</v>
      </c>
      <c r="S109">
        <f t="shared" si="14"/>
        <v>0.63700000000000001</v>
      </c>
      <c r="T109">
        <f t="shared" si="15"/>
        <v>1.943333333</v>
      </c>
      <c r="U109">
        <f t="shared" si="16"/>
        <v>5.4088563049999996</v>
      </c>
      <c r="V109">
        <f t="shared" si="17"/>
        <v>0.13900000000000001</v>
      </c>
      <c r="W109">
        <f t="shared" si="18"/>
        <v>0.20200000000000001</v>
      </c>
      <c r="X109">
        <f t="shared" si="19"/>
        <v>0.57199999999999995</v>
      </c>
      <c r="Y109">
        <v>427.33564860000001</v>
      </c>
      <c r="Z109">
        <v>0</v>
      </c>
      <c r="AA109">
        <v>454184</v>
      </c>
      <c r="AB109">
        <v>170596</v>
      </c>
      <c r="AC109">
        <v>6.5715274000000004E-2</v>
      </c>
      <c r="AD109">
        <v>0.72549415100000003</v>
      </c>
      <c r="AF109">
        <v>9.3063636360000004</v>
      </c>
      <c r="AG109">
        <v>5.8000000000000003E-2</v>
      </c>
      <c r="AH109">
        <v>5.8999999999999997E-2</v>
      </c>
      <c r="AI109">
        <v>0.63700000000000001</v>
      </c>
      <c r="AJ109">
        <v>1.943333333</v>
      </c>
      <c r="AK109">
        <v>5.4088563049999996</v>
      </c>
      <c r="AL109">
        <v>0.13900000000000001</v>
      </c>
      <c r="AM109">
        <v>0.20200000000000001</v>
      </c>
      <c r="AN109">
        <v>0.57199999999999995</v>
      </c>
    </row>
    <row r="110" spans="1:40">
      <c r="A110">
        <v>2178</v>
      </c>
      <c r="B110" t="s">
        <v>689</v>
      </c>
      <c r="C110" t="s">
        <v>687</v>
      </c>
      <c r="D110" t="s">
        <v>688</v>
      </c>
      <c r="E110">
        <v>282</v>
      </c>
      <c r="F110">
        <v>1037</v>
      </c>
      <c r="G110">
        <v>32.756455670000001</v>
      </c>
      <c r="H110">
        <v>50</v>
      </c>
      <c r="I110">
        <v>5.1206890999999997E-2</v>
      </c>
      <c r="J110">
        <v>1087</v>
      </c>
      <c r="K110">
        <v>21227.611730000001</v>
      </c>
      <c r="L110">
        <v>0.66800000000000004</v>
      </c>
      <c r="M110">
        <v>0.15060240999999999</v>
      </c>
      <c r="N110">
        <v>0</v>
      </c>
      <c r="O110" t="s">
        <v>613</v>
      </c>
      <c r="P110">
        <f t="shared" si="11"/>
        <v>10.8478125</v>
      </c>
      <c r="Q110">
        <f t="shared" si="12"/>
        <v>5.2999999999999999E-2</v>
      </c>
      <c r="R110">
        <f t="shared" si="13"/>
        <v>3.7999999999999999E-2</v>
      </c>
      <c r="S110">
        <f t="shared" si="14"/>
        <v>0.66800000000000004</v>
      </c>
      <c r="T110">
        <f t="shared" si="15"/>
        <v>1.552142857</v>
      </c>
      <c r="U110">
        <f t="shared" si="16"/>
        <v>5.1270347650000003</v>
      </c>
      <c r="V110">
        <f t="shared" si="17"/>
        <v>0.108</v>
      </c>
      <c r="W110">
        <f t="shared" si="18"/>
        <v>0.183</v>
      </c>
      <c r="X110">
        <f t="shared" si="19"/>
        <v>0.68799999999999994</v>
      </c>
      <c r="Y110">
        <v>292.63325359999999</v>
      </c>
      <c r="Z110">
        <v>0</v>
      </c>
      <c r="AA110">
        <v>454184</v>
      </c>
      <c r="AB110">
        <v>170596</v>
      </c>
      <c r="AC110">
        <v>6.5715274000000004E-2</v>
      </c>
      <c r="AD110">
        <v>0.72549415100000003</v>
      </c>
      <c r="AF110">
        <v>10.8478125</v>
      </c>
      <c r="AG110">
        <v>5.2999999999999999E-2</v>
      </c>
      <c r="AH110">
        <v>3.7999999999999999E-2</v>
      </c>
      <c r="AI110">
        <v>0.66800000000000004</v>
      </c>
      <c r="AJ110">
        <v>1.552142857</v>
      </c>
      <c r="AK110">
        <v>5.1270347650000003</v>
      </c>
      <c r="AL110">
        <v>0.108</v>
      </c>
      <c r="AM110">
        <v>0.183</v>
      </c>
      <c r="AN110">
        <v>0.68799999999999994</v>
      </c>
    </row>
    <row r="111" spans="1:40">
      <c r="A111">
        <v>2179</v>
      </c>
      <c r="B111" t="s">
        <v>689</v>
      </c>
      <c r="C111" t="s">
        <v>687</v>
      </c>
      <c r="D111" t="s">
        <v>688</v>
      </c>
      <c r="E111">
        <v>671</v>
      </c>
      <c r="F111">
        <v>2224</v>
      </c>
      <c r="G111">
        <v>59.264028719999999</v>
      </c>
      <c r="H111">
        <v>47</v>
      </c>
      <c r="I111">
        <v>9.2633496999999995E-2</v>
      </c>
      <c r="J111">
        <v>2271</v>
      </c>
      <c r="K111">
        <v>24515.969639999999</v>
      </c>
      <c r="L111">
        <v>0.65600000000000003</v>
      </c>
      <c r="M111">
        <v>6.5459610000000001E-2</v>
      </c>
      <c r="N111">
        <v>0</v>
      </c>
      <c r="O111" t="s">
        <v>613</v>
      </c>
      <c r="P111">
        <f t="shared" si="11"/>
        <v>10.36103175</v>
      </c>
      <c r="Q111">
        <f t="shared" si="12"/>
        <v>3.6999999999999998E-2</v>
      </c>
      <c r="R111">
        <f t="shared" si="13"/>
        <v>4.1000000000000002E-2</v>
      </c>
      <c r="S111">
        <f t="shared" si="14"/>
        <v>0.65600000000000003</v>
      </c>
      <c r="T111">
        <f t="shared" si="15"/>
        <v>1.72</v>
      </c>
      <c r="U111">
        <f t="shared" si="16"/>
        <v>5.4159523810000003</v>
      </c>
      <c r="V111">
        <f t="shared" si="17"/>
        <v>3.6999999999999998E-2</v>
      </c>
      <c r="W111">
        <f t="shared" si="18"/>
        <v>0.17799999999999999</v>
      </c>
      <c r="X111">
        <f t="shared" si="19"/>
        <v>0.77300000000000002</v>
      </c>
      <c r="Y111">
        <v>136.94312529999999</v>
      </c>
      <c r="Z111">
        <v>0</v>
      </c>
      <c r="AA111">
        <v>454184</v>
      </c>
      <c r="AB111">
        <v>170596</v>
      </c>
      <c r="AC111">
        <v>6.5715274000000004E-2</v>
      </c>
      <c r="AD111">
        <v>0.72549415100000003</v>
      </c>
      <c r="AF111">
        <v>10.36103175</v>
      </c>
      <c r="AG111">
        <v>3.6999999999999998E-2</v>
      </c>
      <c r="AH111">
        <v>4.1000000000000002E-2</v>
      </c>
      <c r="AI111">
        <v>0.65600000000000003</v>
      </c>
      <c r="AJ111">
        <v>1.72</v>
      </c>
      <c r="AK111">
        <v>5.4159523810000003</v>
      </c>
      <c r="AL111">
        <v>3.6999999999999998E-2</v>
      </c>
      <c r="AM111">
        <v>0.17799999999999999</v>
      </c>
      <c r="AN111">
        <v>0.77300000000000002</v>
      </c>
    </row>
    <row r="112" spans="1:40">
      <c r="A112">
        <v>2180</v>
      </c>
      <c r="B112" t="s">
        <v>689</v>
      </c>
      <c r="C112" t="s">
        <v>687</v>
      </c>
      <c r="D112" t="s">
        <v>688</v>
      </c>
      <c r="E112">
        <v>410</v>
      </c>
      <c r="F112">
        <v>1386</v>
      </c>
      <c r="G112">
        <v>36.222097239999997</v>
      </c>
      <c r="H112">
        <v>129</v>
      </c>
      <c r="I112">
        <v>5.6620785999999999E-2</v>
      </c>
      <c r="J112">
        <v>1515</v>
      </c>
      <c r="K112">
        <v>26756.958119999999</v>
      </c>
      <c r="L112">
        <v>0.69899999999999995</v>
      </c>
      <c r="M112">
        <v>0.23933209599999999</v>
      </c>
      <c r="N112">
        <v>0</v>
      </c>
      <c r="O112" t="s">
        <v>613</v>
      </c>
      <c r="P112">
        <f t="shared" si="11"/>
        <v>8.5513333330000005</v>
      </c>
      <c r="Q112">
        <f t="shared" si="12"/>
        <v>4.1000000000000002E-2</v>
      </c>
      <c r="R112">
        <f t="shared" si="13"/>
        <v>0.03</v>
      </c>
      <c r="S112">
        <f t="shared" si="14"/>
        <v>0.69899999999999995</v>
      </c>
      <c r="T112">
        <f t="shared" si="15"/>
        <v>1.2939393939999999</v>
      </c>
      <c r="U112">
        <f t="shared" si="16"/>
        <v>5.6383055559999997</v>
      </c>
      <c r="V112">
        <f t="shared" si="17"/>
        <v>2.5000000000000001E-2</v>
      </c>
      <c r="W112">
        <f t="shared" si="18"/>
        <v>0.14000000000000001</v>
      </c>
      <c r="X112">
        <f t="shared" si="19"/>
        <v>0.76400000000000001</v>
      </c>
      <c r="Y112">
        <v>159.30187219999999</v>
      </c>
      <c r="Z112">
        <v>0</v>
      </c>
      <c r="AA112">
        <v>454184</v>
      </c>
      <c r="AB112">
        <v>170596</v>
      </c>
      <c r="AC112">
        <v>6.5715274000000004E-2</v>
      </c>
      <c r="AD112">
        <v>0.72549415100000003</v>
      </c>
      <c r="AF112">
        <v>8.5513333330000005</v>
      </c>
      <c r="AG112">
        <v>4.1000000000000002E-2</v>
      </c>
      <c r="AH112">
        <v>0.03</v>
      </c>
      <c r="AI112">
        <v>0.69899999999999995</v>
      </c>
      <c r="AJ112">
        <v>1.2939393939999999</v>
      </c>
      <c r="AK112">
        <v>5.6383055559999997</v>
      </c>
      <c r="AL112">
        <v>2.5000000000000001E-2</v>
      </c>
      <c r="AM112">
        <v>0.14000000000000001</v>
      </c>
      <c r="AN112">
        <v>0.76400000000000001</v>
      </c>
    </row>
    <row r="113" spans="1:40">
      <c r="A113">
        <v>2181</v>
      </c>
      <c r="B113" t="s">
        <v>689</v>
      </c>
      <c r="C113" t="s">
        <v>687</v>
      </c>
      <c r="D113" t="s">
        <v>688</v>
      </c>
      <c r="E113">
        <v>411</v>
      </c>
      <c r="F113">
        <v>1181</v>
      </c>
      <c r="G113">
        <v>31.697827969999999</v>
      </c>
      <c r="H113">
        <v>6</v>
      </c>
      <c r="I113">
        <v>4.9546040999999999E-2</v>
      </c>
      <c r="J113">
        <v>1187</v>
      </c>
      <c r="K113">
        <v>23957.514589999999</v>
      </c>
      <c r="L113">
        <v>0.67100000000000004</v>
      </c>
      <c r="M113">
        <v>1.4388489000000001E-2</v>
      </c>
      <c r="N113">
        <v>0</v>
      </c>
      <c r="O113" t="s">
        <v>613</v>
      </c>
      <c r="P113">
        <f t="shared" si="11"/>
        <v>9.6043478259999997</v>
      </c>
      <c r="Q113">
        <f t="shared" si="12"/>
        <v>3.6999999999999998E-2</v>
      </c>
      <c r="R113">
        <f t="shared" si="13"/>
        <v>4.3999999999999997E-2</v>
      </c>
      <c r="S113">
        <f t="shared" si="14"/>
        <v>0.67100000000000004</v>
      </c>
      <c r="T113">
        <f t="shared" si="15"/>
        <v>1.5542307689999999</v>
      </c>
      <c r="U113">
        <f t="shared" si="16"/>
        <v>5.2961714290000002</v>
      </c>
      <c r="V113">
        <f t="shared" si="17"/>
        <v>3.2000000000000001E-2</v>
      </c>
      <c r="W113">
        <f t="shared" si="18"/>
        <v>0.17199999999999999</v>
      </c>
      <c r="X113">
        <f t="shared" si="19"/>
        <v>0.74199999999999999</v>
      </c>
      <c r="Y113">
        <v>121.06417159999999</v>
      </c>
      <c r="Z113">
        <v>0</v>
      </c>
      <c r="AA113">
        <v>454184</v>
      </c>
      <c r="AB113">
        <v>170596</v>
      </c>
      <c r="AC113">
        <v>6.5715274000000004E-2</v>
      </c>
      <c r="AD113">
        <v>0.72549415100000003</v>
      </c>
      <c r="AF113">
        <v>9.6043478259999997</v>
      </c>
      <c r="AG113">
        <v>3.6999999999999998E-2</v>
      </c>
      <c r="AH113">
        <v>4.3999999999999997E-2</v>
      </c>
      <c r="AI113">
        <v>0.67100000000000004</v>
      </c>
      <c r="AJ113">
        <v>1.5542307689999999</v>
      </c>
      <c r="AK113">
        <v>5.2961714290000002</v>
      </c>
      <c r="AL113">
        <v>3.2000000000000001E-2</v>
      </c>
      <c r="AM113">
        <v>0.17199999999999999</v>
      </c>
      <c r="AN113">
        <v>0.74199999999999999</v>
      </c>
    </row>
    <row r="114" spans="1:40">
      <c r="A114">
        <v>2182</v>
      </c>
      <c r="B114" t="s">
        <v>689</v>
      </c>
      <c r="C114" t="s">
        <v>687</v>
      </c>
      <c r="D114" t="s">
        <v>688</v>
      </c>
      <c r="E114">
        <v>430</v>
      </c>
      <c r="F114">
        <v>1100</v>
      </c>
      <c r="G114">
        <v>45.15518153</v>
      </c>
      <c r="H114">
        <v>55</v>
      </c>
      <c r="I114">
        <v>7.0581349000000002E-2</v>
      </c>
      <c r="J114">
        <v>1155</v>
      </c>
      <c r="K114">
        <v>16364.09641</v>
      </c>
      <c r="L114">
        <v>0.70199999999999996</v>
      </c>
      <c r="M114">
        <v>0.113402062</v>
      </c>
      <c r="N114">
        <v>0</v>
      </c>
      <c r="O114" t="s">
        <v>613</v>
      </c>
      <c r="P114">
        <f t="shared" si="11"/>
        <v>9.8779729730000003</v>
      </c>
      <c r="Q114">
        <f t="shared" si="12"/>
        <v>8.1000000000000003E-2</v>
      </c>
      <c r="R114">
        <f t="shared" si="13"/>
        <v>6.6000000000000003E-2</v>
      </c>
      <c r="S114">
        <f t="shared" si="14"/>
        <v>0.70199999999999996</v>
      </c>
      <c r="T114">
        <f t="shared" si="15"/>
        <v>2.1202272729999998</v>
      </c>
      <c r="U114">
        <f t="shared" si="16"/>
        <v>4.5453333330000003</v>
      </c>
      <c r="V114">
        <f t="shared" si="17"/>
        <v>0.16800000000000001</v>
      </c>
      <c r="W114">
        <f t="shared" si="18"/>
        <v>0.21199999999999999</v>
      </c>
      <c r="X114">
        <f t="shared" si="19"/>
        <v>0.54</v>
      </c>
      <c r="Y114">
        <v>161.16119900000001</v>
      </c>
      <c r="Z114">
        <v>0</v>
      </c>
      <c r="AA114">
        <v>454184</v>
      </c>
      <c r="AB114">
        <v>170596</v>
      </c>
      <c r="AC114">
        <v>6.5715274000000004E-2</v>
      </c>
      <c r="AD114">
        <v>0.72549415100000003</v>
      </c>
      <c r="AF114">
        <v>9.8779729730000003</v>
      </c>
      <c r="AG114">
        <v>8.1000000000000003E-2</v>
      </c>
      <c r="AH114">
        <v>6.6000000000000003E-2</v>
      </c>
      <c r="AI114">
        <v>0.70199999999999996</v>
      </c>
      <c r="AJ114">
        <v>2.1202272729999998</v>
      </c>
      <c r="AK114">
        <v>4.5453333330000003</v>
      </c>
      <c r="AL114">
        <v>0.16800000000000001</v>
      </c>
      <c r="AM114">
        <v>0.21199999999999999</v>
      </c>
      <c r="AN114">
        <v>0.54</v>
      </c>
    </row>
    <row r="115" spans="1:40">
      <c r="A115">
        <v>2183</v>
      </c>
      <c r="B115" t="s">
        <v>689</v>
      </c>
      <c r="C115" t="s">
        <v>687</v>
      </c>
      <c r="D115" t="s">
        <v>688</v>
      </c>
      <c r="E115">
        <v>378</v>
      </c>
      <c r="F115">
        <v>1048</v>
      </c>
      <c r="G115">
        <v>81.707137189999997</v>
      </c>
      <c r="H115">
        <v>215</v>
      </c>
      <c r="I115">
        <v>0.127721264</v>
      </c>
      <c r="J115">
        <v>1263</v>
      </c>
      <c r="K115">
        <v>9888.7214270000004</v>
      </c>
      <c r="L115">
        <v>0.80700000000000005</v>
      </c>
      <c r="M115">
        <v>0.36256323800000001</v>
      </c>
      <c r="N115">
        <v>0</v>
      </c>
      <c r="O115" t="s">
        <v>620</v>
      </c>
      <c r="P115">
        <f t="shared" si="11"/>
        <v>11.757</v>
      </c>
      <c r="Q115">
        <f t="shared" si="12"/>
        <v>2.5000000000000001E-2</v>
      </c>
      <c r="R115">
        <f t="shared" si="13"/>
        <v>6.3E-2</v>
      </c>
      <c r="S115">
        <f t="shared" si="14"/>
        <v>0.80700000000000005</v>
      </c>
      <c r="T115">
        <f t="shared" si="15"/>
        <v>2.2884782609999998</v>
      </c>
      <c r="U115">
        <f t="shared" si="16"/>
        <v>6.7627464789999996</v>
      </c>
      <c r="V115">
        <f t="shared" si="17"/>
        <v>7.4999999999999997E-2</v>
      </c>
      <c r="W115">
        <f t="shared" si="18"/>
        <v>7.4999999999999997E-2</v>
      </c>
      <c r="X115">
        <f t="shared" si="19"/>
        <v>0.81200000000000006</v>
      </c>
      <c r="Y115">
        <v>95.710965709999996</v>
      </c>
      <c r="Z115">
        <v>0</v>
      </c>
      <c r="AA115">
        <v>454184</v>
      </c>
      <c r="AB115">
        <v>170596</v>
      </c>
      <c r="AC115">
        <v>6.5715274000000004E-2</v>
      </c>
      <c r="AD115">
        <v>0.72549415100000003</v>
      </c>
      <c r="AF115">
        <v>11.757</v>
      </c>
      <c r="AG115">
        <v>2.5000000000000001E-2</v>
      </c>
      <c r="AH115">
        <v>6.3E-2</v>
      </c>
      <c r="AI115">
        <v>0.80700000000000005</v>
      </c>
      <c r="AJ115">
        <v>2.2884782609999998</v>
      </c>
      <c r="AK115">
        <v>6.7627464789999996</v>
      </c>
      <c r="AL115">
        <v>7.4999999999999997E-2</v>
      </c>
      <c r="AM115">
        <v>7.4999999999999997E-2</v>
      </c>
      <c r="AN115">
        <v>0.81200000000000006</v>
      </c>
    </row>
    <row r="116" spans="1:40">
      <c r="A116">
        <v>2184</v>
      </c>
      <c r="B116" t="s">
        <v>686</v>
      </c>
      <c r="C116" t="s">
        <v>687</v>
      </c>
      <c r="D116" t="s">
        <v>688</v>
      </c>
      <c r="E116">
        <v>278</v>
      </c>
      <c r="F116">
        <v>691</v>
      </c>
      <c r="G116">
        <v>52.016263510000002</v>
      </c>
      <c r="H116">
        <v>146</v>
      </c>
      <c r="I116">
        <v>8.1307325E-2</v>
      </c>
      <c r="J116">
        <v>837</v>
      </c>
      <c r="K116">
        <v>10294.275449999999</v>
      </c>
      <c r="L116">
        <v>0.75700000000000001</v>
      </c>
      <c r="M116">
        <v>0.34433962299999998</v>
      </c>
      <c r="N116">
        <v>0</v>
      </c>
      <c r="O116" t="s">
        <v>613</v>
      </c>
      <c r="P116">
        <f t="shared" si="11"/>
        <v>12.81557143</v>
      </c>
      <c r="Q116">
        <f t="shared" si="12"/>
        <v>4.4999999999999998E-2</v>
      </c>
      <c r="R116">
        <f t="shared" si="13"/>
        <v>2.5999999999999999E-2</v>
      </c>
      <c r="S116">
        <f t="shared" si="14"/>
        <v>0.75700000000000001</v>
      </c>
      <c r="T116">
        <f t="shared" si="15"/>
        <v>1.542142857</v>
      </c>
      <c r="U116">
        <f t="shared" si="16"/>
        <v>6.9564136129999996</v>
      </c>
      <c r="V116">
        <f t="shared" si="17"/>
        <v>3.7999999999999999E-2</v>
      </c>
      <c r="W116">
        <f t="shared" si="18"/>
        <v>0.20200000000000001</v>
      </c>
      <c r="X116">
        <f t="shared" si="19"/>
        <v>0.67300000000000004</v>
      </c>
      <c r="Y116">
        <v>158.34808390000001</v>
      </c>
      <c r="Z116">
        <v>1</v>
      </c>
      <c r="AA116">
        <v>140316</v>
      </c>
      <c r="AB116">
        <v>49638</v>
      </c>
      <c r="AC116">
        <v>9.1283894000000004E-2</v>
      </c>
      <c r="AD116">
        <v>0.60339869999999995</v>
      </c>
      <c r="AF116">
        <v>12.81557143</v>
      </c>
      <c r="AG116">
        <v>4.4999999999999998E-2</v>
      </c>
      <c r="AH116">
        <v>2.5999999999999999E-2</v>
      </c>
      <c r="AI116">
        <v>0.75700000000000001</v>
      </c>
      <c r="AJ116">
        <v>1.542142857</v>
      </c>
      <c r="AK116">
        <v>6.9564136129999996</v>
      </c>
      <c r="AL116">
        <v>3.7999999999999999E-2</v>
      </c>
      <c r="AM116">
        <v>0.20200000000000001</v>
      </c>
      <c r="AN116">
        <v>0.67300000000000004</v>
      </c>
    </row>
    <row r="117" spans="1:40">
      <c r="A117">
        <v>2185</v>
      </c>
      <c r="B117" t="s">
        <v>689</v>
      </c>
      <c r="C117" t="s">
        <v>687</v>
      </c>
      <c r="D117" t="s">
        <v>688</v>
      </c>
      <c r="E117">
        <v>754</v>
      </c>
      <c r="F117">
        <v>1880</v>
      </c>
      <c r="G117">
        <v>266.49975330000001</v>
      </c>
      <c r="H117">
        <v>1956</v>
      </c>
      <c r="I117">
        <v>0.41658040699999999</v>
      </c>
      <c r="J117">
        <v>3836</v>
      </c>
      <c r="K117">
        <v>9208.3063330000004</v>
      </c>
      <c r="L117">
        <v>0.83299999999999996</v>
      </c>
      <c r="M117">
        <v>0.72177121799999999</v>
      </c>
      <c r="N117">
        <v>0</v>
      </c>
      <c r="O117" t="s">
        <v>620</v>
      </c>
      <c r="P117">
        <f t="shared" si="11"/>
        <v>12.835080209999999</v>
      </c>
      <c r="Q117">
        <f t="shared" si="12"/>
        <v>2.4E-2</v>
      </c>
      <c r="R117">
        <f t="shared" si="13"/>
        <v>2.1000000000000001E-2</v>
      </c>
      <c r="S117">
        <f t="shared" si="14"/>
        <v>0.83299999999999996</v>
      </c>
      <c r="T117">
        <f t="shared" si="15"/>
        <v>3.0910344830000001</v>
      </c>
      <c r="U117">
        <f t="shared" si="16"/>
        <v>8.5246794589999997</v>
      </c>
      <c r="V117">
        <f t="shared" si="17"/>
        <v>2.8000000000000001E-2</v>
      </c>
      <c r="W117">
        <f t="shared" si="18"/>
        <v>9.4E-2</v>
      </c>
      <c r="X117">
        <f t="shared" si="19"/>
        <v>0.85799999999999998</v>
      </c>
      <c r="Y117">
        <v>125.4004316</v>
      </c>
      <c r="Z117">
        <v>0</v>
      </c>
      <c r="AA117">
        <v>454184</v>
      </c>
      <c r="AB117">
        <v>170596</v>
      </c>
      <c r="AC117">
        <v>6.5715274000000004E-2</v>
      </c>
      <c r="AD117">
        <v>0.72549415100000003</v>
      </c>
      <c r="AF117">
        <v>12.835080209999999</v>
      </c>
      <c r="AG117">
        <v>2.4E-2</v>
      </c>
      <c r="AH117">
        <v>2.1000000000000001E-2</v>
      </c>
      <c r="AI117">
        <v>0.83299999999999996</v>
      </c>
      <c r="AJ117">
        <v>3.0910344830000001</v>
      </c>
      <c r="AK117">
        <v>8.5246794589999997</v>
      </c>
      <c r="AL117">
        <v>2.8000000000000001E-2</v>
      </c>
      <c r="AM117">
        <v>9.4E-2</v>
      </c>
      <c r="AN117">
        <v>0.85799999999999998</v>
      </c>
    </row>
    <row r="118" spans="1:40">
      <c r="A118">
        <v>2186</v>
      </c>
      <c r="B118" t="s">
        <v>689</v>
      </c>
      <c r="C118" t="s">
        <v>687</v>
      </c>
      <c r="D118" t="s">
        <v>688</v>
      </c>
      <c r="E118">
        <v>802</v>
      </c>
      <c r="F118">
        <v>1992</v>
      </c>
      <c r="G118">
        <v>254.95810230000001</v>
      </c>
      <c r="H118">
        <v>9</v>
      </c>
      <c r="I118">
        <v>0.39854408800000002</v>
      </c>
      <c r="J118">
        <v>2001</v>
      </c>
      <c r="K118">
        <v>5020.7745150000001</v>
      </c>
      <c r="L118">
        <v>0.89100000000000001</v>
      </c>
      <c r="M118">
        <v>1.1097411E-2</v>
      </c>
      <c r="N118">
        <v>0</v>
      </c>
      <c r="O118" t="s">
        <v>620</v>
      </c>
      <c r="P118">
        <f t="shared" si="11"/>
        <v>12.737743589999999</v>
      </c>
      <c r="Q118">
        <f t="shared" si="12"/>
        <v>3.6999999999999998E-2</v>
      </c>
      <c r="R118">
        <f t="shared" si="13"/>
        <v>2.8000000000000001E-2</v>
      </c>
      <c r="S118">
        <f t="shared" si="14"/>
        <v>0.89100000000000001</v>
      </c>
      <c r="T118">
        <f t="shared" si="15"/>
        <v>3.3930434780000001</v>
      </c>
      <c r="U118">
        <f t="shared" si="16"/>
        <v>9.0226308349999993</v>
      </c>
      <c r="V118">
        <f t="shared" si="17"/>
        <v>2.5999999999999999E-2</v>
      </c>
      <c r="W118">
        <f t="shared" si="18"/>
        <v>0.122</v>
      </c>
      <c r="X118">
        <f t="shared" si="19"/>
        <v>0.85199999999999998</v>
      </c>
      <c r="Y118">
        <v>79.518804070000002</v>
      </c>
      <c r="Z118">
        <v>0</v>
      </c>
      <c r="AA118">
        <v>454184</v>
      </c>
      <c r="AB118">
        <v>170596</v>
      </c>
      <c r="AC118">
        <v>6.5715274000000004E-2</v>
      </c>
      <c r="AD118">
        <v>0.72549415100000003</v>
      </c>
      <c r="AF118">
        <v>12.737743589999999</v>
      </c>
      <c r="AG118">
        <v>3.6999999999999998E-2</v>
      </c>
      <c r="AH118">
        <v>2.8000000000000001E-2</v>
      </c>
      <c r="AI118">
        <v>0.89100000000000001</v>
      </c>
      <c r="AJ118">
        <v>3.3930434780000001</v>
      </c>
      <c r="AK118">
        <v>9.0226308349999993</v>
      </c>
      <c r="AL118">
        <v>2.5999999999999999E-2</v>
      </c>
      <c r="AM118">
        <v>0.122</v>
      </c>
      <c r="AN118">
        <v>0.85199999999999998</v>
      </c>
    </row>
    <row r="119" spans="1:40">
      <c r="A119">
        <v>2187</v>
      </c>
      <c r="B119" t="s">
        <v>689</v>
      </c>
      <c r="C119" t="s">
        <v>687</v>
      </c>
      <c r="D119" t="s">
        <v>688</v>
      </c>
      <c r="E119">
        <v>434</v>
      </c>
      <c r="F119">
        <v>871</v>
      </c>
      <c r="G119">
        <v>35.78572423</v>
      </c>
      <c r="H119">
        <v>315</v>
      </c>
      <c r="I119">
        <v>5.5936956000000003E-2</v>
      </c>
      <c r="J119">
        <v>1186</v>
      </c>
      <c r="K119">
        <v>21202.44083</v>
      </c>
      <c r="L119">
        <v>0.73399999999999999</v>
      </c>
      <c r="M119">
        <v>0.42056074799999998</v>
      </c>
      <c r="N119">
        <v>1</v>
      </c>
      <c r="O119" t="s">
        <v>606</v>
      </c>
      <c r="P119">
        <f t="shared" si="11"/>
        <v>12.46306122</v>
      </c>
      <c r="Q119">
        <f t="shared" si="12"/>
        <v>0.08</v>
      </c>
      <c r="R119">
        <f t="shared" si="13"/>
        <v>3.1E-2</v>
      </c>
      <c r="S119">
        <f t="shared" si="14"/>
        <v>0.73399999999999999</v>
      </c>
      <c r="T119">
        <f t="shared" si="15"/>
        <v>2.0103333330000002</v>
      </c>
      <c r="U119">
        <f t="shared" si="16"/>
        <v>5.9931484260000003</v>
      </c>
      <c r="V119">
        <f t="shared" si="17"/>
        <v>0.06</v>
      </c>
      <c r="W119">
        <f t="shared" si="18"/>
        <v>0.187</v>
      </c>
      <c r="X119">
        <f t="shared" si="19"/>
        <v>0.65300000000000002</v>
      </c>
      <c r="Y119">
        <v>196.6436611</v>
      </c>
      <c r="Z119">
        <v>0</v>
      </c>
      <c r="AA119">
        <v>454184</v>
      </c>
      <c r="AB119">
        <v>170596</v>
      </c>
      <c r="AC119">
        <v>6.5715274000000004E-2</v>
      </c>
      <c r="AD119">
        <v>0.72549415100000003</v>
      </c>
      <c r="AF119">
        <v>12.46306122</v>
      </c>
      <c r="AG119">
        <v>0.08</v>
      </c>
      <c r="AH119">
        <v>3.1E-2</v>
      </c>
      <c r="AI119">
        <v>0.73399999999999999</v>
      </c>
      <c r="AJ119">
        <v>2.0103333330000002</v>
      </c>
      <c r="AK119">
        <v>5.9931484260000003</v>
      </c>
      <c r="AL119">
        <v>0.06</v>
      </c>
      <c r="AM119">
        <v>0.187</v>
      </c>
      <c r="AN119">
        <v>0.65300000000000002</v>
      </c>
    </row>
    <row r="120" spans="1:40">
      <c r="A120">
        <v>2188</v>
      </c>
      <c r="B120" t="s">
        <v>689</v>
      </c>
      <c r="C120" t="s">
        <v>687</v>
      </c>
      <c r="D120" t="s">
        <v>688</v>
      </c>
      <c r="E120">
        <v>306</v>
      </c>
      <c r="F120">
        <v>781</v>
      </c>
      <c r="G120">
        <v>47.113724759999997</v>
      </c>
      <c r="H120">
        <v>903</v>
      </c>
      <c r="I120">
        <v>7.3647843000000004E-2</v>
      </c>
      <c r="J120">
        <v>1684</v>
      </c>
      <c r="K120">
        <v>22865.571230000001</v>
      </c>
      <c r="L120">
        <v>0.751</v>
      </c>
      <c r="M120">
        <v>0.74689826299999995</v>
      </c>
      <c r="N120">
        <v>1</v>
      </c>
      <c r="O120" t="s">
        <v>606</v>
      </c>
      <c r="P120">
        <f t="shared" si="11"/>
        <v>11.09834171</v>
      </c>
      <c r="Q120">
        <f t="shared" si="12"/>
        <v>8.1000000000000003E-2</v>
      </c>
      <c r="R120">
        <f t="shared" si="13"/>
        <v>1.6E-2</v>
      </c>
      <c r="S120">
        <f t="shared" si="14"/>
        <v>0.751</v>
      </c>
      <c r="T120">
        <f t="shared" si="15"/>
        <v>1.877307692</v>
      </c>
      <c r="U120">
        <f t="shared" si="16"/>
        <v>6.5249083329999999</v>
      </c>
      <c r="V120">
        <f t="shared" si="17"/>
        <v>0.05</v>
      </c>
      <c r="W120">
        <f t="shared" si="18"/>
        <v>0.191</v>
      </c>
      <c r="X120">
        <f t="shared" si="19"/>
        <v>0.622</v>
      </c>
      <c r="Y120">
        <v>258.62401679999999</v>
      </c>
      <c r="Z120">
        <v>0</v>
      </c>
      <c r="AA120">
        <v>454184</v>
      </c>
      <c r="AB120">
        <v>170596</v>
      </c>
      <c r="AC120">
        <v>6.5715274000000004E-2</v>
      </c>
      <c r="AD120">
        <v>0.72549415100000003</v>
      </c>
      <c r="AF120">
        <v>11.09834171</v>
      </c>
      <c r="AG120">
        <v>8.1000000000000003E-2</v>
      </c>
      <c r="AH120">
        <v>1.6E-2</v>
      </c>
      <c r="AI120">
        <v>0.751</v>
      </c>
      <c r="AJ120">
        <v>1.877307692</v>
      </c>
      <c r="AK120">
        <v>6.5249083329999999</v>
      </c>
      <c r="AL120">
        <v>0.05</v>
      </c>
      <c r="AM120">
        <v>0.191</v>
      </c>
      <c r="AN120">
        <v>0.622</v>
      </c>
    </row>
    <row r="121" spans="1:40">
      <c r="A121">
        <v>2189</v>
      </c>
      <c r="B121" t="s">
        <v>706</v>
      </c>
      <c r="C121" t="s">
        <v>684</v>
      </c>
      <c r="D121" t="s">
        <v>685</v>
      </c>
      <c r="E121">
        <v>453</v>
      </c>
      <c r="F121">
        <v>1633</v>
      </c>
      <c r="G121">
        <v>108.0911644</v>
      </c>
      <c r="H121">
        <v>134</v>
      </c>
      <c r="I121">
        <v>0.16895848499999999</v>
      </c>
      <c r="J121">
        <v>1767</v>
      </c>
      <c r="K121">
        <v>10458.19037</v>
      </c>
      <c r="L121">
        <v>0.81200000000000006</v>
      </c>
      <c r="M121">
        <v>0.228279387</v>
      </c>
      <c r="N121">
        <v>0</v>
      </c>
      <c r="O121" t="s">
        <v>620</v>
      </c>
      <c r="P121">
        <f t="shared" si="11"/>
        <v>14.321904760000001</v>
      </c>
      <c r="Q121">
        <f t="shared" si="12"/>
        <v>2.3E-2</v>
      </c>
      <c r="R121">
        <f t="shared" si="13"/>
        <v>1.2999999999999999E-2</v>
      </c>
      <c r="S121">
        <f t="shared" si="14"/>
        <v>0.81200000000000006</v>
      </c>
      <c r="T121">
        <f t="shared" si="15"/>
        <v>2.5691666670000002</v>
      </c>
      <c r="U121">
        <f t="shared" si="16"/>
        <v>7.2172039940000001</v>
      </c>
      <c r="V121">
        <f t="shared" si="17"/>
        <v>4.2999999999999997E-2</v>
      </c>
      <c r="W121">
        <f t="shared" si="18"/>
        <v>1.4E-2</v>
      </c>
      <c r="X121">
        <f t="shared" si="19"/>
        <v>0.9</v>
      </c>
      <c r="Y121">
        <v>115.73025010000001</v>
      </c>
      <c r="Z121">
        <v>0</v>
      </c>
      <c r="AA121">
        <v>47401</v>
      </c>
      <c r="AB121">
        <v>14616</v>
      </c>
      <c r="AC121">
        <v>1.1721782E-2</v>
      </c>
      <c r="AD121">
        <v>0.85588417900000002</v>
      </c>
      <c r="AF121">
        <v>14.321904760000001</v>
      </c>
      <c r="AG121">
        <v>2.3E-2</v>
      </c>
      <c r="AH121">
        <v>1.2999999999999999E-2</v>
      </c>
      <c r="AI121">
        <v>0.81200000000000006</v>
      </c>
      <c r="AJ121">
        <v>2.5691666670000002</v>
      </c>
      <c r="AK121">
        <v>7.2172039940000001</v>
      </c>
      <c r="AL121">
        <v>4.2999999999999997E-2</v>
      </c>
      <c r="AM121">
        <v>1.4E-2</v>
      </c>
      <c r="AN121">
        <v>0.9</v>
      </c>
    </row>
    <row r="122" spans="1:40">
      <c r="A122">
        <v>2190</v>
      </c>
      <c r="B122" t="s">
        <v>695</v>
      </c>
      <c r="C122" t="s">
        <v>696</v>
      </c>
      <c r="D122" t="s">
        <v>697</v>
      </c>
      <c r="E122">
        <v>312</v>
      </c>
      <c r="F122">
        <v>709</v>
      </c>
      <c r="G122">
        <v>59.960374610000002</v>
      </c>
      <c r="H122">
        <v>132</v>
      </c>
      <c r="I122">
        <v>9.3719805000000003E-2</v>
      </c>
      <c r="J122">
        <v>841</v>
      </c>
      <c r="K122">
        <v>8973.5568700000003</v>
      </c>
      <c r="L122">
        <v>0.77700000000000002</v>
      </c>
      <c r="M122">
        <v>0.29729729700000002</v>
      </c>
      <c r="N122">
        <v>1</v>
      </c>
      <c r="O122" t="s">
        <v>620</v>
      </c>
      <c r="P122">
        <f t="shared" si="11"/>
        <v>14.022</v>
      </c>
      <c r="Q122">
        <f t="shared" si="12"/>
        <v>0.04</v>
      </c>
      <c r="R122">
        <f t="shared" si="13"/>
        <v>3.5000000000000003E-2</v>
      </c>
      <c r="S122">
        <f t="shared" si="14"/>
        <v>0.77700000000000002</v>
      </c>
      <c r="T122">
        <f t="shared" si="15"/>
        <v>1.9704999999999999</v>
      </c>
      <c r="U122">
        <f t="shared" si="16"/>
        <v>7.7178587700000003</v>
      </c>
      <c r="V122">
        <f t="shared" si="17"/>
        <v>5.3999999999999999E-2</v>
      </c>
      <c r="W122">
        <f t="shared" si="18"/>
        <v>0.16300000000000001</v>
      </c>
      <c r="X122">
        <f t="shared" si="19"/>
        <v>0.76100000000000001</v>
      </c>
      <c r="Y122">
        <v>80.281181360000005</v>
      </c>
      <c r="Z122">
        <v>0</v>
      </c>
      <c r="AA122">
        <v>62139</v>
      </c>
      <c r="AB122">
        <v>22178</v>
      </c>
      <c r="AC122">
        <v>2.5956119999999999E-2</v>
      </c>
      <c r="AD122">
        <v>0.81129361</v>
      </c>
      <c r="AF122">
        <v>14.022</v>
      </c>
      <c r="AG122">
        <v>0.04</v>
      </c>
      <c r="AH122">
        <v>3.5000000000000003E-2</v>
      </c>
      <c r="AI122">
        <v>0.77700000000000002</v>
      </c>
      <c r="AJ122">
        <v>1.9704999999999999</v>
      </c>
      <c r="AK122">
        <v>7.7178587700000003</v>
      </c>
      <c r="AL122">
        <v>5.3999999999999999E-2</v>
      </c>
      <c r="AM122">
        <v>0.16300000000000001</v>
      </c>
      <c r="AN122">
        <v>0.76100000000000001</v>
      </c>
    </row>
    <row r="123" spans="1:40">
      <c r="A123">
        <v>2191</v>
      </c>
      <c r="B123" t="s">
        <v>686</v>
      </c>
      <c r="C123" t="s">
        <v>687</v>
      </c>
      <c r="D123" t="s">
        <v>688</v>
      </c>
      <c r="E123">
        <v>466</v>
      </c>
      <c r="F123">
        <v>1128</v>
      </c>
      <c r="G123">
        <v>49.00607041</v>
      </c>
      <c r="H123">
        <v>179</v>
      </c>
      <c r="I123">
        <v>7.6607966999999999E-2</v>
      </c>
      <c r="J123">
        <v>1307</v>
      </c>
      <c r="K123">
        <v>17060.888719999999</v>
      </c>
      <c r="L123">
        <v>0.72599999999999998</v>
      </c>
      <c r="M123">
        <v>0.27751937999999998</v>
      </c>
      <c r="N123">
        <v>0</v>
      </c>
      <c r="O123" t="s">
        <v>613</v>
      </c>
      <c r="P123">
        <f t="shared" si="11"/>
        <v>11.244615380000001</v>
      </c>
      <c r="Q123">
        <f t="shared" si="12"/>
        <v>0.104</v>
      </c>
      <c r="R123">
        <f t="shared" si="13"/>
        <v>3.5999999999999997E-2</v>
      </c>
      <c r="S123">
        <f t="shared" si="14"/>
        <v>0.72599999999999998</v>
      </c>
      <c r="T123">
        <f t="shared" si="15"/>
        <v>2.2592857139999998</v>
      </c>
      <c r="U123">
        <f t="shared" si="16"/>
        <v>6.532702703</v>
      </c>
      <c r="V123">
        <f t="shared" si="17"/>
        <v>0.10100000000000001</v>
      </c>
      <c r="W123">
        <f t="shared" si="18"/>
        <v>0.247</v>
      </c>
      <c r="X123">
        <f t="shared" si="19"/>
        <v>0.59099999999999997</v>
      </c>
      <c r="Y123">
        <v>198.71879730000001</v>
      </c>
      <c r="Z123">
        <v>1</v>
      </c>
      <c r="AA123">
        <v>140316</v>
      </c>
      <c r="AB123">
        <v>49638</v>
      </c>
      <c r="AC123">
        <v>9.1283894000000004E-2</v>
      </c>
      <c r="AD123">
        <v>0.60339869999999995</v>
      </c>
      <c r="AF123">
        <v>11.244615380000001</v>
      </c>
      <c r="AG123">
        <v>0.104</v>
      </c>
      <c r="AH123">
        <v>3.5999999999999997E-2</v>
      </c>
      <c r="AI123">
        <v>0.72599999999999998</v>
      </c>
      <c r="AJ123">
        <v>2.2592857139999998</v>
      </c>
      <c r="AK123">
        <v>6.532702703</v>
      </c>
      <c r="AL123">
        <v>0.10100000000000001</v>
      </c>
      <c r="AM123">
        <v>0.247</v>
      </c>
      <c r="AN123">
        <v>0.59099999999999997</v>
      </c>
    </row>
    <row r="124" spans="1:40">
      <c r="A124">
        <v>2192</v>
      </c>
      <c r="B124" t="s">
        <v>706</v>
      </c>
      <c r="C124" t="s">
        <v>684</v>
      </c>
      <c r="D124" t="s">
        <v>685</v>
      </c>
      <c r="E124">
        <v>452</v>
      </c>
      <c r="F124">
        <v>1632</v>
      </c>
      <c r="G124">
        <v>144.36494709999999</v>
      </c>
      <c r="H124">
        <v>412</v>
      </c>
      <c r="I124">
        <v>0.22565528400000001</v>
      </c>
      <c r="J124">
        <v>2044</v>
      </c>
      <c r="K124">
        <v>9058.0639800000008</v>
      </c>
      <c r="L124">
        <v>0.85699999999999998</v>
      </c>
      <c r="M124">
        <v>0.47685185200000002</v>
      </c>
      <c r="N124">
        <v>0</v>
      </c>
      <c r="O124" t="s">
        <v>620</v>
      </c>
      <c r="P124">
        <f t="shared" si="11"/>
        <v>12.83057269</v>
      </c>
      <c r="Q124">
        <f t="shared" si="12"/>
        <v>1.7999999999999999E-2</v>
      </c>
      <c r="R124">
        <f t="shared" si="13"/>
        <v>1.0999999999999999E-2</v>
      </c>
      <c r="S124">
        <f t="shared" si="14"/>
        <v>0.85699999999999998</v>
      </c>
      <c r="T124">
        <f t="shared" si="15"/>
        <v>2.0856249999999998</v>
      </c>
      <c r="U124">
        <f t="shared" si="16"/>
        <v>7.0566907050000003</v>
      </c>
      <c r="V124">
        <f t="shared" si="17"/>
        <v>8.0000000000000002E-3</v>
      </c>
      <c r="W124">
        <f t="shared" si="18"/>
        <v>0.05</v>
      </c>
      <c r="X124">
        <f t="shared" si="19"/>
        <v>0.876</v>
      </c>
      <c r="Y124">
        <v>133.0487555</v>
      </c>
      <c r="Z124">
        <v>0</v>
      </c>
      <c r="AA124">
        <v>47401</v>
      </c>
      <c r="AB124">
        <v>14616</v>
      </c>
      <c r="AC124">
        <v>1.1721782E-2</v>
      </c>
      <c r="AD124">
        <v>0.85588417900000002</v>
      </c>
      <c r="AF124">
        <v>12.83057269</v>
      </c>
      <c r="AG124">
        <v>1.7999999999999999E-2</v>
      </c>
      <c r="AH124">
        <v>1.0999999999999999E-2</v>
      </c>
      <c r="AI124">
        <v>0.85699999999999998</v>
      </c>
      <c r="AJ124">
        <v>2.0856249999999998</v>
      </c>
      <c r="AK124">
        <v>7.0566907050000003</v>
      </c>
      <c r="AL124">
        <v>8.0000000000000002E-3</v>
      </c>
      <c r="AM124">
        <v>0.05</v>
      </c>
      <c r="AN124">
        <v>0.876</v>
      </c>
    </row>
    <row r="125" spans="1:40">
      <c r="A125">
        <v>2193</v>
      </c>
      <c r="B125" t="s">
        <v>691</v>
      </c>
      <c r="C125" t="s">
        <v>684</v>
      </c>
      <c r="D125" t="s">
        <v>685</v>
      </c>
      <c r="E125">
        <v>1191</v>
      </c>
      <c r="F125">
        <v>3365</v>
      </c>
      <c r="G125">
        <v>63.973695509999999</v>
      </c>
      <c r="H125">
        <v>131</v>
      </c>
      <c r="I125">
        <v>9.9997811000000006E-2</v>
      </c>
      <c r="J125">
        <v>3496</v>
      </c>
      <c r="K125">
        <v>34960.765290000003</v>
      </c>
      <c r="L125">
        <v>0.77</v>
      </c>
      <c r="M125">
        <v>9.9092284000000003E-2</v>
      </c>
      <c r="N125">
        <v>0</v>
      </c>
      <c r="O125" t="s">
        <v>613</v>
      </c>
      <c r="P125">
        <f t="shared" si="11"/>
        <v>11.75531447</v>
      </c>
      <c r="Q125">
        <f t="shared" si="12"/>
        <v>2.5999999999999999E-2</v>
      </c>
      <c r="R125">
        <f t="shared" si="13"/>
        <v>1.4E-2</v>
      </c>
      <c r="S125">
        <f t="shared" si="14"/>
        <v>0.77</v>
      </c>
      <c r="T125">
        <f t="shared" si="15"/>
        <v>1.97</v>
      </c>
      <c r="U125">
        <f t="shared" si="16"/>
        <v>6.2508278339999999</v>
      </c>
      <c r="V125">
        <f t="shared" si="17"/>
        <v>0.02</v>
      </c>
      <c r="W125">
        <f t="shared" si="18"/>
        <v>9.2999999999999999E-2</v>
      </c>
      <c r="X125">
        <f t="shared" si="19"/>
        <v>0.80100000000000005</v>
      </c>
      <c r="Y125">
        <v>100.3253101</v>
      </c>
      <c r="Z125">
        <v>0</v>
      </c>
      <c r="AA125">
        <v>236250</v>
      </c>
      <c r="AB125">
        <v>76158</v>
      </c>
      <c r="AC125">
        <v>1.7652984E-2</v>
      </c>
      <c r="AD125">
        <v>0.84750225300000004</v>
      </c>
      <c r="AF125">
        <v>11.75531447</v>
      </c>
      <c r="AG125">
        <v>2.5999999999999999E-2</v>
      </c>
      <c r="AH125">
        <v>1.4E-2</v>
      </c>
      <c r="AI125">
        <v>0.77</v>
      </c>
      <c r="AJ125">
        <v>1.97</v>
      </c>
      <c r="AK125">
        <v>6.2508278339999999</v>
      </c>
      <c r="AL125">
        <v>0.02</v>
      </c>
      <c r="AM125">
        <v>9.2999999999999999E-2</v>
      </c>
      <c r="AN125">
        <v>0.80100000000000005</v>
      </c>
    </row>
    <row r="126" spans="1:40">
      <c r="A126">
        <v>2194</v>
      </c>
      <c r="B126" t="s">
        <v>691</v>
      </c>
      <c r="C126" t="s">
        <v>684</v>
      </c>
      <c r="D126" t="s">
        <v>685</v>
      </c>
      <c r="E126">
        <v>292</v>
      </c>
      <c r="F126">
        <v>1007</v>
      </c>
      <c r="G126">
        <v>90.293072140000007</v>
      </c>
      <c r="H126">
        <v>90</v>
      </c>
      <c r="I126">
        <v>0.141132959</v>
      </c>
      <c r="J126">
        <v>1097</v>
      </c>
      <c r="K126">
        <v>7772.8123020000003</v>
      </c>
      <c r="L126">
        <v>0.85899999999999999</v>
      </c>
      <c r="M126">
        <v>0.23560209400000001</v>
      </c>
      <c r="N126">
        <v>0</v>
      </c>
      <c r="O126" t="s">
        <v>625</v>
      </c>
      <c r="P126">
        <f t="shared" si="11"/>
        <v>13.907107440000001</v>
      </c>
      <c r="Q126">
        <f t="shared" si="12"/>
        <v>1.7000000000000001E-2</v>
      </c>
      <c r="R126">
        <f t="shared" si="13"/>
        <v>0.01</v>
      </c>
      <c r="S126">
        <f t="shared" si="14"/>
        <v>0.85899999999999999</v>
      </c>
      <c r="T126">
        <f t="shared" si="15"/>
        <v>1.6233333329999999</v>
      </c>
      <c r="U126">
        <f t="shared" si="16"/>
        <v>9.1626719059999999</v>
      </c>
      <c r="V126">
        <f t="shared" si="17"/>
        <v>3.5151315789473656E-2</v>
      </c>
      <c r="W126">
        <f t="shared" si="18"/>
        <v>5.5E-2</v>
      </c>
      <c r="X126">
        <f t="shared" si="19"/>
        <v>0.94499999999999995</v>
      </c>
      <c r="Y126">
        <v>134.19515129999999</v>
      </c>
      <c r="Z126">
        <v>0</v>
      </c>
      <c r="AA126">
        <v>236250</v>
      </c>
      <c r="AB126">
        <v>76158</v>
      </c>
      <c r="AC126">
        <v>1.7652984E-2</v>
      </c>
      <c r="AD126">
        <v>0.84750225300000004</v>
      </c>
      <c r="AF126">
        <v>13.907107440000001</v>
      </c>
      <c r="AG126">
        <v>1.7000000000000001E-2</v>
      </c>
      <c r="AH126">
        <v>0.01</v>
      </c>
      <c r="AI126">
        <v>0.85899999999999999</v>
      </c>
      <c r="AJ126">
        <v>1.6233333329999999</v>
      </c>
      <c r="AK126">
        <v>9.1626719059999999</v>
      </c>
      <c r="AL126">
        <v>0</v>
      </c>
      <c r="AM126">
        <v>5.5E-2</v>
      </c>
      <c r="AN126">
        <v>0.94499999999999995</v>
      </c>
    </row>
    <row r="127" spans="1:40">
      <c r="A127">
        <v>2195</v>
      </c>
      <c r="B127" t="s">
        <v>689</v>
      </c>
      <c r="C127" t="s">
        <v>687</v>
      </c>
      <c r="D127" t="s">
        <v>688</v>
      </c>
      <c r="E127">
        <v>1052</v>
      </c>
      <c r="F127">
        <v>3323</v>
      </c>
      <c r="G127">
        <v>87.097593450000005</v>
      </c>
      <c r="H127">
        <v>536</v>
      </c>
      <c r="I127">
        <v>0.136144244</v>
      </c>
      <c r="J127">
        <v>3859</v>
      </c>
      <c r="K127">
        <v>28344.936860000002</v>
      </c>
      <c r="L127">
        <v>0.73799999999999999</v>
      </c>
      <c r="M127">
        <v>0.33753148599999999</v>
      </c>
      <c r="N127">
        <v>1</v>
      </c>
      <c r="O127" t="s">
        <v>613</v>
      </c>
      <c r="P127">
        <f t="shared" si="11"/>
        <v>11.15783019</v>
      </c>
      <c r="Q127">
        <f t="shared" si="12"/>
        <v>5.8999999999999997E-2</v>
      </c>
      <c r="R127">
        <f t="shared" si="13"/>
        <v>2.4E-2</v>
      </c>
      <c r="S127">
        <f t="shared" si="14"/>
        <v>0.73799999999999999</v>
      </c>
      <c r="T127">
        <f t="shared" si="15"/>
        <v>2.1598076919999998</v>
      </c>
      <c r="U127">
        <f t="shared" si="16"/>
        <v>5.8952025319999999</v>
      </c>
      <c r="V127">
        <f t="shared" si="17"/>
        <v>4.3999999999999997E-2</v>
      </c>
      <c r="W127">
        <f t="shared" si="18"/>
        <v>0.13500000000000001</v>
      </c>
      <c r="X127">
        <f t="shared" si="19"/>
        <v>0.77100000000000002</v>
      </c>
      <c r="Y127">
        <v>173.7209034</v>
      </c>
      <c r="Z127">
        <v>0</v>
      </c>
      <c r="AA127">
        <v>454184</v>
      </c>
      <c r="AB127">
        <v>170596</v>
      </c>
      <c r="AC127">
        <v>6.5715274000000004E-2</v>
      </c>
      <c r="AD127">
        <v>0.72549415100000003</v>
      </c>
      <c r="AF127">
        <v>11.15783019</v>
      </c>
      <c r="AG127">
        <v>5.8999999999999997E-2</v>
      </c>
      <c r="AH127">
        <v>2.4E-2</v>
      </c>
      <c r="AI127">
        <v>0.73799999999999999</v>
      </c>
      <c r="AJ127">
        <v>2.1598076919999998</v>
      </c>
      <c r="AK127">
        <v>5.8952025319999999</v>
      </c>
      <c r="AL127">
        <v>4.3999999999999997E-2</v>
      </c>
      <c r="AM127">
        <v>0.13500000000000001</v>
      </c>
      <c r="AN127">
        <v>0.77100000000000002</v>
      </c>
    </row>
    <row r="128" spans="1:40">
      <c r="A128">
        <v>2196</v>
      </c>
      <c r="B128" t="s">
        <v>689</v>
      </c>
      <c r="C128" t="s">
        <v>687</v>
      </c>
      <c r="D128" t="s">
        <v>688</v>
      </c>
      <c r="E128">
        <v>608</v>
      </c>
      <c r="F128">
        <v>2375</v>
      </c>
      <c r="G128">
        <v>120.90363790000001</v>
      </c>
      <c r="H128">
        <v>104</v>
      </c>
      <c r="I128">
        <v>0.18898352800000001</v>
      </c>
      <c r="J128">
        <v>2479</v>
      </c>
      <c r="K128">
        <v>13117.54536</v>
      </c>
      <c r="L128">
        <v>0.77100000000000002</v>
      </c>
      <c r="M128">
        <v>0.14606741600000001</v>
      </c>
      <c r="N128">
        <v>0</v>
      </c>
      <c r="O128" t="s">
        <v>613</v>
      </c>
      <c r="P128">
        <f t="shared" si="11"/>
        <v>11.87290909</v>
      </c>
      <c r="Q128">
        <f t="shared" si="12"/>
        <v>3.9E-2</v>
      </c>
      <c r="R128">
        <f t="shared" si="13"/>
        <v>2.5000000000000001E-2</v>
      </c>
      <c r="S128">
        <f t="shared" si="14"/>
        <v>0.77100000000000002</v>
      </c>
      <c r="T128">
        <f t="shared" si="15"/>
        <v>2.2890000000000001</v>
      </c>
      <c r="U128">
        <f t="shared" si="16"/>
        <v>5.9412052119999998</v>
      </c>
      <c r="V128">
        <f t="shared" si="17"/>
        <v>7.6999999999999999E-2</v>
      </c>
      <c r="W128">
        <f t="shared" si="18"/>
        <v>0.19900000000000001</v>
      </c>
      <c r="X128">
        <f t="shared" si="19"/>
        <v>0.70499999999999996</v>
      </c>
      <c r="Y128">
        <v>150.19141500000001</v>
      </c>
      <c r="Z128">
        <v>0</v>
      </c>
      <c r="AA128">
        <v>454184</v>
      </c>
      <c r="AB128">
        <v>170596</v>
      </c>
      <c r="AC128">
        <v>6.5715274000000004E-2</v>
      </c>
      <c r="AD128">
        <v>0.72549415100000003</v>
      </c>
      <c r="AF128">
        <v>11.87290909</v>
      </c>
      <c r="AG128">
        <v>3.9E-2</v>
      </c>
      <c r="AH128">
        <v>2.5000000000000001E-2</v>
      </c>
      <c r="AI128">
        <v>0.77100000000000002</v>
      </c>
      <c r="AJ128">
        <v>2.2890000000000001</v>
      </c>
      <c r="AK128">
        <v>5.9412052119999998</v>
      </c>
      <c r="AL128">
        <v>7.6999999999999999E-2</v>
      </c>
      <c r="AM128">
        <v>0.19900000000000001</v>
      </c>
      <c r="AN128">
        <v>0.70499999999999996</v>
      </c>
    </row>
    <row r="129" spans="1:40">
      <c r="A129">
        <v>2197</v>
      </c>
      <c r="B129" t="s">
        <v>689</v>
      </c>
      <c r="C129" t="s">
        <v>687</v>
      </c>
      <c r="D129" t="s">
        <v>688</v>
      </c>
      <c r="E129">
        <v>522</v>
      </c>
      <c r="F129">
        <v>1968</v>
      </c>
      <c r="G129">
        <v>57.099433949999998</v>
      </c>
      <c r="H129">
        <v>174</v>
      </c>
      <c r="I129">
        <v>8.9258055000000003E-2</v>
      </c>
      <c r="J129">
        <v>2142</v>
      </c>
      <c r="K129">
        <v>23997.834149999999</v>
      </c>
      <c r="L129">
        <v>0.72699999999999998</v>
      </c>
      <c r="M129">
        <v>0.25</v>
      </c>
      <c r="N129">
        <v>0</v>
      </c>
      <c r="O129" t="s">
        <v>613</v>
      </c>
      <c r="P129">
        <f t="shared" si="11"/>
        <v>11.004121619999999</v>
      </c>
      <c r="Q129">
        <f t="shared" si="12"/>
        <v>0.06</v>
      </c>
      <c r="R129">
        <f t="shared" si="13"/>
        <v>2.1999999999999999E-2</v>
      </c>
      <c r="S129">
        <f t="shared" si="14"/>
        <v>0.72699999999999998</v>
      </c>
      <c r="T129">
        <f t="shared" si="15"/>
        <v>2.189333333</v>
      </c>
      <c r="U129">
        <f t="shared" si="16"/>
        <v>5.5663032189999999</v>
      </c>
      <c r="V129">
        <f t="shared" si="17"/>
        <v>0.03</v>
      </c>
      <c r="W129">
        <f t="shared" si="18"/>
        <v>0.214</v>
      </c>
      <c r="X129">
        <f t="shared" si="19"/>
        <v>0.73599999999999999</v>
      </c>
      <c r="Y129">
        <v>116.2736534</v>
      </c>
      <c r="Z129">
        <v>0</v>
      </c>
      <c r="AA129">
        <v>454184</v>
      </c>
      <c r="AB129">
        <v>170596</v>
      </c>
      <c r="AC129">
        <v>6.5715274000000004E-2</v>
      </c>
      <c r="AD129">
        <v>0.72549415100000003</v>
      </c>
      <c r="AF129">
        <v>11.004121619999999</v>
      </c>
      <c r="AG129">
        <v>0.06</v>
      </c>
      <c r="AH129">
        <v>2.1999999999999999E-2</v>
      </c>
      <c r="AI129">
        <v>0.72699999999999998</v>
      </c>
      <c r="AJ129">
        <v>2.189333333</v>
      </c>
      <c r="AK129">
        <v>5.5663032189999999</v>
      </c>
      <c r="AL129">
        <v>0.03</v>
      </c>
      <c r="AM129">
        <v>0.214</v>
      </c>
      <c r="AN129">
        <v>0.73599999999999999</v>
      </c>
    </row>
    <row r="130" spans="1:40">
      <c r="A130">
        <v>2198</v>
      </c>
      <c r="B130" t="s">
        <v>689</v>
      </c>
      <c r="C130" t="s">
        <v>687</v>
      </c>
      <c r="D130" t="s">
        <v>688</v>
      </c>
      <c r="E130">
        <v>375</v>
      </c>
      <c r="F130">
        <v>1173</v>
      </c>
      <c r="G130">
        <v>46.239709130000001</v>
      </c>
      <c r="H130">
        <v>170</v>
      </c>
      <c r="I130">
        <v>7.2279001999999995E-2</v>
      </c>
      <c r="J130">
        <v>1343</v>
      </c>
      <c r="K130">
        <v>18580.776750000001</v>
      </c>
      <c r="L130">
        <v>0.68799999999999994</v>
      </c>
      <c r="M130">
        <v>0.311926606</v>
      </c>
      <c r="N130">
        <v>0</v>
      </c>
      <c r="O130" t="s">
        <v>613</v>
      </c>
      <c r="P130">
        <f t="shared" si="11"/>
        <v>10.10435294</v>
      </c>
      <c r="Q130">
        <f t="shared" si="12"/>
        <v>4.7E-2</v>
      </c>
      <c r="R130">
        <f t="shared" si="13"/>
        <v>3.5000000000000003E-2</v>
      </c>
      <c r="S130">
        <f t="shared" si="14"/>
        <v>0.68799999999999994</v>
      </c>
      <c r="T130">
        <f t="shared" si="15"/>
        <v>1.9312121209999999</v>
      </c>
      <c r="U130">
        <f t="shared" si="16"/>
        <v>5.754054054</v>
      </c>
      <c r="V130">
        <f t="shared" si="17"/>
        <v>4.8000000000000001E-2</v>
      </c>
      <c r="W130">
        <f t="shared" si="18"/>
        <v>0.218</v>
      </c>
      <c r="X130">
        <f t="shared" si="19"/>
        <v>0.68500000000000005</v>
      </c>
      <c r="Y130">
        <v>142.74236579999999</v>
      </c>
      <c r="Z130">
        <v>0</v>
      </c>
      <c r="AA130">
        <v>454184</v>
      </c>
      <c r="AB130">
        <v>170596</v>
      </c>
      <c r="AC130">
        <v>6.5715274000000004E-2</v>
      </c>
      <c r="AD130">
        <v>0.72549415100000003</v>
      </c>
      <c r="AF130">
        <v>10.10435294</v>
      </c>
      <c r="AG130">
        <v>4.7E-2</v>
      </c>
      <c r="AH130">
        <v>3.5000000000000003E-2</v>
      </c>
      <c r="AI130">
        <v>0.68799999999999994</v>
      </c>
      <c r="AJ130">
        <v>1.9312121209999999</v>
      </c>
      <c r="AK130">
        <v>5.754054054</v>
      </c>
      <c r="AL130">
        <v>4.8000000000000001E-2</v>
      </c>
      <c r="AM130">
        <v>0.218</v>
      </c>
      <c r="AN130">
        <v>0.68500000000000005</v>
      </c>
    </row>
    <row r="131" spans="1:40">
      <c r="A131">
        <v>2199</v>
      </c>
      <c r="B131" t="s">
        <v>689</v>
      </c>
      <c r="C131" t="s">
        <v>687</v>
      </c>
      <c r="D131" t="s">
        <v>688</v>
      </c>
      <c r="E131">
        <v>369</v>
      </c>
      <c r="F131">
        <v>1207</v>
      </c>
      <c r="G131">
        <v>42.043006730000002</v>
      </c>
      <c r="H131">
        <v>77</v>
      </c>
      <c r="I131">
        <v>6.5717769999999995E-2</v>
      </c>
      <c r="J131">
        <v>1284</v>
      </c>
      <c r="K131">
        <v>19538.094489999999</v>
      </c>
      <c r="L131">
        <v>0.754</v>
      </c>
      <c r="M131">
        <v>0.17264573999999999</v>
      </c>
      <c r="N131">
        <v>0</v>
      </c>
      <c r="O131" t="s">
        <v>613</v>
      </c>
      <c r="P131">
        <f t="shared" si="11"/>
        <v>11.429146340000001</v>
      </c>
      <c r="Q131">
        <f t="shared" si="12"/>
        <v>4.2000000000000003E-2</v>
      </c>
      <c r="R131">
        <f t="shared" si="13"/>
        <v>2.5000000000000001E-2</v>
      </c>
      <c r="S131">
        <f t="shared" si="14"/>
        <v>0.754</v>
      </c>
      <c r="T131">
        <f t="shared" si="15"/>
        <v>2.1030000000000002</v>
      </c>
      <c r="U131">
        <f t="shared" si="16"/>
        <v>6.1933389539999997</v>
      </c>
      <c r="V131">
        <f t="shared" si="17"/>
        <v>7.4999999999999997E-2</v>
      </c>
      <c r="W131">
        <f t="shared" si="18"/>
        <v>0.10299999999999999</v>
      </c>
      <c r="X131">
        <f t="shared" si="19"/>
        <v>0.76600000000000001</v>
      </c>
      <c r="Y131">
        <v>156.9047812</v>
      </c>
      <c r="Z131">
        <v>0</v>
      </c>
      <c r="AA131">
        <v>454184</v>
      </c>
      <c r="AB131">
        <v>170596</v>
      </c>
      <c r="AC131">
        <v>6.5715274000000004E-2</v>
      </c>
      <c r="AD131">
        <v>0.72549415100000003</v>
      </c>
      <c r="AF131">
        <v>11.429146340000001</v>
      </c>
      <c r="AG131">
        <v>4.2000000000000003E-2</v>
      </c>
      <c r="AH131">
        <v>2.5000000000000001E-2</v>
      </c>
      <c r="AI131">
        <v>0.754</v>
      </c>
      <c r="AJ131">
        <v>2.1030000000000002</v>
      </c>
      <c r="AK131">
        <v>6.1933389539999997</v>
      </c>
      <c r="AL131">
        <v>7.4999999999999997E-2</v>
      </c>
      <c r="AM131">
        <v>0.10299999999999999</v>
      </c>
      <c r="AN131">
        <v>0.76600000000000001</v>
      </c>
    </row>
    <row r="132" spans="1:40">
      <c r="A132">
        <v>2200</v>
      </c>
      <c r="B132" t="s">
        <v>689</v>
      </c>
      <c r="C132" t="s">
        <v>687</v>
      </c>
      <c r="D132" t="s">
        <v>688</v>
      </c>
      <c r="E132">
        <v>425</v>
      </c>
      <c r="F132">
        <v>1433</v>
      </c>
      <c r="G132">
        <v>36.723007780000003</v>
      </c>
      <c r="H132">
        <v>146</v>
      </c>
      <c r="I132">
        <v>5.7398493000000002E-2</v>
      </c>
      <c r="J132">
        <v>1579</v>
      </c>
      <c r="K132">
        <v>27509.43304</v>
      </c>
      <c r="L132">
        <v>0.74099999999999999</v>
      </c>
      <c r="M132">
        <v>0.25569176900000001</v>
      </c>
      <c r="N132">
        <v>0</v>
      </c>
      <c r="O132" t="s">
        <v>613</v>
      </c>
      <c r="P132">
        <f t="shared" si="11"/>
        <v>10.22974026</v>
      </c>
      <c r="Q132">
        <f t="shared" si="12"/>
        <v>0.03</v>
      </c>
      <c r="R132">
        <f t="shared" si="13"/>
        <v>1.2E-2</v>
      </c>
      <c r="S132">
        <f t="shared" si="14"/>
        <v>0.74099999999999999</v>
      </c>
      <c r="T132">
        <f t="shared" si="15"/>
        <v>2.1066666669999998</v>
      </c>
      <c r="U132">
        <f t="shared" si="16"/>
        <v>4.7909716600000003</v>
      </c>
      <c r="V132">
        <f t="shared" si="17"/>
        <v>0.02</v>
      </c>
      <c r="W132">
        <f t="shared" si="18"/>
        <v>8.1000000000000003E-2</v>
      </c>
      <c r="X132">
        <f t="shared" si="19"/>
        <v>0.77800000000000002</v>
      </c>
      <c r="Y132">
        <v>238.64436269999999</v>
      </c>
      <c r="Z132">
        <v>0</v>
      </c>
      <c r="AA132">
        <v>454184</v>
      </c>
      <c r="AB132">
        <v>170596</v>
      </c>
      <c r="AC132">
        <v>6.5715274000000004E-2</v>
      </c>
      <c r="AD132">
        <v>0.72549415100000003</v>
      </c>
      <c r="AF132">
        <v>10.22974026</v>
      </c>
      <c r="AG132">
        <v>0.03</v>
      </c>
      <c r="AH132">
        <v>1.2E-2</v>
      </c>
      <c r="AI132">
        <v>0.74099999999999999</v>
      </c>
      <c r="AJ132">
        <v>2.1066666669999998</v>
      </c>
      <c r="AK132">
        <v>4.7909716600000003</v>
      </c>
      <c r="AL132">
        <v>0.02</v>
      </c>
      <c r="AM132">
        <v>8.1000000000000003E-2</v>
      </c>
      <c r="AN132">
        <v>0.77800000000000002</v>
      </c>
    </row>
    <row r="133" spans="1:40">
      <c r="A133">
        <v>2201</v>
      </c>
      <c r="B133" t="s">
        <v>689</v>
      </c>
      <c r="C133" t="s">
        <v>687</v>
      </c>
      <c r="D133" t="s">
        <v>688</v>
      </c>
      <c r="E133">
        <v>673</v>
      </c>
      <c r="F133">
        <v>2378</v>
      </c>
      <c r="G133">
        <v>42.06256647</v>
      </c>
      <c r="H133">
        <v>79</v>
      </c>
      <c r="I133">
        <v>6.5749587999999998E-2</v>
      </c>
      <c r="J133">
        <v>2457</v>
      </c>
      <c r="K133">
        <v>37369.05545</v>
      </c>
      <c r="L133">
        <v>0.73599999999999999</v>
      </c>
      <c r="M133">
        <v>0.105053191</v>
      </c>
      <c r="N133">
        <v>1</v>
      </c>
      <c r="O133" t="s">
        <v>613</v>
      </c>
      <c r="P133">
        <f t="shared" si="11"/>
        <v>9.134795918</v>
      </c>
      <c r="Q133">
        <f t="shared" si="12"/>
        <v>6.3E-2</v>
      </c>
      <c r="R133">
        <f t="shared" si="13"/>
        <v>2.1999999999999999E-2</v>
      </c>
      <c r="S133">
        <f t="shared" si="14"/>
        <v>0.73599999999999999</v>
      </c>
      <c r="T133">
        <f t="shared" si="15"/>
        <v>2.4089285710000001</v>
      </c>
      <c r="U133">
        <f t="shared" si="16"/>
        <v>4.6889108909999999</v>
      </c>
      <c r="V133">
        <f t="shared" si="17"/>
        <v>5.2999999999999999E-2</v>
      </c>
      <c r="W133">
        <f t="shared" si="18"/>
        <v>0.19700000000000001</v>
      </c>
      <c r="X133">
        <f t="shared" si="19"/>
        <v>0.74199999999999999</v>
      </c>
      <c r="Y133">
        <v>212.6818442</v>
      </c>
      <c r="Z133">
        <v>0</v>
      </c>
      <c r="AA133">
        <v>454184</v>
      </c>
      <c r="AB133">
        <v>170596</v>
      </c>
      <c r="AC133">
        <v>6.5715274000000004E-2</v>
      </c>
      <c r="AD133">
        <v>0.72549415100000003</v>
      </c>
      <c r="AF133">
        <v>9.134795918</v>
      </c>
      <c r="AG133">
        <v>6.3E-2</v>
      </c>
      <c r="AH133">
        <v>2.1999999999999999E-2</v>
      </c>
      <c r="AI133">
        <v>0.73599999999999999</v>
      </c>
      <c r="AJ133">
        <v>2.4089285710000001</v>
      </c>
      <c r="AK133">
        <v>4.6889108909999999</v>
      </c>
      <c r="AL133">
        <v>5.2999999999999999E-2</v>
      </c>
      <c r="AM133">
        <v>0.19700000000000001</v>
      </c>
      <c r="AN133">
        <v>0.74199999999999999</v>
      </c>
    </row>
    <row r="134" spans="1:40">
      <c r="A134">
        <v>2202</v>
      </c>
      <c r="B134" t="s">
        <v>689</v>
      </c>
      <c r="C134" t="s">
        <v>687</v>
      </c>
      <c r="D134" t="s">
        <v>688</v>
      </c>
      <c r="E134">
        <v>302</v>
      </c>
      <c r="F134">
        <v>983</v>
      </c>
      <c r="G134">
        <v>36.721909080000003</v>
      </c>
      <c r="H134">
        <v>127</v>
      </c>
      <c r="I134">
        <v>5.7398584000000002E-2</v>
      </c>
      <c r="J134">
        <v>1110</v>
      </c>
      <c r="K134">
        <v>19338.456150000002</v>
      </c>
      <c r="L134">
        <v>0.69399999999999995</v>
      </c>
      <c r="M134">
        <v>0.29603729600000001</v>
      </c>
      <c r="N134">
        <v>0</v>
      </c>
      <c r="O134" t="s">
        <v>613</v>
      </c>
      <c r="P134">
        <f t="shared" si="11"/>
        <v>14.85607143</v>
      </c>
      <c r="Q134">
        <f t="shared" si="12"/>
        <v>4.7E-2</v>
      </c>
      <c r="R134">
        <f t="shared" si="13"/>
        <v>2.4E-2</v>
      </c>
      <c r="S134">
        <f t="shared" si="14"/>
        <v>0.69399999999999995</v>
      </c>
      <c r="T134">
        <f t="shared" si="15"/>
        <v>1.7681249999999999</v>
      </c>
      <c r="U134">
        <f t="shared" si="16"/>
        <v>6.657905983</v>
      </c>
      <c r="V134">
        <f t="shared" si="17"/>
        <v>6.2414117647058849E-2</v>
      </c>
      <c r="W134">
        <f t="shared" si="18"/>
        <v>0.16700000000000001</v>
      </c>
      <c r="X134">
        <f t="shared" si="19"/>
        <v>0.77800000000000002</v>
      </c>
      <c r="Y134">
        <v>87.580583770000004</v>
      </c>
      <c r="Z134">
        <v>0</v>
      </c>
      <c r="AA134">
        <v>454184</v>
      </c>
      <c r="AB134">
        <v>170596</v>
      </c>
      <c r="AC134">
        <v>6.5715274000000004E-2</v>
      </c>
      <c r="AD134">
        <v>0.72549415100000003</v>
      </c>
      <c r="AF134">
        <v>14.85607143</v>
      </c>
      <c r="AG134">
        <v>4.7E-2</v>
      </c>
      <c r="AH134">
        <v>2.4E-2</v>
      </c>
      <c r="AI134">
        <v>0.69399999999999995</v>
      </c>
      <c r="AJ134">
        <v>1.7681249999999999</v>
      </c>
      <c r="AK134">
        <v>6.657905983</v>
      </c>
      <c r="AL134">
        <v>0</v>
      </c>
      <c r="AM134">
        <v>0.16700000000000001</v>
      </c>
      <c r="AN134">
        <v>0.77800000000000002</v>
      </c>
    </row>
    <row r="135" spans="1:40">
      <c r="A135">
        <v>2203</v>
      </c>
      <c r="B135" t="s">
        <v>702</v>
      </c>
      <c r="C135" t="s">
        <v>696</v>
      </c>
      <c r="D135" t="s">
        <v>697</v>
      </c>
      <c r="E135">
        <v>473</v>
      </c>
      <c r="F135">
        <v>1433</v>
      </c>
      <c r="G135">
        <v>96.671745319999999</v>
      </c>
      <c r="H135">
        <v>45</v>
      </c>
      <c r="I135">
        <v>0.15111258999999999</v>
      </c>
      <c r="J135">
        <v>1478</v>
      </c>
      <c r="K135">
        <v>9780.7866310000009</v>
      </c>
      <c r="L135">
        <v>0.86399999999999999</v>
      </c>
      <c r="M135">
        <v>8.6872587000000001E-2</v>
      </c>
      <c r="N135">
        <v>0</v>
      </c>
      <c r="O135" t="s">
        <v>620</v>
      </c>
      <c r="P135">
        <f t="shared" si="11"/>
        <v>10.96226087</v>
      </c>
      <c r="Q135">
        <f t="shared" si="12"/>
        <v>8.9999999999999993E-3</v>
      </c>
      <c r="R135">
        <f t="shared" si="13"/>
        <v>1.7000000000000001E-2</v>
      </c>
      <c r="S135">
        <f t="shared" si="14"/>
        <v>0.86399999999999999</v>
      </c>
      <c r="T135">
        <f t="shared" si="15"/>
        <v>1.9059999999999999</v>
      </c>
      <c r="U135">
        <f t="shared" si="16"/>
        <v>6.6292462990000001</v>
      </c>
      <c r="V135">
        <f t="shared" si="17"/>
        <v>3.1E-2</v>
      </c>
      <c r="W135">
        <f t="shared" si="18"/>
        <v>6.3E-2</v>
      </c>
      <c r="X135">
        <f t="shared" si="19"/>
        <v>0.90600000000000003</v>
      </c>
      <c r="Y135">
        <v>107.8785401</v>
      </c>
      <c r="Z135">
        <v>0</v>
      </c>
      <c r="AA135">
        <v>90778</v>
      </c>
      <c r="AB135">
        <v>31662</v>
      </c>
      <c r="AC135">
        <v>3.1753482E-2</v>
      </c>
      <c r="AD135">
        <v>0.82960131100000001</v>
      </c>
      <c r="AF135">
        <v>10.96226087</v>
      </c>
      <c r="AG135">
        <v>8.9999999999999993E-3</v>
      </c>
      <c r="AH135">
        <v>1.7000000000000001E-2</v>
      </c>
      <c r="AI135">
        <v>0.86399999999999999</v>
      </c>
      <c r="AJ135">
        <v>1.9059999999999999</v>
      </c>
      <c r="AK135">
        <v>6.6292462990000001</v>
      </c>
      <c r="AL135">
        <v>3.1E-2</v>
      </c>
      <c r="AM135">
        <v>6.3E-2</v>
      </c>
      <c r="AN135">
        <v>0.90600000000000003</v>
      </c>
    </row>
    <row r="136" spans="1:40">
      <c r="A136">
        <v>2204</v>
      </c>
      <c r="B136" t="s">
        <v>703</v>
      </c>
      <c r="C136" t="s">
        <v>696</v>
      </c>
      <c r="D136" t="s">
        <v>697</v>
      </c>
      <c r="E136">
        <v>313</v>
      </c>
      <c r="F136">
        <v>1053</v>
      </c>
      <c r="G136">
        <v>85.138793280000002</v>
      </c>
      <c r="H136">
        <v>77</v>
      </c>
      <c r="I136">
        <v>0.13307708300000001</v>
      </c>
      <c r="J136">
        <v>1130</v>
      </c>
      <c r="K136">
        <v>8491.3192749999998</v>
      </c>
      <c r="L136">
        <v>0.82799999999999996</v>
      </c>
      <c r="M136">
        <v>0.197435897</v>
      </c>
      <c r="N136">
        <v>0</v>
      </c>
      <c r="O136" t="s">
        <v>620</v>
      </c>
      <c r="P136">
        <f t="shared" si="11"/>
        <v>12.24902913</v>
      </c>
      <c r="Q136">
        <f t="shared" si="12"/>
        <v>1.7000000000000001E-2</v>
      </c>
      <c r="R136">
        <f t="shared" si="13"/>
        <v>2.3E-2</v>
      </c>
      <c r="S136">
        <f t="shared" si="14"/>
        <v>0.82799999999999996</v>
      </c>
      <c r="T136">
        <f t="shared" si="15"/>
        <v>2.3537499999999998</v>
      </c>
      <c r="U136">
        <f t="shared" si="16"/>
        <v>7.4580935249999998</v>
      </c>
      <c r="V136">
        <f t="shared" si="17"/>
        <v>7.3999999999999996E-2</v>
      </c>
      <c r="W136">
        <f t="shared" si="18"/>
        <v>5.7000000000000002E-2</v>
      </c>
      <c r="X136">
        <f t="shared" si="19"/>
        <v>0.84399999999999997</v>
      </c>
      <c r="Y136">
        <v>122.8750429</v>
      </c>
      <c r="Z136">
        <v>0</v>
      </c>
      <c r="AA136">
        <v>27567</v>
      </c>
      <c r="AB136">
        <v>8371</v>
      </c>
      <c r="AC136">
        <v>2.6639960000000001E-2</v>
      </c>
      <c r="AD136">
        <v>0.83875813700000001</v>
      </c>
      <c r="AF136">
        <v>12.24902913</v>
      </c>
      <c r="AG136">
        <v>1.7000000000000001E-2</v>
      </c>
      <c r="AH136">
        <v>2.3E-2</v>
      </c>
      <c r="AI136">
        <v>0.82799999999999996</v>
      </c>
      <c r="AJ136">
        <v>2.3537499999999998</v>
      </c>
      <c r="AK136">
        <v>7.4580935249999998</v>
      </c>
      <c r="AL136">
        <v>7.3999999999999996E-2</v>
      </c>
      <c r="AM136">
        <v>5.7000000000000002E-2</v>
      </c>
      <c r="AN136">
        <v>0.84399999999999997</v>
      </c>
    </row>
    <row r="137" spans="1:40">
      <c r="A137">
        <v>2205</v>
      </c>
      <c r="B137" t="s">
        <v>701</v>
      </c>
      <c r="C137" t="s">
        <v>696</v>
      </c>
      <c r="D137" t="s">
        <v>697</v>
      </c>
      <c r="E137">
        <v>786</v>
      </c>
      <c r="F137">
        <v>2510</v>
      </c>
      <c r="G137">
        <v>133.1308118</v>
      </c>
      <c r="H137">
        <v>359</v>
      </c>
      <c r="I137">
        <v>0.20810299300000001</v>
      </c>
      <c r="J137">
        <v>2869</v>
      </c>
      <c r="K137">
        <v>13786.44275</v>
      </c>
      <c r="L137">
        <v>0.78600000000000003</v>
      </c>
      <c r="M137">
        <v>0.313537118</v>
      </c>
      <c r="N137">
        <v>0</v>
      </c>
      <c r="O137" t="s">
        <v>620</v>
      </c>
      <c r="P137">
        <f t="shared" si="11"/>
        <v>12.13769697</v>
      </c>
      <c r="Q137">
        <f t="shared" si="12"/>
        <v>1.0999999999999999E-2</v>
      </c>
      <c r="R137">
        <f t="shared" si="13"/>
        <v>3.1E-2</v>
      </c>
      <c r="S137">
        <f t="shared" si="14"/>
        <v>0.78600000000000003</v>
      </c>
      <c r="T137">
        <f t="shared" si="15"/>
        <v>1.8719607840000001</v>
      </c>
      <c r="U137">
        <f t="shared" si="16"/>
        <v>6.0954826249999998</v>
      </c>
      <c r="V137">
        <f t="shared" si="17"/>
        <v>7.8E-2</v>
      </c>
      <c r="W137">
        <f t="shared" si="18"/>
        <v>3.1E-2</v>
      </c>
      <c r="X137">
        <f t="shared" si="19"/>
        <v>0.85899999999999999</v>
      </c>
      <c r="Y137">
        <v>76.501285839999994</v>
      </c>
      <c r="Z137">
        <v>0</v>
      </c>
      <c r="AA137">
        <v>22589</v>
      </c>
      <c r="AB137">
        <v>7233</v>
      </c>
      <c r="AC137">
        <v>3.8721845999999997E-2</v>
      </c>
      <c r="AD137">
        <v>0.78947076400000005</v>
      </c>
      <c r="AF137">
        <v>12.13769697</v>
      </c>
      <c r="AG137">
        <v>1.0999999999999999E-2</v>
      </c>
      <c r="AH137">
        <v>3.1E-2</v>
      </c>
      <c r="AI137">
        <v>0.78600000000000003</v>
      </c>
      <c r="AJ137">
        <v>1.8719607840000001</v>
      </c>
      <c r="AK137">
        <v>6.0954826249999998</v>
      </c>
      <c r="AL137">
        <v>7.8E-2</v>
      </c>
      <c r="AM137">
        <v>3.1E-2</v>
      </c>
      <c r="AN137">
        <v>0.85899999999999999</v>
      </c>
    </row>
    <row r="138" spans="1:40">
      <c r="A138">
        <v>2206</v>
      </c>
      <c r="B138" t="s">
        <v>689</v>
      </c>
      <c r="C138" t="s">
        <v>687</v>
      </c>
      <c r="D138" t="s">
        <v>688</v>
      </c>
      <c r="E138">
        <v>322</v>
      </c>
      <c r="F138">
        <v>819</v>
      </c>
      <c r="G138">
        <v>158.91472909999999</v>
      </c>
      <c r="H138">
        <v>287</v>
      </c>
      <c r="I138">
        <v>0.24840500099999999</v>
      </c>
      <c r="J138">
        <v>1106</v>
      </c>
      <c r="K138">
        <v>4452.4063349999997</v>
      </c>
      <c r="L138">
        <v>0.95099999999999996</v>
      </c>
      <c r="M138">
        <v>0.47126436799999999</v>
      </c>
      <c r="N138">
        <v>0</v>
      </c>
      <c r="O138" t="s">
        <v>625</v>
      </c>
      <c r="P138">
        <f t="shared" si="11"/>
        <v>15.9057554</v>
      </c>
      <c r="Q138">
        <f t="shared" si="12"/>
        <v>8.0000000000000002E-3</v>
      </c>
      <c r="R138">
        <f t="shared" si="13"/>
        <v>1.4999999999999999E-2</v>
      </c>
      <c r="S138">
        <f t="shared" si="14"/>
        <v>0.95099999999999996</v>
      </c>
      <c r="T138">
        <f t="shared" si="15"/>
        <v>3.3812500000000001</v>
      </c>
      <c r="U138">
        <f t="shared" si="16"/>
        <v>11.210852879999999</v>
      </c>
      <c r="V138">
        <f t="shared" si="17"/>
        <v>1.4E-2</v>
      </c>
      <c r="W138">
        <f t="shared" si="18"/>
        <v>2.8000000000000001E-2</v>
      </c>
      <c r="X138">
        <f t="shared" si="19"/>
        <v>0.95899999999999996</v>
      </c>
      <c r="Y138">
        <v>69.200937370000005</v>
      </c>
      <c r="Z138">
        <v>0</v>
      </c>
      <c r="AA138">
        <v>454184</v>
      </c>
      <c r="AB138">
        <v>170596</v>
      </c>
      <c r="AC138">
        <v>6.5715274000000004E-2</v>
      </c>
      <c r="AD138">
        <v>0.72549415100000003</v>
      </c>
      <c r="AF138">
        <v>15.9057554</v>
      </c>
      <c r="AG138">
        <v>8.0000000000000002E-3</v>
      </c>
      <c r="AH138">
        <v>1.4999999999999999E-2</v>
      </c>
      <c r="AI138">
        <v>0.95099999999999996</v>
      </c>
      <c r="AJ138">
        <v>3.3812500000000001</v>
      </c>
      <c r="AK138">
        <v>11.210852879999999</v>
      </c>
      <c r="AL138">
        <v>1.4E-2</v>
      </c>
      <c r="AM138">
        <v>2.8000000000000001E-2</v>
      </c>
      <c r="AN138">
        <v>0.95899999999999996</v>
      </c>
    </row>
    <row r="139" spans="1:40">
      <c r="A139">
        <v>2207</v>
      </c>
      <c r="B139" t="s">
        <v>689</v>
      </c>
      <c r="C139" t="s">
        <v>687</v>
      </c>
      <c r="D139" t="s">
        <v>688</v>
      </c>
      <c r="E139">
        <v>532</v>
      </c>
      <c r="F139">
        <v>1341</v>
      </c>
      <c r="G139">
        <v>505.34719039999999</v>
      </c>
      <c r="H139">
        <v>171</v>
      </c>
      <c r="I139">
        <v>0.78991650000000002</v>
      </c>
      <c r="J139">
        <v>1512</v>
      </c>
      <c r="K139">
        <v>1914.1263670000001</v>
      </c>
      <c r="L139">
        <v>0.90700000000000003</v>
      </c>
      <c r="M139">
        <v>0.243243243</v>
      </c>
      <c r="N139">
        <v>0</v>
      </c>
      <c r="O139" t="s">
        <v>625</v>
      </c>
      <c r="P139">
        <f t="shared" si="11"/>
        <v>15.0409589</v>
      </c>
      <c r="Q139">
        <f t="shared" si="12"/>
        <v>0.03</v>
      </c>
      <c r="R139">
        <f t="shared" si="13"/>
        <v>3.1E-2</v>
      </c>
      <c r="S139">
        <f t="shared" si="14"/>
        <v>0.90700000000000003</v>
      </c>
      <c r="T139">
        <f t="shared" si="15"/>
        <v>3.0350000000000001</v>
      </c>
      <c r="U139">
        <f t="shared" si="16"/>
        <v>9.7339048990000006</v>
      </c>
      <c r="V139">
        <f t="shared" si="17"/>
        <v>3.5000000000000003E-2</v>
      </c>
      <c r="W139">
        <f t="shared" si="18"/>
        <v>0.1</v>
      </c>
      <c r="X139">
        <f t="shared" si="19"/>
        <v>0.85899999999999999</v>
      </c>
      <c r="Y139">
        <v>56.429377959999997</v>
      </c>
      <c r="Z139">
        <v>0</v>
      </c>
      <c r="AA139">
        <v>454184</v>
      </c>
      <c r="AB139">
        <v>170596</v>
      </c>
      <c r="AC139">
        <v>6.5715274000000004E-2</v>
      </c>
      <c r="AD139">
        <v>0.72549415100000003</v>
      </c>
      <c r="AF139">
        <v>15.0409589</v>
      </c>
      <c r="AG139">
        <v>0.03</v>
      </c>
      <c r="AH139">
        <v>3.1E-2</v>
      </c>
      <c r="AI139">
        <v>0.90700000000000003</v>
      </c>
      <c r="AJ139">
        <v>3.0350000000000001</v>
      </c>
      <c r="AK139">
        <v>9.7339048990000006</v>
      </c>
      <c r="AL139">
        <v>3.5000000000000003E-2</v>
      </c>
      <c r="AM139">
        <v>0.1</v>
      </c>
      <c r="AN139">
        <v>0.85899999999999999</v>
      </c>
    </row>
    <row r="140" spans="1:40">
      <c r="A140">
        <v>2208</v>
      </c>
      <c r="B140" t="s">
        <v>695</v>
      </c>
      <c r="C140" t="s">
        <v>696</v>
      </c>
      <c r="D140" t="s">
        <v>697</v>
      </c>
      <c r="E140">
        <v>524</v>
      </c>
      <c r="F140">
        <v>1553</v>
      </c>
      <c r="G140">
        <v>266.1607194</v>
      </c>
      <c r="H140">
        <v>491</v>
      </c>
      <c r="I140">
        <v>0.416034189</v>
      </c>
      <c r="J140">
        <v>2044</v>
      </c>
      <c r="K140">
        <v>4913.0577579999999</v>
      </c>
      <c r="L140">
        <v>0.86099999999999999</v>
      </c>
      <c r="M140">
        <v>0.48374384199999998</v>
      </c>
      <c r="N140">
        <v>0</v>
      </c>
      <c r="O140" t="s">
        <v>620</v>
      </c>
      <c r="P140">
        <f t="shared" ref="P140:P203" si="20">IF(OR(IFERROR(AF140=0,TRUE),ISERROR(AF140)),AVERAGEIFS(AF:AF,$B:$B,$B140,AF:AF,"&gt;0"),AF140)</f>
        <v>13.75721154</v>
      </c>
      <c r="Q140">
        <f t="shared" ref="Q140:Q203" si="21">IF(OR(IFERROR(AG140=0,TRUE),ISERROR(AG140)),AVERAGEIFS(AG:AG,$B:$B,$B140,AG:AG,"&gt;0"),AG140)</f>
        <v>2.7E-2</v>
      </c>
      <c r="R140">
        <f t="shared" ref="R140:R203" si="22">IF(OR(IFERROR(AH140=0,TRUE),ISERROR(AH140)),AVERAGEIFS(AH:AH,$B:$B,$B140,AH:AH,"&gt;0"),AH140)</f>
        <v>1.9E-2</v>
      </c>
      <c r="S140">
        <f t="shared" ref="S140:S203" si="23">IF(OR(IFERROR(AI140=0,TRUE),ISERROR(AI140)),AVERAGEIFS(AI:AI,$B:$B,$B140,AI:AI,"&gt;0"),AI140)</f>
        <v>0.86099999999999999</v>
      </c>
      <c r="T140">
        <f t="shared" ref="T140:T203" si="24">IF(OR(IFERROR(AJ140=0,TRUE),ISERROR(AJ140)),AVERAGEIFS(AJ:AJ,$B:$B,$B140,AJ:AJ,"&gt;0"),AJ140)</f>
        <v>2.7120833329999998</v>
      </c>
      <c r="U140">
        <f t="shared" ref="U140:U203" si="25">IF(OR(IFERROR(AK140=0,TRUE),ISERROR(AK140)),AVERAGEIFS(AK:AK,$B:$B,$B140,AK:AK,"&gt;0"),AK140)</f>
        <v>8.8222222220000006</v>
      </c>
      <c r="V140">
        <f t="shared" ref="V140:V203" si="26">IF(OR(IFERROR(AL140=0,TRUE),ISERROR(AL140)),AVERAGEIFS(AL:AL,$B:$B,$B140,AL:AL,"&gt;0"),AL140)</f>
        <v>3.9E-2</v>
      </c>
      <c r="W140">
        <f t="shared" ref="W140:W203" si="27">IF(OR(IFERROR(AM140=0,TRUE),ISERROR(AM140)),AVERAGEIFS(AM:AM,$B:$B,$B140,AM:AM,"&gt;0"),AM140)</f>
        <v>0.10199999999999999</v>
      </c>
      <c r="X140">
        <f t="shared" ref="X140:X203" si="28">IF(OR(IFERROR(AN140=0,TRUE),ISERROR(AN140)),AVERAGEIFS(AN:AN,$B:$B,$B140,AN:AN,"&gt;0"),AN140)</f>
        <v>0.81899999999999995</v>
      </c>
      <c r="Y140">
        <v>77.94743287</v>
      </c>
      <c r="Z140">
        <v>0</v>
      </c>
      <c r="AA140">
        <v>62139</v>
      </c>
      <c r="AB140">
        <v>22178</v>
      </c>
      <c r="AC140">
        <v>2.5956119999999999E-2</v>
      </c>
      <c r="AD140">
        <v>0.81129361</v>
      </c>
      <c r="AF140">
        <v>13.75721154</v>
      </c>
      <c r="AG140">
        <v>2.7E-2</v>
      </c>
      <c r="AH140">
        <v>1.9E-2</v>
      </c>
      <c r="AI140">
        <v>0.86099999999999999</v>
      </c>
      <c r="AJ140">
        <v>2.7120833329999998</v>
      </c>
      <c r="AK140">
        <v>8.8222222220000006</v>
      </c>
      <c r="AL140">
        <v>3.9E-2</v>
      </c>
      <c r="AM140">
        <v>0.10199999999999999</v>
      </c>
      <c r="AN140">
        <v>0.81899999999999995</v>
      </c>
    </row>
    <row r="141" spans="1:40">
      <c r="A141">
        <v>2209</v>
      </c>
      <c r="B141" t="s">
        <v>695</v>
      </c>
      <c r="C141" t="s">
        <v>696</v>
      </c>
      <c r="D141" t="s">
        <v>697</v>
      </c>
      <c r="E141">
        <v>362</v>
      </c>
      <c r="F141">
        <v>1072</v>
      </c>
      <c r="G141">
        <v>401.65364219999998</v>
      </c>
      <c r="H141">
        <v>436</v>
      </c>
      <c r="I141">
        <v>0.62783341500000001</v>
      </c>
      <c r="J141">
        <v>1508</v>
      </c>
      <c r="K141">
        <v>2401.9110230000001</v>
      </c>
      <c r="L141">
        <v>0.93100000000000005</v>
      </c>
      <c r="M141">
        <v>0.54636591499999998</v>
      </c>
      <c r="N141">
        <v>0</v>
      </c>
      <c r="O141" t="s">
        <v>625</v>
      </c>
      <c r="P141">
        <f t="shared" si="20"/>
        <v>15.387820509999999</v>
      </c>
      <c r="Q141">
        <f t="shared" si="21"/>
        <v>2.1000000000000001E-2</v>
      </c>
      <c r="R141">
        <f t="shared" si="22"/>
        <v>1.4999999999999999E-2</v>
      </c>
      <c r="S141">
        <f t="shared" si="23"/>
        <v>0.93100000000000005</v>
      </c>
      <c r="T141">
        <f t="shared" si="24"/>
        <v>2.4009999999999998</v>
      </c>
      <c r="U141">
        <f t="shared" si="25"/>
        <v>11.210518390000001</v>
      </c>
      <c r="V141">
        <f t="shared" si="26"/>
        <v>2.3E-2</v>
      </c>
      <c r="W141">
        <f t="shared" si="27"/>
        <v>6.9000000000000006E-2</v>
      </c>
      <c r="X141">
        <f t="shared" si="28"/>
        <v>0.89700000000000002</v>
      </c>
      <c r="Y141">
        <v>44.505464910000001</v>
      </c>
      <c r="Z141">
        <v>0</v>
      </c>
      <c r="AA141">
        <v>62139</v>
      </c>
      <c r="AB141">
        <v>22178</v>
      </c>
      <c r="AC141">
        <v>2.5956119999999999E-2</v>
      </c>
      <c r="AD141">
        <v>0.81129361</v>
      </c>
      <c r="AF141">
        <v>15.387820509999999</v>
      </c>
      <c r="AG141">
        <v>2.1000000000000001E-2</v>
      </c>
      <c r="AH141">
        <v>1.4999999999999999E-2</v>
      </c>
      <c r="AI141">
        <v>0.93100000000000005</v>
      </c>
      <c r="AJ141">
        <v>2.4009999999999998</v>
      </c>
      <c r="AK141">
        <v>11.210518390000001</v>
      </c>
      <c r="AL141">
        <v>2.3E-2</v>
      </c>
      <c r="AM141">
        <v>6.9000000000000006E-2</v>
      </c>
      <c r="AN141">
        <v>0.89700000000000002</v>
      </c>
    </row>
    <row r="142" spans="1:40">
      <c r="A142">
        <v>2210</v>
      </c>
      <c r="B142" t="s">
        <v>695</v>
      </c>
      <c r="C142" t="s">
        <v>696</v>
      </c>
      <c r="D142" t="s">
        <v>697</v>
      </c>
      <c r="E142">
        <v>839</v>
      </c>
      <c r="F142">
        <v>2476</v>
      </c>
      <c r="G142">
        <v>5624.2820270000002</v>
      </c>
      <c r="H142">
        <v>430</v>
      </c>
      <c r="I142" s="515">
        <v>8.7914519560053801</v>
      </c>
      <c r="J142">
        <v>2906</v>
      </c>
      <c r="K142">
        <v>330.54835700000001</v>
      </c>
      <c r="L142">
        <v>0.94899999999999995</v>
      </c>
      <c r="M142">
        <v>0.33884948799999998</v>
      </c>
      <c r="N142">
        <v>0</v>
      </c>
      <c r="O142" t="s">
        <v>625</v>
      </c>
      <c r="P142">
        <f t="shared" si="20"/>
        <v>16.793797099999999</v>
      </c>
      <c r="Q142">
        <f t="shared" si="21"/>
        <v>1.9E-2</v>
      </c>
      <c r="R142">
        <f t="shared" si="22"/>
        <v>3.0000000000000001E-3</v>
      </c>
      <c r="S142">
        <f t="shared" si="23"/>
        <v>0.94899999999999995</v>
      </c>
      <c r="T142">
        <f t="shared" si="24"/>
        <v>4.7525000000000004</v>
      </c>
      <c r="U142">
        <f t="shared" si="25"/>
        <v>12.85834521</v>
      </c>
      <c r="V142">
        <f t="shared" si="26"/>
        <v>1.0999999999999999E-2</v>
      </c>
      <c r="W142">
        <f t="shared" si="27"/>
        <v>5.8999999999999997E-2</v>
      </c>
      <c r="X142">
        <f t="shared" si="28"/>
        <v>0.93</v>
      </c>
      <c r="Y142">
        <v>4.0257618749999997</v>
      </c>
      <c r="Z142">
        <v>0</v>
      </c>
      <c r="AA142">
        <v>62139</v>
      </c>
      <c r="AB142">
        <v>22178</v>
      </c>
      <c r="AC142">
        <v>2.5956119999999999E-2</v>
      </c>
      <c r="AD142">
        <v>0.81129361</v>
      </c>
      <c r="AF142">
        <v>16.793797099999999</v>
      </c>
      <c r="AG142">
        <v>1.9E-2</v>
      </c>
      <c r="AH142">
        <v>3.0000000000000001E-3</v>
      </c>
      <c r="AI142">
        <v>0.94899999999999995</v>
      </c>
      <c r="AJ142">
        <v>4.7525000000000004</v>
      </c>
      <c r="AK142">
        <v>12.85834521</v>
      </c>
      <c r="AL142">
        <v>1.0999999999999999E-2</v>
      </c>
      <c r="AM142">
        <v>5.8999999999999997E-2</v>
      </c>
      <c r="AN142">
        <v>0.93</v>
      </c>
    </row>
    <row r="143" spans="1:40">
      <c r="A143">
        <v>2211</v>
      </c>
      <c r="B143" t="s">
        <v>695</v>
      </c>
      <c r="C143" t="s">
        <v>696</v>
      </c>
      <c r="D143" t="s">
        <v>697</v>
      </c>
      <c r="E143">
        <v>733</v>
      </c>
      <c r="F143">
        <v>1944</v>
      </c>
      <c r="G143">
        <v>101.86936179999999</v>
      </c>
      <c r="H143">
        <v>414</v>
      </c>
      <c r="I143">
        <v>0.159231764</v>
      </c>
      <c r="J143">
        <v>2358</v>
      </c>
      <c r="K143">
        <v>14808.603139999999</v>
      </c>
      <c r="L143">
        <v>0.80200000000000005</v>
      </c>
      <c r="M143">
        <v>0.36094158700000001</v>
      </c>
      <c r="N143">
        <v>0</v>
      </c>
      <c r="O143" t="s">
        <v>620</v>
      </c>
      <c r="P143">
        <f t="shared" si="20"/>
        <v>12.19549763</v>
      </c>
      <c r="Q143">
        <f t="shared" si="21"/>
        <v>2.9000000000000001E-2</v>
      </c>
      <c r="R143">
        <f t="shared" si="22"/>
        <v>2.1999999999999999E-2</v>
      </c>
      <c r="S143">
        <f t="shared" si="23"/>
        <v>0.80200000000000005</v>
      </c>
      <c r="T143">
        <f t="shared" si="24"/>
        <v>2.2060606059999999</v>
      </c>
      <c r="U143">
        <f t="shared" si="25"/>
        <v>7.5004037009999998</v>
      </c>
      <c r="V143">
        <f t="shared" si="26"/>
        <v>0.02</v>
      </c>
      <c r="W143">
        <f t="shared" si="27"/>
        <v>0.108</v>
      </c>
      <c r="X143">
        <f t="shared" si="28"/>
        <v>0.84699999999999998</v>
      </c>
      <c r="Y143">
        <v>75.421774099999993</v>
      </c>
      <c r="Z143">
        <v>0</v>
      </c>
      <c r="AA143">
        <v>62139</v>
      </c>
      <c r="AB143">
        <v>22178</v>
      </c>
      <c r="AC143">
        <v>2.5956119999999999E-2</v>
      </c>
      <c r="AD143">
        <v>0.81129361</v>
      </c>
      <c r="AF143">
        <v>12.19549763</v>
      </c>
      <c r="AG143">
        <v>2.9000000000000001E-2</v>
      </c>
      <c r="AH143">
        <v>2.1999999999999999E-2</v>
      </c>
      <c r="AI143">
        <v>0.80200000000000005</v>
      </c>
      <c r="AJ143">
        <v>2.2060606059999999</v>
      </c>
      <c r="AK143">
        <v>7.5004037009999998</v>
      </c>
      <c r="AL143">
        <v>0.02</v>
      </c>
      <c r="AM143">
        <v>0.108</v>
      </c>
      <c r="AN143">
        <v>0.84699999999999998</v>
      </c>
    </row>
    <row r="144" spans="1:40">
      <c r="A144">
        <v>2212</v>
      </c>
      <c r="B144" t="s">
        <v>702</v>
      </c>
      <c r="C144" t="s">
        <v>696</v>
      </c>
      <c r="D144" t="s">
        <v>697</v>
      </c>
      <c r="E144">
        <v>956</v>
      </c>
      <c r="F144">
        <v>3272</v>
      </c>
      <c r="G144">
        <v>162.90383439999999</v>
      </c>
      <c r="H144">
        <v>197</v>
      </c>
      <c r="I144">
        <v>0.25463950299999999</v>
      </c>
      <c r="J144">
        <v>3469</v>
      </c>
      <c r="K144">
        <v>13623.180850000001</v>
      </c>
      <c r="L144">
        <v>0.79600000000000004</v>
      </c>
      <c r="M144">
        <v>0.17085863000000001</v>
      </c>
      <c r="N144">
        <v>0</v>
      </c>
      <c r="O144" t="s">
        <v>613</v>
      </c>
      <c r="P144">
        <f t="shared" si="20"/>
        <v>12.4778836</v>
      </c>
      <c r="Q144">
        <f t="shared" si="21"/>
        <v>8.2000000000000003E-2</v>
      </c>
      <c r="R144">
        <f t="shared" si="22"/>
        <v>1.9E-2</v>
      </c>
      <c r="S144">
        <f t="shared" si="23"/>
        <v>0.79600000000000004</v>
      </c>
      <c r="T144">
        <f t="shared" si="24"/>
        <v>1.662692308</v>
      </c>
      <c r="U144">
        <f t="shared" si="25"/>
        <v>6.9368803830000001</v>
      </c>
      <c r="V144">
        <f t="shared" si="26"/>
        <v>1.4999999999999999E-2</v>
      </c>
      <c r="W144">
        <f t="shared" si="27"/>
        <v>0.23699999999999999</v>
      </c>
      <c r="X144">
        <f t="shared" si="28"/>
        <v>0.72099999999999997</v>
      </c>
      <c r="Y144">
        <v>141.62279290000001</v>
      </c>
      <c r="Z144">
        <v>0</v>
      </c>
      <c r="AA144">
        <v>90778</v>
      </c>
      <c r="AB144">
        <v>31662</v>
      </c>
      <c r="AC144">
        <v>3.1753482E-2</v>
      </c>
      <c r="AD144">
        <v>0.82960131100000001</v>
      </c>
      <c r="AF144">
        <v>12.4778836</v>
      </c>
      <c r="AG144">
        <v>8.2000000000000003E-2</v>
      </c>
      <c r="AH144">
        <v>1.9E-2</v>
      </c>
      <c r="AI144">
        <v>0.79600000000000004</v>
      </c>
      <c r="AJ144">
        <v>1.662692308</v>
      </c>
      <c r="AK144">
        <v>6.9368803830000001</v>
      </c>
      <c r="AL144">
        <v>1.4999999999999999E-2</v>
      </c>
      <c r="AM144">
        <v>0.23699999999999999</v>
      </c>
      <c r="AN144">
        <v>0.72099999999999997</v>
      </c>
    </row>
    <row r="145" spans="1:40">
      <c r="A145">
        <v>2213</v>
      </c>
      <c r="B145" t="s">
        <v>702</v>
      </c>
      <c r="C145" t="s">
        <v>696</v>
      </c>
      <c r="D145" t="s">
        <v>697</v>
      </c>
      <c r="E145">
        <v>503</v>
      </c>
      <c r="F145">
        <v>1139</v>
      </c>
      <c r="G145">
        <v>40.84182912</v>
      </c>
      <c r="H145">
        <v>334</v>
      </c>
      <c r="I145">
        <v>6.3843652000000001E-2</v>
      </c>
      <c r="J145">
        <v>1473</v>
      </c>
      <c r="K145">
        <v>23071.988430000001</v>
      </c>
      <c r="L145">
        <v>0.83199999999999996</v>
      </c>
      <c r="M145">
        <v>0.39904420499999999</v>
      </c>
      <c r="N145">
        <v>0</v>
      </c>
      <c r="O145" t="s">
        <v>620</v>
      </c>
      <c r="P145">
        <f t="shared" si="20"/>
        <v>9.4605223879999993</v>
      </c>
      <c r="Q145">
        <f t="shared" si="21"/>
        <v>2.4E-2</v>
      </c>
      <c r="R145">
        <f t="shared" si="22"/>
        <v>1.6E-2</v>
      </c>
      <c r="S145">
        <f t="shared" si="23"/>
        <v>0.83199999999999996</v>
      </c>
      <c r="T145">
        <f t="shared" si="24"/>
        <v>2.2647619049999999</v>
      </c>
      <c r="U145">
        <f t="shared" si="25"/>
        <v>5.8787140119999997</v>
      </c>
      <c r="V145">
        <f t="shared" si="26"/>
        <v>0.05</v>
      </c>
      <c r="W145">
        <f t="shared" si="27"/>
        <v>9.9000000000000005E-2</v>
      </c>
      <c r="X145">
        <f t="shared" si="28"/>
        <v>0.83199999999999996</v>
      </c>
      <c r="Y145">
        <v>110.9610069</v>
      </c>
      <c r="Z145">
        <v>0</v>
      </c>
      <c r="AA145">
        <v>90778</v>
      </c>
      <c r="AB145">
        <v>31662</v>
      </c>
      <c r="AC145">
        <v>3.1753482E-2</v>
      </c>
      <c r="AD145">
        <v>0.82960131100000001</v>
      </c>
      <c r="AF145">
        <v>9.4605223879999993</v>
      </c>
      <c r="AG145">
        <v>2.4E-2</v>
      </c>
      <c r="AH145">
        <v>1.6E-2</v>
      </c>
      <c r="AI145">
        <v>0.83199999999999996</v>
      </c>
      <c r="AJ145">
        <v>2.2647619049999999</v>
      </c>
      <c r="AK145">
        <v>5.8787140119999997</v>
      </c>
      <c r="AL145">
        <v>0.05</v>
      </c>
      <c r="AM145">
        <v>9.9000000000000005E-2</v>
      </c>
      <c r="AN145">
        <v>0.83199999999999996</v>
      </c>
    </row>
    <row r="146" spans="1:40">
      <c r="A146">
        <v>2214</v>
      </c>
      <c r="B146" t="s">
        <v>702</v>
      </c>
      <c r="C146" t="s">
        <v>696</v>
      </c>
      <c r="D146" t="s">
        <v>697</v>
      </c>
      <c r="E146">
        <v>401</v>
      </c>
      <c r="F146">
        <v>843</v>
      </c>
      <c r="G146">
        <v>44.684069139999998</v>
      </c>
      <c r="H146">
        <v>441</v>
      </c>
      <c r="I146">
        <v>6.9847084000000004E-2</v>
      </c>
      <c r="J146">
        <v>1284</v>
      </c>
      <c r="K146">
        <v>18383.015100000001</v>
      </c>
      <c r="L146">
        <v>0.77900000000000003</v>
      </c>
      <c r="M146">
        <v>0.52375296900000001</v>
      </c>
      <c r="N146">
        <v>0</v>
      </c>
      <c r="O146" t="s">
        <v>620</v>
      </c>
      <c r="P146">
        <f t="shared" si="20"/>
        <v>13.43104348</v>
      </c>
      <c r="Q146">
        <f t="shared" si="21"/>
        <v>3.1E-2</v>
      </c>
      <c r="R146">
        <f t="shared" si="22"/>
        <v>1.4E-2</v>
      </c>
      <c r="S146">
        <f t="shared" si="23"/>
        <v>0.77900000000000003</v>
      </c>
      <c r="T146">
        <f t="shared" si="24"/>
        <v>3.0956250000000001</v>
      </c>
      <c r="U146">
        <f t="shared" si="25"/>
        <v>6.7618949769999999</v>
      </c>
      <c r="V146">
        <f t="shared" si="26"/>
        <v>4.2301204819277106E-2</v>
      </c>
      <c r="W146">
        <f t="shared" si="27"/>
        <v>0.109</v>
      </c>
      <c r="X146">
        <f t="shared" si="28"/>
        <v>0.78200000000000003</v>
      </c>
      <c r="Y146">
        <v>181.32840340000001</v>
      </c>
      <c r="Z146">
        <v>0</v>
      </c>
      <c r="AA146">
        <v>90778</v>
      </c>
      <c r="AB146">
        <v>31662</v>
      </c>
      <c r="AC146">
        <v>3.1753482E-2</v>
      </c>
      <c r="AD146">
        <v>0.82960131100000001</v>
      </c>
      <c r="AF146">
        <v>13.43104348</v>
      </c>
      <c r="AG146">
        <v>3.1E-2</v>
      </c>
      <c r="AH146">
        <v>1.4E-2</v>
      </c>
      <c r="AI146">
        <v>0.77900000000000003</v>
      </c>
      <c r="AJ146">
        <v>3.0956250000000001</v>
      </c>
      <c r="AK146">
        <v>6.7618949769999999</v>
      </c>
      <c r="AL146">
        <v>0</v>
      </c>
      <c r="AM146">
        <v>0.109</v>
      </c>
      <c r="AN146">
        <v>0.78200000000000003</v>
      </c>
    </row>
    <row r="147" spans="1:40">
      <c r="A147">
        <v>2215</v>
      </c>
      <c r="B147" t="s">
        <v>702</v>
      </c>
      <c r="C147" t="s">
        <v>696</v>
      </c>
      <c r="D147" t="s">
        <v>697</v>
      </c>
      <c r="E147">
        <v>851</v>
      </c>
      <c r="F147">
        <v>2010</v>
      </c>
      <c r="G147">
        <v>72.655971320000006</v>
      </c>
      <c r="H147">
        <v>247</v>
      </c>
      <c r="I147">
        <v>0.113565372</v>
      </c>
      <c r="J147">
        <v>2257</v>
      </c>
      <c r="K147">
        <v>19874.015820000001</v>
      </c>
      <c r="L147">
        <v>0.79200000000000004</v>
      </c>
      <c r="M147">
        <v>0.22495446299999999</v>
      </c>
      <c r="N147">
        <v>0</v>
      </c>
      <c r="O147" t="s">
        <v>613</v>
      </c>
      <c r="P147">
        <f t="shared" si="20"/>
        <v>11.892322269999999</v>
      </c>
      <c r="Q147">
        <f t="shared" si="21"/>
        <v>3.5999999999999997E-2</v>
      </c>
      <c r="R147">
        <f t="shared" si="22"/>
        <v>2.5000000000000001E-2</v>
      </c>
      <c r="S147">
        <f t="shared" si="23"/>
        <v>0.79200000000000004</v>
      </c>
      <c r="T147">
        <f t="shared" si="24"/>
        <v>2.2563888890000001</v>
      </c>
      <c r="U147">
        <f t="shared" si="25"/>
        <v>7.0327363639999998</v>
      </c>
      <c r="V147">
        <f t="shared" si="26"/>
        <v>5.5E-2</v>
      </c>
      <c r="W147">
        <f t="shared" si="27"/>
        <v>0.13900000000000001</v>
      </c>
      <c r="X147">
        <f t="shared" si="28"/>
        <v>0.77300000000000002</v>
      </c>
      <c r="Y147">
        <v>158.1027813</v>
      </c>
      <c r="Z147">
        <v>0</v>
      </c>
      <c r="AA147">
        <v>90778</v>
      </c>
      <c r="AB147">
        <v>31662</v>
      </c>
      <c r="AC147">
        <v>3.1753482E-2</v>
      </c>
      <c r="AD147">
        <v>0.82960131100000001</v>
      </c>
      <c r="AF147">
        <v>11.892322269999999</v>
      </c>
      <c r="AG147">
        <v>3.5999999999999997E-2</v>
      </c>
      <c r="AH147">
        <v>2.5000000000000001E-2</v>
      </c>
      <c r="AI147">
        <v>0.79200000000000004</v>
      </c>
      <c r="AJ147">
        <v>2.2563888890000001</v>
      </c>
      <c r="AK147">
        <v>7.0327363639999998</v>
      </c>
      <c r="AL147">
        <v>5.5E-2</v>
      </c>
      <c r="AM147">
        <v>0.13900000000000001</v>
      </c>
      <c r="AN147">
        <v>0.77300000000000002</v>
      </c>
    </row>
    <row r="148" spans="1:40">
      <c r="A148">
        <v>2216</v>
      </c>
      <c r="B148" t="s">
        <v>695</v>
      </c>
      <c r="C148" t="s">
        <v>696</v>
      </c>
      <c r="D148" t="s">
        <v>697</v>
      </c>
      <c r="E148">
        <v>934</v>
      </c>
      <c r="F148">
        <v>2826</v>
      </c>
      <c r="G148">
        <v>813.81128430000001</v>
      </c>
      <c r="H148">
        <v>48</v>
      </c>
      <c r="I148" s="515">
        <v>1.2720678292215799</v>
      </c>
      <c r="J148">
        <v>2874</v>
      </c>
      <c r="K148">
        <v>2259.3134850000001</v>
      </c>
      <c r="L148">
        <v>0.88200000000000001</v>
      </c>
      <c r="M148">
        <v>4.8879837000000002E-2</v>
      </c>
      <c r="N148">
        <v>0</v>
      </c>
      <c r="O148" t="s">
        <v>625</v>
      </c>
      <c r="P148">
        <f t="shared" si="20"/>
        <v>16.135893419999999</v>
      </c>
      <c r="Q148">
        <f t="shared" si="21"/>
        <v>4.3999999999999997E-2</v>
      </c>
      <c r="R148">
        <f t="shared" si="22"/>
        <v>2.4E-2</v>
      </c>
      <c r="S148">
        <f t="shared" si="23"/>
        <v>0.88200000000000001</v>
      </c>
      <c r="T148">
        <f t="shared" si="24"/>
        <v>1.78125</v>
      </c>
      <c r="U148">
        <f t="shared" si="25"/>
        <v>10.10794741</v>
      </c>
      <c r="V148">
        <f t="shared" si="26"/>
        <v>5.0000000000000001E-3</v>
      </c>
      <c r="W148">
        <f t="shared" si="27"/>
        <v>0.13300000000000001</v>
      </c>
      <c r="X148">
        <f t="shared" si="28"/>
        <v>0.85099999999999998</v>
      </c>
      <c r="Y148">
        <v>28.90985152</v>
      </c>
      <c r="Z148">
        <v>0</v>
      </c>
      <c r="AA148">
        <v>62139</v>
      </c>
      <c r="AB148">
        <v>22178</v>
      </c>
      <c r="AC148">
        <v>2.5956119999999999E-2</v>
      </c>
      <c r="AD148">
        <v>0.81129361</v>
      </c>
      <c r="AF148">
        <v>16.135893419999999</v>
      </c>
      <c r="AG148">
        <v>4.3999999999999997E-2</v>
      </c>
      <c r="AH148">
        <v>2.4E-2</v>
      </c>
      <c r="AI148">
        <v>0.88200000000000001</v>
      </c>
      <c r="AJ148">
        <v>1.78125</v>
      </c>
      <c r="AK148">
        <v>10.10794741</v>
      </c>
      <c r="AL148">
        <v>5.0000000000000001E-3</v>
      </c>
      <c r="AM148">
        <v>0.13300000000000001</v>
      </c>
      <c r="AN148">
        <v>0.85099999999999998</v>
      </c>
    </row>
    <row r="149" spans="1:40">
      <c r="A149">
        <v>2217</v>
      </c>
      <c r="B149" t="s">
        <v>707</v>
      </c>
      <c r="C149" t="s">
        <v>696</v>
      </c>
      <c r="D149" t="s">
        <v>697</v>
      </c>
      <c r="E149">
        <v>247</v>
      </c>
      <c r="F149">
        <v>747</v>
      </c>
      <c r="G149">
        <v>1115.7577739999999</v>
      </c>
      <c r="H149">
        <v>9</v>
      </c>
      <c r="I149" s="515">
        <v>1.74403997458769</v>
      </c>
      <c r="J149">
        <v>756</v>
      </c>
      <c r="K149">
        <v>433.47630270000002</v>
      </c>
      <c r="L149">
        <v>0.95</v>
      </c>
      <c r="M149">
        <v>3.515625E-2</v>
      </c>
      <c r="N149">
        <v>0</v>
      </c>
      <c r="O149" t="s">
        <v>625</v>
      </c>
      <c r="P149">
        <f t="shared" si="20"/>
        <v>14.716307690000001</v>
      </c>
      <c r="Q149">
        <f t="shared" si="21"/>
        <v>2.9000000000000001E-2</v>
      </c>
      <c r="R149">
        <f t="shared" si="22"/>
        <v>1.4E-2</v>
      </c>
      <c r="S149">
        <f t="shared" si="23"/>
        <v>0.95</v>
      </c>
      <c r="T149">
        <f t="shared" si="24"/>
        <v>2.1949999999999998</v>
      </c>
      <c r="U149">
        <f t="shared" si="25"/>
        <v>10.005166669999999</v>
      </c>
      <c r="V149">
        <f t="shared" si="26"/>
        <v>0.11835714285714286</v>
      </c>
      <c r="W149">
        <f t="shared" si="27"/>
        <v>5.8000000000000003E-2</v>
      </c>
      <c r="X149">
        <f t="shared" si="28"/>
        <v>0.94199999999999995</v>
      </c>
      <c r="Y149">
        <v>7.8466809380000004</v>
      </c>
      <c r="Z149">
        <v>0</v>
      </c>
      <c r="AA149">
        <v>21149</v>
      </c>
      <c r="AB149">
        <v>6968</v>
      </c>
      <c r="AC149">
        <v>1.6645858999999999E-2</v>
      </c>
      <c r="AD149">
        <v>0.89069218999999999</v>
      </c>
      <c r="AF149">
        <v>14.716307690000001</v>
      </c>
      <c r="AG149">
        <v>2.9000000000000001E-2</v>
      </c>
      <c r="AH149">
        <v>1.4E-2</v>
      </c>
      <c r="AI149">
        <v>0.95</v>
      </c>
      <c r="AJ149">
        <v>2.1949999999999998</v>
      </c>
      <c r="AK149">
        <v>10.005166669999999</v>
      </c>
      <c r="AL149">
        <v>0</v>
      </c>
      <c r="AM149">
        <v>5.8000000000000003E-2</v>
      </c>
      <c r="AN149">
        <v>0.94199999999999995</v>
      </c>
    </row>
    <row r="150" spans="1:40">
      <c r="A150">
        <v>2218</v>
      </c>
      <c r="B150" t="s">
        <v>689</v>
      </c>
      <c r="C150" t="s">
        <v>687</v>
      </c>
      <c r="D150" t="s">
        <v>688</v>
      </c>
      <c r="E150">
        <v>551</v>
      </c>
      <c r="F150">
        <v>1966</v>
      </c>
      <c r="G150">
        <v>54.950593570000002</v>
      </c>
      <c r="H150">
        <v>180</v>
      </c>
      <c r="I150">
        <v>8.5895365000000001E-2</v>
      </c>
      <c r="J150">
        <v>2146</v>
      </c>
      <c r="K150">
        <v>24983.885920000001</v>
      </c>
      <c r="L150">
        <v>0.67800000000000005</v>
      </c>
      <c r="M150">
        <v>0.24623803</v>
      </c>
      <c r="N150">
        <v>0</v>
      </c>
      <c r="O150" t="s">
        <v>613</v>
      </c>
      <c r="P150">
        <f t="shared" si="20"/>
        <v>11.314719999999999</v>
      </c>
      <c r="Q150">
        <f t="shared" si="21"/>
        <v>4.5999999999999999E-2</v>
      </c>
      <c r="R150">
        <f t="shared" si="22"/>
        <v>3.7999999999999999E-2</v>
      </c>
      <c r="S150">
        <f t="shared" si="23"/>
        <v>0.67800000000000005</v>
      </c>
      <c r="T150">
        <f t="shared" si="24"/>
        <v>2.2037499999999999</v>
      </c>
      <c r="U150">
        <f t="shared" si="25"/>
        <v>5.2064989519999996</v>
      </c>
      <c r="V150">
        <f t="shared" si="26"/>
        <v>8.7999999999999995E-2</v>
      </c>
      <c r="W150">
        <f t="shared" si="27"/>
        <v>0.20599999999999999</v>
      </c>
      <c r="X150">
        <f t="shared" si="28"/>
        <v>0.64400000000000002</v>
      </c>
      <c r="Y150">
        <v>89.662231160000005</v>
      </c>
      <c r="Z150">
        <v>0</v>
      </c>
      <c r="AA150">
        <v>454184</v>
      </c>
      <c r="AB150">
        <v>170596</v>
      </c>
      <c r="AC150">
        <v>6.5715274000000004E-2</v>
      </c>
      <c r="AD150">
        <v>0.72549415100000003</v>
      </c>
      <c r="AF150">
        <v>11.314719999999999</v>
      </c>
      <c r="AG150">
        <v>4.5999999999999999E-2</v>
      </c>
      <c r="AH150">
        <v>3.7999999999999999E-2</v>
      </c>
      <c r="AI150">
        <v>0.67800000000000005</v>
      </c>
      <c r="AJ150">
        <v>2.2037499999999999</v>
      </c>
      <c r="AK150">
        <v>5.2064989519999996</v>
      </c>
      <c r="AL150">
        <v>8.7999999999999995E-2</v>
      </c>
      <c r="AM150">
        <v>0.20599999999999999</v>
      </c>
      <c r="AN150">
        <v>0.64400000000000002</v>
      </c>
    </row>
    <row r="151" spans="1:40">
      <c r="A151">
        <v>2219</v>
      </c>
      <c r="B151" t="s">
        <v>689</v>
      </c>
      <c r="C151" t="s">
        <v>687</v>
      </c>
      <c r="D151" t="s">
        <v>688</v>
      </c>
      <c r="E151">
        <v>432</v>
      </c>
      <c r="F151">
        <v>1535</v>
      </c>
      <c r="G151">
        <v>36.636479520000002</v>
      </c>
      <c r="H151">
        <v>19</v>
      </c>
      <c r="I151">
        <v>5.7265163000000001E-2</v>
      </c>
      <c r="J151">
        <v>1554</v>
      </c>
      <c r="K151">
        <v>27136.917430000001</v>
      </c>
      <c r="L151">
        <v>0.69199999999999995</v>
      </c>
      <c r="M151">
        <v>4.2128603000000001E-2</v>
      </c>
      <c r="N151">
        <v>0</v>
      </c>
      <c r="O151" t="s">
        <v>613</v>
      </c>
      <c r="P151">
        <f t="shared" si="20"/>
        <v>10.803982299999999</v>
      </c>
      <c r="Q151">
        <f t="shared" si="21"/>
        <v>2.5999999999999999E-2</v>
      </c>
      <c r="R151">
        <f t="shared" si="22"/>
        <v>0.02</v>
      </c>
      <c r="S151">
        <f t="shared" si="23"/>
        <v>0.69199999999999995</v>
      </c>
      <c r="T151">
        <f t="shared" si="24"/>
        <v>1.8845000000000001</v>
      </c>
      <c r="U151">
        <f t="shared" si="25"/>
        <v>5.6958108110000003</v>
      </c>
      <c r="V151">
        <f t="shared" si="26"/>
        <v>1.4999999999999999E-2</v>
      </c>
      <c r="W151">
        <f t="shared" si="27"/>
        <v>0.112</v>
      </c>
      <c r="X151">
        <f t="shared" si="28"/>
        <v>0.84299999999999997</v>
      </c>
      <c r="Y151">
        <v>139.3718786</v>
      </c>
      <c r="Z151">
        <v>0</v>
      </c>
      <c r="AA151">
        <v>454184</v>
      </c>
      <c r="AB151">
        <v>170596</v>
      </c>
      <c r="AC151">
        <v>6.5715274000000004E-2</v>
      </c>
      <c r="AD151">
        <v>0.72549415100000003</v>
      </c>
      <c r="AF151">
        <v>10.803982299999999</v>
      </c>
      <c r="AG151">
        <v>2.5999999999999999E-2</v>
      </c>
      <c r="AH151">
        <v>0.02</v>
      </c>
      <c r="AI151">
        <v>0.69199999999999995</v>
      </c>
      <c r="AJ151">
        <v>1.8845000000000001</v>
      </c>
      <c r="AK151">
        <v>5.6958108110000003</v>
      </c>
      <c r="AL151">
        <v>1.4999999999999999E-2</v>
      </c>
      <c r="AM151">
        <v>0.112</v>
      </c>
      <c r="AN151">
        <v>0.84299999999999997</v>
      </c>
    </row>
    <row r="152" spans="1:40">
      <c r="A152">
        <v>2220</v>
      </c>
      <c r="B152" t="s">
        <v>689</v>
      </c>
      <c r="C152" t="s">
        <v>687</v>
      </c>
      <c r="D152" t="s">
        <v>688</v>
      </c>
      <c r="E152">
        <v>548</v>
      </c>
      <c r="F152">
        <v>1949</v>
      </c>
      <c r="G152">
        <v>61.155355530000001</v>
      </c>
      <c r="H152">
        <v>27</v>
      </c>
      <c r="I152">
        <v>9.5591965000000001E-2</v>
      </c>
      <c r="J152">
        <v>1976</v>
      </c>
      <c r="K152">
        <v>20671.193439999999</v>
      </c>
      <c r="L152">
        <v>0.746</v>
      </c>
      <c r="M152">
        <v>4.6956522000000001E-2</v>
      </c>
      <c r="N152">
        <v>0</v>
      </c>
      <c r="O152" t="s">
        <v>613</v>
      </c>
      <c r="P152">
        <f t="shared" si="20"/>
        <v>13.26380597</v>
      </c>
      <c r="Q152">
        <f t="shared" si="21"/>
        <v>4.5999999999999999E-2</v>
      </c>
      <c r="R152">
        <f t="shared" si="22"/>
        <v>3.6999999999999998E-2</v>
      </c>
      <c r="S152">
        <f t="shared" si="23"/>
        <v>0.746</v>
      </c>
      <c r="T152">
        <f t="shared" si="24"/>
        <v>2.1140909090000002</v>
      </c>
      <c r="U152">
        <f t="shared" si="25"/>
        <v>6.5101426870000001</v>
      </c>
      <c r="V152">
        <f t="shared" si="26"/>
        <v>0.05</v>
      </c>
      <c r="W152">
        <f t="shared" si="27"/>
        <v>0.17199999999999999</v>
      </c>
      <c r="X152">
        <f t="shared" si="28"/>
        <v>0.74399999999999999</v>
      </c>
      <c r="Y152">
        <v>125.5918241</v>
      </c>
      <c r="Z152">
        <v>0</v>
      </c>
      <c r="AA152">
        <v>454184</v>
      </c>
      <c r="AB152">
        <v>170596</v>
      </c>
      <c r="AC152">
        <v>6.5715274000000004E-2</v>
      </c>
      <c r="AD152">
        <v>0.72549415100000003</v>
      </c>
      <c r="AF152">
        <v>13.26380597</v>
      </c>
      <c r="AG152">
        <v>4.5999999999999999E-2</v>
      </c>
      <c r="AH152">
        <v>3.6999999999999998E-2</v>
      </c>
      <c r="AI152">
        <v>0.746</v>
      </c>
      <c r="AJ152">
        <v>2.1140909090000002</v>
      </c>
      <c r="AK152">
        <v>6.5101426870000001</v>
      </c>
      <c r="AL152">
        <v>0.05</v>
      </c>
      <c r="AM152">
        <v>0.17199999999999999</v>
      </c>
      <c r="AN152">
        <v>0.74399999999999999</v>
      </c>
    </row>
    <row r="153" spans="1:40">
      <c r="A153">
        <v>2221</v>
      </c>
      <c r="B153" t="s">
        <v>689</v>
      </c>
      <c r="C153" t="s">
        <v>687</v>
      </c>
      <c r="D153" t="s">
        <v>688</v>
      </c>
      <c r="E153">
        <v>243</v>
      </c>
      <c r="F153">
        <v>870</v>
      </c>
      <c r="G153">
        <v>31.727360050000001</v>
      </c>
      <c r="H153">
        <v>70</v>
      </c>
      <c r="I153">
        <v>4.9594992999999997E-2</v>
      </c>
      <c r="J153">
        <v>940</v>
      </c>
      <c r="K153">
        <v>18953.52622</v>
      </c>
      <c r="L153">
        <v>0.72</v>
      </c>
      <c r="M153">
        <v>0.223642173</v>
      </c>
      <c r="N153">
        <v>0</v>
      </c>
      <c r="O153" t="s">
        <v>613</v>
      </c>
      <c r="P153">
        <f t="shared" si="20"/>
        <v>9.7038157890000001</v>
      </c>
      <c r="Q153">
        <f t="shared" si="21"/>
        <v>5.5E-2</v>
      </c>
      <c r="R153">
        <f t="shared" si="22"/>
        <v>2.1999999999999999E-2</v>
      </c>
      <c r="S153">
        <f t="shared" si="23"/>
        <v>0.72</v>
      </c>
      <c r="T153">
        <f t="shared" si="24"/>
        <v>2.2183333329999999</v>
      </c>
      <c r="U153">
        <f t="shared" si="25"/>
        <v>5.693212291</v>
      </c>
      <c r="V153">
        <f t="shared" si="26"/>
        <v>2.1999999999999999E-2</v>
      </c>
      <c r="W153">
        <f t="shared" si="27"/>
        <v>0.151</v>
      </c>
      <c r="X153">
        <f t="shared" si="28"/>
        <v>0.81699999999999995</v>
      </c>
      <c r="Y153">
        <v>114.2945118</v>
      </c>
      <c r="Z153">
        <v>0</v>
      </c>
      <c r="AA153">
        <v>454184</v>
      </c>
      <c r="AB153">
        <v>170596</v>
      </c>
      <c r="AC153">
        <v>6.5715274000000004E-2</v>
      </c>
      <c r="AD153">
        <v>0.72549415100000003</v>
      </c>
      <c r="AF153">
        <v>9.7038157890000001</v>
      </c>
      <c r="AG153">
        <v>5.5E-2</v>
      </c>
      <c r="AH153">
        <v>2.1999999999999999E-2</v>
      </c>
      <c r="AI153">
        <v>0.72</v>
      </c>
      <c r="AJ153">
        <v>2.2183333329999999</v>
      </c>
      <c r="AK153">
        <v>5.693212291</v>
      </c>
      <c r="AL153">
        <v>2.1999999999999999E-2</v>
      </c>
      <c r="AM153">
        <v>0.151</v>
      </c>
      <c r="AN153">
        <v>0.81699999999999995</v>
      </c>
    </row>
    <row r="154" spans="1:40">
      <c r="A154">
        <v>2222</v>
      </c>
      <c r="B154" t="s">
        <v>689</v>
      </c>
      <c r="C154" t="s">
        <v>687</v>
      </c>
      <c r="D154" t="s">
        <v>688</v>
      </c>
      <c r="E154">
        <v>244</v>
      </c>
      <c r="F154">
        <v>864</v>
      </c>
      <c r="G154">
        <v>31.540231290000001</v>
      </c>
      <c r="H154">
        <v>106</v>
      </c>
      <c r="I154">
        <v>4.9303156000000001E-2</v>
      </c>
      <c r="J154">
        <v>970</v>
      </c>
      <c r="K154">
        <v>19674.196919999998</v>
      </c>
      <c r="L154">
        <v>0.66500000000000004</v>
      </c>
      <c r="M154">
        <v>0.302857143</v>
      </c>
      <c r="N154">
        <v>0</v>
      </c>
      <c r="O154" t="s">
        <v>613</v>
      </c>
      <c r="P154">
        <f t="shared" si="20"/>
        <v>12.24446809</v>
      </c>
      <c r="Q154">
        <f t="shared" si="21"/>
        <v>5.1999999999999998E-2</v>
      </c>
      <c r="R154">
        <f t="shared" si="22"/>
        <v>3.9E-2</v>
      </c>
      <c r="S154">
        <f t="shared" si="23"/>
        <v>0.66500000000000004</v>
      </c>
      <c r="T154">
        <f t="shared" si="24"/>
        <v>2.473461538</v>
      </c>
      <c r="U154">
        <f t="shared" si="25"/>
        <v>6.426553288</v>
      </c>
      <c r="V154">
        <f t="shared" si="26"/>
        <v>2.5000000000000001E-2</v>
      </c>
      <c r="W154">
        <f t="shared" si="27"/>
        <v>0.30399999999999999</v>
      </c>
      <c r="X154">
        <f t="shared" si="28"/>
        <v>0.59499999999999997</v>
      </c>
      <c r="Y154">
        <v>34.889314849999998</v>
      </c>
      <c r="Z154">
        <v>0</v>
      </c>
      <c r="AA154">
        <v>454184</v>
      </c>
      <c r="AB154">
        <v>170596</v>
      </c>
      <c r="AC154">
        <v>6.5715274000000004E-2</v>
      </c>
      <c r="AD154">
        <v>0.72549415100000003</v>
      </c>
      <c r="AF154">
        <v>12.24446809</v>
      </c>
      <c r="AG154">
        <v>5.1999999999999998E-2</v>
      </c>
      <c r="AH154">
        <v>3.9E-2</v>
      </c>
      <c r="AI154">
        <v>0.66500000000000004</v>
      </c>
      <c r="AJ154">
        <v>2.473461538</v>
      </c>
      <c r="AK154">
        <v>6.426553288</v>
      </c>
      <c r="AL154">
        <v>2.5000000000000001E-2</v>
      </c>
      <c r="AM154">
        <v>0.30399999999999999</v>
      </c>
      <c r="AN154">
        <v>0.59499999999999997</v>
      </c>
    </row>
    <row r="155" spans="1:40">
      <c r="A155">
        <v>2223</v>
      </c>
      <c r="B155" t="s">
        <v>689</v>
      </c>
      <c r="C155" t="s">
        <v>687</v>
      </c>
      <c r="D155" t="s">
        <v>688</v>
      </c>
      <c r="E155">
        <v>275</v>
      </c>
      <c r="F155">
        <v>977</v>
      </c>
      <c r="G155">
        <v>38.788245099999997</v>
      </c>
      <c r="H155">
        <v>82</v>
      </c>
      <c r="I155">
        <v>6.0633828000000001E-2</v>
      </c>
      <c r="J155">
        <v>1059</v>
      </c>
      <c r="K155">
        <v>17465.49797</v>
      </c>
      <c r="L155">
        <v>0.70099999999999996</v>
      </c>
      <c r="M155">
        <v>0.22969187699999999</v>
      </c>
      <c r="N155">
        <v>0</v>
      </c>
      <c r="O155" t="s">
        <v>613</v>
      </c>
      <c r="P155">
        <f t="shared" si="20"/>
        <v>7.6592063489999997</v>
      </c>
      <c r="Q155">
        <f t="shared" si="21"/>
        <v>4.4999999999999998E-2</v>
      </c>
      <c r="R155">
        <f t="shared" si="22"/>
        <v>3.4000000000000002E-2</v>
      </c>
      <c r="S155">
        <f t="shared" si="23"/>
        <v>0.70099999999999996</v>
      </c>
      <c r="T155">
        <f t="shared" si="24"/>
        <v>1.891818182</v>
      </c>
      <c r="U155">
        <f t="shared" si="25"/>
        <v>4.9680140189999999</v>
      </c>
      <c r="V155">
        <f t="shared" si="26"/>
        <v>0.10299999999999999</v>
      </c>
      <c r="W155">
        <f t="shared" si="27"/>
        <v>0.16500000000000001</v>
      </c>
      <c r="X155">
        <f t="shared" si="28"/>
        <v>0.64900000000000002</v>
      </c>
      <c r="Y155">
        <v>110.4605043</v>
      </c>
      <c r="Z155">
        <v>0</v>
      </c>
      <c r="AA155">
        <v>454184</v>
      </c>
      <c r="AB155">
        <v>170596</v>
      </c>
      <c r="AC155">
        <v>6.5715274000000004E-2</v>
      </c>
      <c r="AD155">
        <v>0.72549415100000003</v>
      </c>
      <c r="AF155">
        <v>7.6592063489999997</v>
      </c>
      <c r="AG155">
        <v>4.4999999999999998E-2</v>
      </c>
      <c r="AH155">
        <v>3.4000000000000002E-2</v>
      </c>
      <c r="AI155">
        <v>0.70099999999999996</v>
      </c>
      <c r="AJ155">
        <v>1.891818182</v>
      </c>
      <c r="AK155">
        <v>4.9680140189999999</v>
      </c>
      <c r="AL155">
        <v>0.10299999999999999</v>
      </c>
      <c r="AM155">
        <v>0.16500000000000001</v>
      </c>
      <c r="AN155">
        <v>0.64900000000000002</v>
      </c>
    </row>
    <row r="156" spans="1:40">
      <c r="A156">
        <v>2224</v>
      </c>
      <c r="B156" t="s">
        <v>689</v>
      </c>
      <c r="C156" t="s">
        <v>687</v>
      </c>
      <c r="D156" t="s">
        <v>688</v>
      </c>
      <c r="E156">
        <v>362</v>
      </c>
      <c r="F156">
        <v>890</v>
      </c>
      <c r="G156">
        <v>171.3252827</v>
      </c>
      <c r="H156">
        <v>2</v>
      </c>
      <c r="I156">
        <v>0.26780268899999998</v>
      </c>
      <c r="J156">
        <v>892</v>
      </c>
      <c r="K156">
        <v>3330.8104680000001</v>
      </c>
      <c r="L156">
        <v>0.91900000000000004</v>
      </c>
      <c r="M156">
        <v>5.4945050000000002E-3</v>
      </c>
      <c r="N156">
        <v>0</v>
      </c>
      <c r="O156" t="s">
        <v>625</v>
      </c>
      <c r="P156">
        <f t="shared" si="20"/>
        <v>12.97262295</v>
      </c>
      <c r="Q156">
        <f t="shared" si="21"/>
        <v>2.5000000000000001E-2</v>
      </c>
      <c r="R156">
        <f t="shared" si="22"/>
        <v>1.4999999999999999E-2</v>
      </c>
      <c r="S156">
        <f t="shared" si="23"/>
        <v>0.91900000000000004</v>
      </c>
      <c r="T156">
        <f t="shared" si="24"/>
        <v>2.818333333</v>
      </c>
      <c r="U156">
        <f t="shared" si="25"/>
        <v>9.7083086049999991</v>
      </c>
      <c r="V156">
        <f t="shared" si="26"/>
        <v>6.2414117647058849E-2</v>
      </c>
      <c r="W156">
        <f t="shared" si="27"/>
        <v>0.14099999999999999</v>
      </c>
      <c r="X156">
        <f t="shared" si="28"/>
        <v>0.85899999999999999</v>
      </c>
      <c r="Y156">
        <v>28.519551069999999</v>
      </c>
      <c r="Z156">
        <v>0</v>
      </c>
      <c r="AA156">
        <v>454184</v>
      </c>
      <c r="AB156">
        <v>170596</v>
      </c>
      <c r="AC156">
        <v>6.5715274000000004E-2</v>
      </c>
      <c r="AD156">
        <v>0.72549415100000003</v>
      </c>
      <c r="AF156">
        <v>12.97262295</v>
      </c>
      <c r="AG156">
        <v>2.5000000000000001E-2</v>
      </c>
      <c r="AH156">
        <v>1.4999999999999999E-2</v>
      </c>
      <c r="AI156">
        <v>0.91900000000000004</v>
      </c>
      <c r="AJ156">
        <v>2.818333333</v>
      </c>
      <c r="AK156">
        <v>9.7083086049999991</v>
      </c>
      <c r="AL156">
        <v>0</v>
      </c>
      <c r="AM156">
        <v>0.14099999999999999</v>
      </c>
      <c r="AN156">
        <v>0.85899999999999999</v>
      </c>
    </row>
    <row r="157" spans="1:40">
      <c r="A157">
        <v>2225</v>
      </c>
      <c r="B157" t="s">
        <v>689</v>
      </c>
      <c r="C157" t="s">
        <v>687</v>
      </c>
      <c r="D157" t="s">
        <v>688</v>
      </c>
      <c r="E157">
        <v>293</v>
      </c>
      <c r="F157">
        <v>1156</v>
      </c>
      <c r="G157">
        <v>34.215405920000002</v>
      </c>
      <c r="H157">
        <v>74</v>
      </c>
      <c r="I157">
        <v>5.3486404000000001E-2</v>
      </c>
      <c r="J157">
        <v>1230</v>
      </c>
      <c r="K157">
        <v>22996.498329999999</v>
      </c>
      <c r="L157">
        <v>0.71</v>
      </c>
      <c r="M157">
        <v>0.20163487699999999</v>
      </c>
      <c r="N157">
        <v>0</v>
      </c>
      <c r="O157" t="s">
        <v>613</v>
      </c>
      <c r="P157">
        <f t="shared" si="20"/>
        <v>10.322941180000001</v>
      </c>
      <c r="Q157">
        <f t="shared" si="21"/>
        <v>5.3999999999999999E-2</v>
      </c>
      <c r="R157">
        <f t="shared" si="22"/>
        <v>2.5000000000000001E-2</v>
      </c>
      <c r="S157">
        <f t="shared" si="23"/>
        <v>0.71</v>
      </c>
      <c r="T157">
        <f t="shared" si="24"/>
        <v>1.9993749999999999</v>
      </c>
      <c r="U157">
        <f t="shared" si="25"/>
        <v>5.8228507799999996</v>
      </c>
      <c r="V157">
        <f t="shared" si="26"/>
        <v>0.03</v>
      </c>
      <c r="W157">
        <f t="shared" si="27"/>
        <v>0.182</v>
      </c>
      <c r="X157">
        <f t="shared" si="28"/>
        <v>0.77300000000000002</v>
      </c>
      <c r="Y157">
        <v>186.8005273</v>
      </c>
      <c r="Z157">
        <v>0</v>
      </c>
      <c r="AA157">
        <v>454184</v>
      </c>
      <c r="AB157">
        <v>170596</v>
      </c>
      <c r="AC157">
        <v>6.5715274000000004E-2</v>
      </c>
      <c r="AD157">
        <v>0.72549415100000003</v>
      </c>
      <c r="AF157">
        <v>10.322941180000001</v>
      </c>
      <c r="AG157">
        <v>5.3999999999999999E-2</v>
      </c>
      <c r="AH157">
        <v>2.5000000000000001E-2</v>
      </c>
      <c r="AI157">
        <v>0.71</v>
      </c>
      <c r="AJ157">
        <v>1.9993749999999999</v>
      </c>
      <c r="AK157">
        <v>5.8228507799999996</v>
      </c>
      <c r="AL157">
        <v>0.03</v>
      </c>
      <c r="AM157">
        <v>0.182</v>
      </c>
      <c r="AN157">
        <v>0.77300000000000002</v>
      </c>
    </row>
    <row r="158" spans="1:40">
      <c r="A158">
        <v>2226</v>
      </c>
      <c r="B158" t="s">
        <v>690</v>
      </c>
      <c r="C158" t="s">
        <v>687</v>
      </c>
      <c r="D158" t="s">
        <v>688</v>
      </c>
      <c r="E158">
        <v>144</v>
      </c>
      <c r="F158">
        <v>414</v>
      </c>
      <c r="G158">
        <v>28.852134209999999</v>
      </c>
      <c r="H158">
        <v>16</v>
      </c>
      <c r="I158">
        <v>4.5096627E-2</v>
      </c>
      <c r="J158">
        <v>430</v>
      </c>
      <c r="K158">
        <v>9535.0811940000003</v>
      </c>
      <c r="L158">
        <v>0.60199999999999998</v>
      </c>
      <c r="M158">
        <v>0.1</v>
      </c>
      <c r="N158">
        <v>0</v>
      </c>
      <c r="O158" t="s">
        <v>620</v>
      </c>
      <c r="P158">
        <f t="shared" si="20"/>
        <v>10.52933333</v>
      </c>
      <c r="Q158">
        <f t="shared" si="21"/>
        <v>0.03</v>
      </c>
      <c r="R158">
        <f t="shared" si="22"/>
        <v>2.5000000000000001E-2</v>
      </c>
      <c r="S158">
        <f t="shared" si="23"/>
        <v>0.60199999999999998</v>
      </c>
      <c r="T158">
        <f t="shared" si="24"/>
        <v>3.7766666670000002</v>
      </c>
      <c r="U158">
        <f t="shared" si="25"/>
        <v>5.1450704229999999</v>
      </c>
      <c r="V158">
        <f t="shared" si="26"/>
        <v>9.8000000000000004E-2</v>
      </c>
      <c r="W158">
        <f t="shared" si="27"/>
        <v>0.17100000000000001</v>
      </c>
      <c r="X158">
        <f t="shared" si="28"/>
        <v>0.73199999999999998</v>
      </c>
      <c r="Y158">
        <v>250.9519052</v>
      </c>
      <c r="Z158">
        <v>0</v>
      </c>
      <c r="AA158">
        <v>82284</v>
      </c>
      <c r="AB158">
        <v>32030</v>
      </c>
      <c r="AC158">
        <v>4.7570397E-2</v>
      </c>
      <c r="AD158">
        <v>0.78974696300000002</v>
      </c>
      <c r="AF158">
        <v>10.52933333</v>
      </c>
      <c r="AG158">
        <v>0.03</v>
      </c>
      <c r="AH158">
        <v>2.5000000000000001E-2</v>
      </c>
      <c r="AI158">
        <v>0.60199999999999998</v>
      </c>
      <c r="AJ158">
        <v>3.7766666670000002</v>
      </c>
      <c r="AK158">
        <v>5.1450704229999999</v>
      </c>
      <c r="AL158">
        <v>9.8000000000000004E-2</v>
      </c>
      <c r="AM158">
        <v>0.17100000000000001</v>
      </c>
      <c r="AN158">
        <v>0.73199999999999998</v>
      </c>
    </row>
    <row r="159" spans="1:40">
      <c r="A159">
        <v>2227</v>
      </c>
      <c r="B159" t="s">
        <v>703</v>
      </c>
      <c r="C159" t="s">
        <v>696</v>
      </c>
      <c r="D159" t="s">
        <v>697</v>
      </c>
      <c r="E159">
        <v>134</v>
      </c>
      <c r="F159">
        <v>430</v>
      </c>
      <c r="G159">
        <v>27.341824330000001</v>
      </c>
      <c r="H159">
        <v>10</v>
      </c>
      <c r="I159">
        <v>4.2740171E-2</v>
      </c>
      <c r="J159">
        <v>440</v>
      </c>
      <c r="K159">
        <v>10294.76461</v>
      </c>
      <c r="L159">
        <v>0.85</v>
      </c>
      <c r="M159">
        <v>6.9444443999999994E-2</v>
      </c>
      <c r="N159">
        <v>0</v>
      </c>
      <c r="O159" t="s">
        <v>620</v>
      </c>
      <c r="P159">
        <f t="shared" si="20"/>
        <v>12.615454550000001</v>
      </c>
      <c r="Q159">
        <f t="shared" si="21"/>
        <v>1.4E-2</v>
      </c>
      <c r="R159">
        <f t="shared" si="22"/>
        <v>2.9000000000000001E-2</v>
      </c>
      <c r="S159">
        <f t="shared" si="23"/>
        <v>0.85</v>
      </c>
      <c r="T159">
        <f t="shared" si="24"/>
        <v>2.7912499999999998</v>
      </c>
      <c r="U159">
        <f t="shared" si="25"/>
        <v>6.8415384619999999</v>
      </c>
      <c r="V159">
        <f t="shared" si="26"/>
        <v>7.6999999999999999E-2</v>
      </c>
      <c r="W159">
        <f t="shared" si="27"/>
        <v>7.6999999999999999E-2</v>
      </c>
      <c r="X159">
        <f t="shared" si="28"/>
        <v>0.84599999999999997</v>
      </c>
      <c r="Y159">
        <v>106.32999959999999</v>
      </c>
      <c r="Z159">
        <v>0</v>
      </c>
      <c r="AA159">
        <v>27567</v>
      </c>
      <c r="AB159">
        <v>8371</v>
      </c>
      <c r="AC159">
        <v>2.6639960000000001E-2</v>
      </c>
      <c r="AD159">
        <v>0.83875813700000001</v>
      </c>
      <c r="AF159">
        <v>12.615454550000001</v>
      </c>
      <c r="AG159">
        <v>1.4E-2</v>
      </c>
      <c r="AH159">
        <v>2.9000000000000001E-2</v>
      </c>
      <c r="AI159">
        <v>0.85</v>
      </c>
      <c r="AJ159">
        <v>2.7912499999999998</v>
      </c>
      <c r="AK159">
        <v>6.8415384619999999</v>
      </c>
      <c r="AL159">
        <v>7.6999999999999999E-2</v>
      </c>
      <c r="AM159">
        <v>7.6999999999999999E-2</v>
      </c>
      <c r="AN159">
        <v>0.84599999999999997</v>
      </c>
    </row>
    <row r="160" spans="1:40">
      <c r="A160">
        <v>2228</v>
      </c>
      <c r="B160" t="s">
        <v>689</v>
      </c>
      <c r="C160" t="s">
        <v>687</v>
      </c>
      <c r="D160" t="s">
        <v>688</v>
      </c>
      <c r="E160">
        <v>482</v>
      </c>
      <c r="F160">
        <v>1322</v>
      </c>
      <c r="G160">
        <v>38.52718969</v>
      </c>
      <c r="H160">
        <v>133</v>
      </c>
      <c r="I160">
        <v>6.0222591999999998E-2</v>
      </c>
      <c r="J160">
        <v>1455</v>
      </c>
      <c r="K160">
        <v>24160.368259999999</v>
      </c>
      <c r="L160">
        <v>0.73499999999999999</v>
      </c>
      <c r="M160">
        <v>0.21626016300000001</v>
      </c>
      <c r="N160">
        <v>1</v>
      </c>
      <c r="O160" t="s">
        <v>613</v>
      </c>
      <c r="P160">
        <f t="shared" si="20"/>
        <v>11.10528455</v>
      </c>
      <c r="Q160">
        <f t="shared" si="21"/>
        <v>7.1999999999999995E-2</v>
      </c>
      <c r="R160">
        <f t="shared" si="22"/>
        <v>1.0999999999999999E-2</v>
      </c>
      <c r="S160">
        <f t="shared" si="23"/>
        <v>0.73499999999999999</v>
      </c>
      <c r="T160">
        <f t="shared" si="24"/>
        <v>2.395</v>
      </c>
      <c r="U160">
        <f t="shared" si="25"/>
        <v>6.3530529600000003</v>
      </c>
      <c r="V160">
        <f t="shared" si="26"/>
        <v>3.6999999999999998E-2</v>
      </c>
      <c r="W160">
        <f t="shared" si="27"/>
        <v>0.183</v>
      </c>
      <c r="X160">
        <f t="shared" si="28"/>
        <v>0.75</v>
      </c>
      <c r="Y160">
        <v>331.20113700000002</v>
      </c>
      <c r="Z160">
        <v>0</v>
      </c>
      <c r="AA160">
        <v>454184</v>
      </c>
      <c r="AB160">
        <v>170596</v>
      </c>
      <c r="AC160">
        <v>6.5715274000000004E-2</v>
      </c>
      <c r="AD160">
        <v>0.72549415100000003</v>
      </c>
      <c r="AF160">
        <v>11.10528455</v>
      </c>
      <c r="AG160">
        <v>7.1999999999999995E-2</v>
      </c>
      <c r="AH160">
        <v>1.0999999999999999E-2</v>
      </c>
      <c r="AI160">
        <v>0.73499999999999999</v>
      </c>
      <c r="AJ160">
        <v>2.395</v>
      </c>
      <c r="AK160">
        <v>6.3530529600000003</v>
      </c>
      <c r="AL160">
        <v>3.6999999999999998E-2</v>
      </c>
      <c r="AM160">
        <v>0.183</v>
      </c>
      <c r="AN160">
        <v>0.75</v>
      </c>
    </row>
    <row r="161" spans="1:40">
      <c r="A161">
        <v>2229</v>
      </c>
      <c r="B161" t="s">
        <v>689</v>
      </c>
      <c r="C161" t="s">
        <v>687</v>
      </c>
      <c r="D161" t="s">
        <v>688</v>
      </c>
      <c r="E161">
        <v>294</v>
      </c>
      <c r="F161">
        <v>817</v>
      </c>
      <c r="G161">
        <v>35.241370379999999</v>
      </c>
      <c r="H161">
        <v>217</v>
      </c>
      <c r="I161">
        <v>5.5088096000000003E-2</v>
      </c>
      <c r="J161">
        <v>1034</v>
      </c>
      <c r="K161">
        <v>18769.93534</v>
      </c>
      <c r="L161">
        <v>0.71599999999999997</v>
      </c>
      <c r="M161">
        <v>0.424657534</v>
      </c>
      <c r="N161">
        <v>1</v>
      </c>
      <c r="O161" t="s">
        <v>613</v>
      </c>
      <c r="P161">
        <f t="shared" si="20"/>
        <v>15.633265310000001</v>
      </c>
      <c r="Q161">
        <f t="shared" si="21"/>
        <v>9.4E-2</v>
      </c>
      <c r="R161">
        <f t="shared" si="22"/>
        <v>1.2999999999999999E-2</v>
      </c>
      <c r="S161">
        <f t="shared" si="23"/>
        <v>0.71599999999999997</v>
      </c>
      <c r="T161">
        <f t="shared" si="24"/>
        <v>1.2675000000000001</v>
      </c>
      <c r="U161">
        <f t="shared" si="25"/>
        <v>6.3594244599999996</v>
      </c>
      <c r="V161">
        <f t="shared" si="26"/>
        <v>5.0999999999999997E-2</v>
      </c>
      <c r="W161">
        <f t="shared" si="27"/>
        <v>0.215</v>
      </c>
      <c r="X161">
        <f t="shared" si="28"/>
        <v>0.62</v>
      </c>
      <c r="Y161">
        <v>187.643316</v>
      </c>
      <c r="Z161">
        <v>0</v>
      </c>
      <c r="AA161">
        <v>454184</v>
      </c>
      <c r="AB161">
        <v>170596</v>
      </c>
      <c r="AC161">
        <v>6.5715274000000004E-2</v>
      </c>
      <c r="AD161">
        <v>0.72549415100000003</v>
      </c>
      <c r="AF161">
        <v>15.633265310000001</v>
      </c>
      <c r="AG161">
        <v>9.4E-2</v>
      </c>
      <c r="AH161">
        <v>1.2999999999999999E-2</v>
      </c>
      <c r="AI161">
        <v>0.71599999999999997</v>
      </c>
      <c r="AJ161">
        <v>1.2675000000000001</v>
      </c>
      <c r="AK161">
        <v>6.3594244599999996</v>
      </c>
      <c r="AL161">
        <v>5.0999999999999997E-2</v>
      </c>
      <c r="AM161">
        <v>0.215</v>
      </c>
      <c r="AN161">
        <v>0.62</v>
      </c>
    </row>
    <row r="162" spans="1:40">
      <c r="A162">
        <v>2230</v>
      </c>
      <c r="B162" t="s">
        <v>703</v>
      </c>
      <c r="C162" t="s">
        <v>696</v>
      </c>
      <c r="D162" t="s">
        <v>697</v>
      </c>
      <c r="E162">
        <v>394</v>
      </c>
      <c r="F162">
        <v>1282</v>
      </c>
      <c r="G162">
        <v>135.1863018</v>
      </c>
      <c r="H162">
        <v>373</v>
      </c>
      <c r="I162">
        <v>0.21130671300000001</v>
      </c>
      <c r="J162">
        <v>1655</v>
      </c>
      <c r="K162">
        <v>7832.2168590000001</v>
      </c>
      <c r="L162">
        <v>0.874</v>
      </c>
      <c r="M162">
        <v>0.48631029999999997</v>
      </c>
      <c r="N162">
        <v>0</v>
      </c>
      <c r="O162" t="s">
        <v>620</v>
      </c>
      <c r="P162">
        <f t="shared" si="20"/>
        <v>11.309379310000001</v>
      </c>
      <c r="Q162">
        <f t="shared" si="21"/>
        <v>2.1000000000000001E-2</v>
      </c>
      <c r="R162">
        <f t="shared" si="22"/>
        <v>1.2E-2</v>
      </c>
      <c r="S162">
        <f t="shared" si="23"/>
        <v>0.874</v>
      </c>
      <c r="T162">
        <f t="shared" si="24"/>
        <v>2.5225</v>
      </c>
      <c r="U162">
        <f t="shared" si="25"/>
        <v>6.191016598</v>
      </c>
      <c r="V162">
        <f t="shared" si="26"/>
        <v>1.2E-2</v>
      </c>
      <c r="W162">
        <f t="shared" si="27"/>
        <v>0.11799999999999999</v>
      </c>
      <c r="X162">
        <f t="shared" si="28"/>
        <v>0.85799999999999998</v>
      </c>
      <c r="Y162">
        <v>106.4291489</v>
      </c>
      <c r="Z162">
        <v>0</v>
      </c>
      <c r="AA162">
        <v>27567</v>
      </c>
      <c r="AB162">
        <v>8371</v>
      </c>
      <c r="AC162">
        <v>2.6639960000000001E-2</v>
      </c>
      <c r="AD162">
        <v>0.83875813700000001</v>
      </c>
      <c r="AF162">
        <v>11.309379310000001</v>
      </c>
      <c r="AG162">
        <v>2.1000000000000001E-2</v>
      </c>
      <c r="AH162">
        <v>1.2E-2</v>
      </c>
      <c r="AI162">
        <v>0.874</v>
      </c>
      <c r="AJ162">
        <v>2.5225</v>
      </c>
      <c r="AK162">
        <v>6.191016598</v>
      </c>
      <c r="AL162">
        <v>1.2E-2</v>
      </c>
      <c r="AM162">
        <v>0.11799999999999999</v>
      </c>
      <c r="AN162">
        <v>0.85799999999999998</v>
      </c>
    </row>
    <row r="163" spans="1:40">
      <c r="A163">
        <v>2231</v>
      </c>
      <c r="B163" t="s">
        <v>689</v>
      </c>
      <c r="C163" t="s">
        <v>687</v>
      </c>
      <c r="D163" t="s">
        <v>688</v>
      </c>
      <c r="E163">
        <v>472</v>
      </c>
      <c r="F163">
        <v>1894</v>
      </c>
      <c r="G163">
        <v>60.930579819999998</v>
      </c>
      <c r="H163">
        <v>711</v>
      </c>
      <c r="I163">
        <v>9.5237568999999994E-2</v>
      </c>
      <c r="J163">
        <v>2605</v>
      </c>
      <c r="K163">
        <v>27352.651140000002</v>
      </c>
      <c r="L163">
        <v>0.64100000000000001</v>
      </c>
      <c r="M163">
        <v>0.60101437000000002</v>
      </c>
      <c r="N163">
        <v>0</v>
      </c>
      <c r="O163" t="s">
        <v>606</v>
      </c>
      <c r="P163">
        <f t="shared" si="20"/>
        <v>15.2600578</v>
      </c>
      <c r="Q163">
        <f t="shared" si="21"/>
        <v>7.1999999999999995E-2</v>
      </c>
      <c r="R163">
        <f t="shared" si="22"/>
        <v>2.1999999999999999E-2</v>
      </c>
      <c r="S163">
        <f t="shared" si="23"/>
        <v>0.64100000000000001</v>
      </c>
      <c r="T163">
        <f t="shared" si="24"/>
        <v>1.5452272730000001</v>
      </c>
      <c r="U163">
        <f t="shared" si="25"/>
        <v>6.5635438879999999</v>
      </c>
      <c r="V163">
        <f t="shared" si="26"/>
        <v>5.3999999999999999E-2</v>
      </c>
      <c r="W163">
        <f t="shared" si="27"/>
        <v>0.20899999999999999</v>
      </c>
      <c r="X163">
        <f t="shared" si="28"/>
        <v>0.625</v>
      </c>
      <c r="Y163">
        <v>228.9114405</v>
      </c>
      <c r="Z163">
        <v>0</v>
      </c>
      <c r="AA163">
        <v>454184</v>
      </c>
      <c r="AB163">
        <v>170596</v>
      </c>
      <c r="AC163">
        <v>6.5715274000000004E-2</v>
      </c>
      <c r="AD163">
        <v>0.72549415100000003</v>
      </c>
      <c r="AF163">
        <v>15.2600578</v>
      </c>
      <c r="AG163">
        <v>7.1999999999999995E-2</v>
      </c>
      <c r="AH163">
        <v>2.1999999999999999E-2</v>
      </c>
      <c r="AI163">
        <v>0.64100000000000001</v>
      </c>
      <c r="AJ163">
        <v>1.5452272730000001</v>
      </c>
      <c r="AK163">
        <v>6.5635438879999999</v>
      </c>
      <c r="AL163">
        <v>5.3999999999999999E-2</v>
      </c>
      <c r="AM163">
        <v>0.20899999999999999</v>
      </c>
      <c r="AN163">
        <v>0.625</v>
      </c>
    </row>
    <row r="164" spans="1:40">
      <c r="A164">
        <v>2232</v>
      </c>
      <c r="B164" t="s">
        <v>689</v>
      </c>
      <c r="C164" t="s">
        <v>687</v>
      </c>
      <c r="D164" t="s">
        <v>688</v>
      </c>
      <c r="E164">
        <v>287</v>
      </c>
      <c r="F164">
        <v>1070</v>
      </c>
      <c r="G164">
        <v>34.758985039999999</v>
      </c>
      <c r="H164">
        <v>21</v>
      </c>
      <c r="I164">
        <v>5.4335260000000003E-2</v>
      </c>
      <c r="J164">
        <v>1091</v>
      </c>
      <c r="K164">
        <v>20079.042600000001</v>
      </c>
      <c r="L164">
        <v>0.72699999999999998</v>
      </c>
      <c r="M164">
        <v>6.8181818000000005E-2</v>
      </c>
      <c r="N164">
        <v>0</v>
      </c>
      <c r="O164" t="s">
        <v>613</v>
      </c>
      <c r="P164">
        <f t="shared" si="20"/>
        <v>12.69728814</v>
      </c>
      <c r="Q164">
        <f t="shared" si="21"/>
        <v>3.5999999999999997E-2</v>
      </c>
      <c r="R164">
        <f t="shared" si="22"/>
        <v>0.02</v>
      </c>
      <c r="S164">
        <f t="shared" si="23"/>
        <v>0.72699999999999998</v>
      </c>
      <c r="T164">
        <f t="shared" si="24"/>
        <v>2.4790000000000001</v>
      </c>
      <c r="U164">
        <f t="shared" si="25"/>
        <v>6.7461797749999999</v>
      </c>
      <c r="V164">
        <f t="shared" si="26"/>
        <v>4.1000000000000002E-2</v>
      </c>
      <c r="W164">
        <f t="shared" si="27"/>
        <v>0.16200000000000001</v>
      </c>
      <c r="X164">
        <f t="shared" si="28"/>
        <v>0.79700000000000004</v>
      </c>
      <c r="Y164">
        <v>147.0686718</v>
      </c>
      <c r="Z164">
        <v>0</v>
      </c>
      <c r="AA164">
        <v>454184</v>
      </c>
      <c r="AB164">
        <v>170596</v>
      </c>
      <c r="AC164">
        <v>6.5715274000000004E-2</v>
      </c>
      <c r="AD164">
        <v>0.72549415100000003</v>
      </c>
      <c r="AF164">
        <v>12.69728814</v>
      </c>
      <c r="AG164">
        <v>3.5999999999999997E-2</v>
      </c>
      <c r="AH164">
        <v>0.02</v>
      </c>
      <c r="AI164">
        <v>0.72699999999999998</v>
      </c>
      <c r="AJ164">
        <v>2.4790000000000001</v>
      </c>
      <c r="AK164">
        <v>6.7461797749999999</v>
      </c>
      <c r="AL164">
        <v>4.1000000000000002E-2</v>
      </c>
      <c r="AM164">
        <v>0.16200000000000001</v>
      </c>
      <c r="AN164">
        <v>0.79700000000000004</v>
      </c>
    </row>
    <row r="165" spans="1:40">
      <c r="A165">
        <v>2233</v>
      </c>
      <c r="B165" t="s">
        <v>689</v>
      </c>
      <c r="C165" t="s">
        <v>687</v>
      </c>
      <c r="D165" t="s">
        <v>688</v>
      </c>
      <c r="E165">
        <v>583</v>
      </c>
      <c r="F165">
        <v>2061</v>
      </c>
      <c r="G165">
        <v>54.26131015</v>
      </c>
      <c r="H165">
        <v>917</v>
      </c>
      <c r="I165">
        <v>8.4817728999999994E-2</v>
      </c>
      <c r="J165">
        <v>2978</v>
      </c>
      <c r="K165">
        <v>35110.584009999999</v>
      </c>
      <c r="L165">
        <v>0.73699999999999999</v>
      </c>
      <c r="M165">
        <v>0.61133333300000003</v>
      </c>
      <c r="N165">
        <v>1</v>
      </c>
      <c r="O165" t="s">
        <v>606</v>
      </c>
      <c r="P165">
        <f t="shared" si="20"/>
        <v>9.7320388350000009</v>
      </c>
      <c r="Q165">
        <f t="shared" si="21"/>
        <v>5.2999999999999999E-2</v>
      </c>
      <c r="R165">
        <f t="shared" si="22"/>
        <v>0.02</v>
      </c>
      <c r="S165">
        <f t="shared" si="23"/>
        <v>0.73699999999999999</v>
      </c>
      <c r="T165">
        <f t="shared" si="24"/>
        <v>1.981458333</v>
      </c>
      <c r="U165">
        <f t="shared" si="25"/>
        <v>5.4662595420000004</v>
      </c>
      <c r="V165">
        <f t="shared" si="26"/>
        <v>6.7000000000000004E-2</v>
      </c>
      <c r="W165">
        <f t="shared" si="27"/>
        <v>0.154</v>
      </c>
      <c r="X165">
        <f t="shared" si="28"/>
        <v>0.68899999999999995</v>
      </c>
      <c r="Y165">
        <v>141.89439440000001</v>
      </c>
      <c r="Z165">
        <v>0</v>
      </c>
      <c r="AA165">
        <v>454184</v>
      </c>
      <c r="AB165">
        <v>170596</v>
      </c>
      <c r="AC165">
        <v>6.5715274000000004E-2</v>
      </c>
      <c r="AD165">
        <v>0.72549415100000003</v>
      </c>
      <c r="AF165">
        <v>9.7320388350000009</v>
      </c>
      <c r="AG165">
        <v>5.2999999999999999E-2</v>
      </c>
      <c r="AH165">
        <v>0.02</v>
      </c>
      <c r="AI165">
        <v>0.73699999999999999</v>
      </c>
      <c r="AJ165">
        <v>1.981458333</v>
      </c>
      <c r="AK165">
        <v>5.4662595420000004</v>
      </c>
      <c r="AL165">
        <v>6.7000000000000004E-2</v>
      </c>
      <c r="AM165">
        <v>0.154</v>
      </c>
      <c r="AN165">
        <v>0.68899999999999995</v>
      </c>
    </row>
    <row r="166" spans="1:40">
      <c r="A166">
        <v>2234</v>
      </c>
      <c r="B166" t="s">
        <v>689</v>
      </c>
      <c r="C166" t="s">
        <v>687</v>
      </c>
      <c r="D166" t="s">
        <v>688</v>
      </c>
      <c r="E166">
        <v>458</v>
      </c>
      <c r="F166">
        <v>1722</v>
      </c>
      <c r="G166">
        <v>38.214728600000001</v>
      </c>
      <c r="H166">
        <v>413</v>
      </c>
      <c r="I166">
        <v>5.9734904999999998E-2</v>
      </c>
      <c r="J166">
        <v>2135</v>
      </c>
      <c r="K166">
        <v>35741.247100000001</v>
      </c>
      <c r="L166">
        <v>0.68400000000000005</v>
      </c>
      <c r="M166">
        <v>0.47416762299999998</v>
      </c>
      <c r="N166">
        <v>1</v>
      </c>
      <c r="O166" t="s">
        <v>606</v>
      </c>
      <c r="P166">
        <f t="shared" si="20"/>
        <v>11.352396690000001</v>
      </c>
      <c r="Q166">
        <f t="shared" si="21"/>
        <v>7.8E-2</v>
      </c>
      <c r="R166">
        <f t="shared" si="22"/>
        <v>2.5000000000000001E-2</v>
      </c>
      <c r="S166">
        <f t="shared" si="23"/>
        <v>0.68400000000000005</v>
      </c>
      <c r="T166">
        <f t="shared" si="24"/>
        <v>1.1780555559999999</v>
      </c>
      <c r="U166">
        <f t="shared" si="25"/>
        <v>5.429517454</v>
      </c>
      <c r="V166">
        <f t="shared" si="26"/>
        <v>3.7999999999999999E-2</v>
      </c>
      <c r="W166">
        <f t="shared" si="27"/>
        <v>0.214</v>
      </c>
      <c r="X166">
        <f t="shared" si="28"/>
        <v>0.66500000000000004</v>
      </c>
      <c r="Y166">
        <v>184.1851254</v>
      </c>
      <c r="Z166">
        <v>0</v>
      </c>
      <c r="AA166">
        <v>454184</v>
      </c>
      <c r="AB166">
        <v>170596</v>
      </c>
      <c r="AC166">
        <v>6.5715274000000004E-2</v>
      </c>
      <c r="AD166">
        <v>0.72549415100000003</v>
      </c>
      <c r="AF166">
        <v>11.352396690000001</v>
      </c>
      <c r="AG166">
        <v>7.8E-2</v>
      </c>
      <c r="AH166">
        <v>2.5000000000000001E-2</v>
      </c>
      <c r="AI166">
        <v>0.68400000000000005</v>
      </c>
      <c r="AJ166">
        <v>1.1780555559999999</v>
      </c>
      <c r="AK166">
        <v>5.429517454</v>
      </c>
      <c r="AL166">
        <v>3.7999999999999999E-2</v>
      </c>
      <c r="AM166">
        <v>0.214</v>
      </c>
      <c r="AN166">
        <v>0.66500000000000004</v>
      </c>
    </row>
    <row r="167" spans="1:40">
      <c r="A167">
        <v>2235</v>
      </c>
      <c r="B167" t="s">
        <v>689</v>
      </c>
      <c r="C167" t="s">
        <v>687</v>
      </c>
      <c r="D167" t="s">
        <v>688</v>
      </c>
      <c r="E167">
        <v>728</v>
      </c>
      <c r="F167">
        <v>1355</v>
      </c>
      <c r="G167">
        <v>22.348771020000001</v>
      </c>
      <c r="H167">
        <v>1477</v>
      </c>
      <c r="I167">
        <v>3.4934422E-2</v>
      </c>
      <c r="J167">
        <v>2832</v>
      </c>
      <c r="K167">
        <v>81066.175929999998</v>
      </c>
      <c r="L167">
        <v>0.56499999999999995</v>
      </c>
      <c r="M167">
        <v>0.66984127000000004</v>
      </c>
      <c r="N167">
        <v>1</v>
      </c>
      <c r="O167" t="s">
        <v>606</v>
      </c>
      <c r="P167">
        <f t="shared" si="20"/>
        <v>15.17543624</v>
      </c>
      <c r="Q167">
        <f t="shared" si="21"/>
        <v>0.13600000000000001</v>
      </c>
      <c r="R167">
        <f t="shared" si="22"/>
        <v>2.7E-2</v>
      </c>
      <c r="S167">
        <f t="shared" si="23"/>
        <v>0.56499999999999995</v>
      </c>
      <c r="T167">
        <f t="shared" si="24"/>
        <v>2.0227027030000002</v>
      </c>
      <c r="U167">
        <f t="shared" si="25"/>
        <v>8.0109465019999995</v>
      </c>
      <c r="V167">
        <f t="shared" si="26"/>
        <v>6.6000000000000003E-2</v>
      </c>
      <c r="W167">
        <f t="shared" si="27"/>
        <v>0.28999999999999998</v>
      </c>
      <c r="X167">
        <f t="shared" si="28"/>
        <v>0.52100000000000002</v>
      </c>
      <c r="Y167">
        <v>232.83125430000001</v>
      </c>
      <c r="Z167">
        <v>0</v>
      </c>
      <c r="AA167">
        <v>454184</v>
      </c>
      <c r="AB167">
        <v>170596</v>
      </c>
      <c r="AC167">
        <v>6.5715274000000004E-2</v>
      </c>
      <c r="AD167">
        <v>0.72549415100000003</v>
      </c>
      <c r="AF167">
        <v>15.17543624</v>
      </c>
      <c r="AG167">
        <v>0.13600000000000001</v>
      </c>
      <c r="AH167">
        <v>2.7E-2</v>
      </c>
      <c r="AI167">
        <v>0.56499999999999995</v>
      </c>
      <c r="AJ167">
        <v>2.0227027030000002</v>
      </c>
      <c r="AK167">
        <v>8.0109465019999995</v>
      </c>
      <c r="AL167">
        <v>6.6000000000000003E-2</v>
      </c>
      <c r="AM167">
        <v>0.28999999999999998</v>
      </c>
      <c r="AN167">
        <v>0.52100000000000002</v>
      </c>
    </row>
    <row r="168" spans="1:40">
      <c r="A168">
        <v>2236</v>
      </c>
      <c r="B168" t="s">
        <v>689</v>
      </c>
      <c r="C168" t="s">
        <v>687</v>
      </c>
      <c r="D168" t="s">
        <v>688</v>
      </c>
      <c r="E168">
        <v>309</v>
      </c>
      <c r="F168">
        <v>809</v>
      </c>
      <c r="G168">
        <v>34.219475070000001</v>
      </c>
      <c r="H168">
        <v>106</v>
      </c>
      <c r="I168">
        <v>5.3487503999999998E-2</v>
      </c>
      <c r="J168">
        <v>915</v>
      </c>
      <c r="K168">
        <v>17106.79938</v>
      </c>
      <c r="L168">
        <v>0.72599999999999998</v>
      </c>
      <c r="M168">
        <v>0.25542168700000001</v>
      </c>
      <c r="N168">
        <v>0</v>
      </c>
      <c r="O168" t="s">
        <v>613</v>
      </c>
      <c r="P168">
        <f t="shared" si="20"/>
        <v>9.3706741569999998</v>
      </c>
      <c r="Q168">
        <f t="shared" si="21"/>
        <v>3.5000000000000003E-2</v>
      </c>
      <c r="R168">
        <f t="shared" si="22"/>
        <v>4.8000000000000001E-2</v>
      </c>
      <c r="S168">
        <f t="shared" si="23"/>
        <v>0.72599999999999998</v>
      </c>
      <c r="T168">
        <f t="shared" si="24"/>
        <v>2.4326666669999999</v>
      </c>
      <c r="U168">
        <f t="shared" si="25"/>
        <v>5.2433025400000002</v>
      </c>
      <c r="V168">
        <f t="shared" si="26"/>
        <v>9.5000000000000001E-2</v>
      </c>
      <c r="W168">
        <f t="shared" si="27"/>
        <v>0.111</v>
      </c>
      <c r="X168">
        <f t="shared" si="28"/>
        <v>0.70599999999999996</v>
      </c>
      <c r="Y168">
        <v>225.39947849999999</v>
      </c>
      <c r="Z168">
        <v>0</v>
      </c>
      <c r="AA168">
        <v>454184</v>
      </c>
      <c r="AB168">
        <v>170596</v>
      </c>
      <c r="AC168">
        <v>6.5715274000000004E-2</v>
      </c>
      <c r="AD168">
        <v>0.72549415100000003</v>
      </c>
      <c r="AF168">
        <v>9.3706741569999998</v>
      </c>
      <c r="AG168">
        <v>3.5000000000000003E-2</v>
      </c>
      <c r="AH168">
        <v>4.8000000000000001E-2</v>
      </c>
      <c r="AI168">
        <v>0.72599999999999998</v>
      </c>
      <c r="AJ168">
        <v>2.4326666669999999</v>
      </c>
      <c r="AK168">
        <v>5.2433025400000002</v>
      </c>
      <c r="AL168">
        <v>9.5000000000000001E-2</v>
      </c>
      <c r="AM168">
        <v>0.111</v>
      </c>
      <c r="AN168">
        <v>0.70599999999999996</v>
      </c>
    </row>
    <row r="169" spans="1:40">
      <c r="A169">
        <v>2237</v>
      </c>
      <c r="B169" t="s">
        <v>691</v>
      </c>
      <c r="C169" t="s">
        <v>684</v>
      </c>
      <c r="D169" t="s">
        <v>685</v>
      </c>
      <c r="E169">
        <v>242</v>
      </c>
      <c r="F169">
        <v>701</v>
      </c>
      <c r="G169">
        <v>56.172933370000003</v>
      </c>
      <c r="H169">
        <v>442</v>
      </c>
      <c r="I169">
        <v>8.7799273999999997E-2</v>
      </c>
      <c r="J169">
        <v>1143</v>
      </c>
      <c r="K169">
        <v>13018.33088</v>
      </c>
      <c r="L169">
        <v>0.83699999999999997</v>
      </c>
      <c r="M169">
        <v>0.64619883</v>
      </c>
      <c r="N169">
        <v>0</v>
      </c>
      <c r="O169" t="s">
        <v>620</v>
      </c>
      <c r="P169">
        <f t="shared" si="20"/>
        <v>14.481584160000001</v>
      </c>
      <c r="Q169">
        <f t="shared" si="21"/>
        <v>2.5000000000000001E-2</v>
      </c>
      <c r="R169">
        <f t="shared" si="22"/>
        <v>1.0999999999999999E-2</v>
      </c>
      <c r="S169">
        <f t="shared" si="23"/>
        <v>0.83699999999999997</v>
      </c>
      <c r="T169">
        <f t="shared" si="24"/>
        <v>1.7050000000000001</v>
      </c>
      <c r="U169">
        <f t="shared" si="25"/>
        <v>7.157049861</v>
      </c>
      <c r="V169">
        <f t="shared" si="26"/>
        <v>0.05</v>
      </c>
      <c r="W169">
        <f t="shared" si="27"/>
        <v>0.11600000000000001</v>
      </c>
      <c r="X169">
        <f t="shared" si="28"/>
        <v>0.83499999999999996</v>
      </c>
      <c r="Y169">
        <v>127.81905070000001</v>
      </c>
      <c r="Z169">
        <v>0</v>
      </c>
      <c r="AA169">
        <v>236250</v>
      </c>
      <c r="AB169">
        <v>76158</v>
      </c>
      <c r="AC169">
        <v>1.7652984E-2</v>
      </c>
      <c r="AD169">
        <v>0.84750225300000004</v>
      </c>
      <c r="AF169">
        <v>14.481584160000001</v>
      </c>
      <c r="AG169">
        <v>2.5000000000000001E-2</v>
      </c>
      <c r="AH169">
        <v>1.0999999999999999E-2</v>
      </c>
      <c r="AI169">
        <v>0.83699999999999997</v>
      </c>
      <c r="AJ169">
        <v>1.7050000000000001</v>
      </c>
      <c r="AK169">
        <v>7.157049861</v>
      </c>
      <c r="AL169">
        <v>0.05</v>
      </c>
      <c r="AM169">
        <v>0.11600000000000001</v>
      </c>
      <c r="AN169">
        <v>0.83499999999999996</v>
      </c>
    </row>
    <row r="170" spans="1:40">
      <c r="A170">
        <v>2238</v>
      </c>
      <c r="B170" t="s">
        <v>699</v>
      </c>
      <c r="C170" t="s">
        <v>687</v>
      </c>
      <c r="D170" t="s">
        <v>688</v>
      </c>
      <c r="E170">
        <v>439</v>
      </c>
      <c r="F170">
        <v>1169</v>
      </c>
      <c r="G170">
        <v>56.20500595</v>
      </c>
      <c r="H170">
        <v>140</v>
      </c>
      <c r="I170">
        <v>8.7854794999999999E-2</v>
      </c>
      <c r="J170">
        <v>1309</v>
      </c>
      <c r="K170">
        <v>14899.585160000001</v>
      </c>
      <c r="L170">
        <v>0.73199999999999998</v>
      </c>
      <c r="M170">
        <v>0.24179619999999999</v>
      </c>
      <c r="N170">
        <v>0</v>
      </c>
      <c r="O170" t="s">
        <v>613</v>
      </c>
      <c r="P170">
        <f t="shared" si="20"/>
        <v>11.56453782</v>
      </c>
      <c r="Q170">
        <f t="shared" si="21"/>
        <v>3.3000000000000002E-2</v>
      </c>
      <c r="R170">
        <f t="shared" si="22"/>
        <v>2.9000000000000001E-2</v>
      </c>
      <c r="S170">
        <f t="shared" si="23"/>
        <v>0.73199999999999998</v>
      </c>
      <c r="T170">
        <f t="shared" si="24"/>
        <v>1.8666666670000001</v>
      </c>
      <c r="U170">
        <f t="shared" si="25"/>
        <v>6.4813080169999999</v>
      </c>
      <c r="V170">
        <f t="shared" si="26"/>
        <v>2.1000000000000001E-2</v>
      </c>
      <c r="W170">
        <f t="shared" si="27"/>
        <v>0.11</v>
      </c>
      <c r="X170">
        <f t="shared" si="28"/>
        <v>0.82099999999999995</v>
      </c>
      <c r="Y170">
        <v>117.1117338</v>
      </c>
      <c r="Z170">
        <v>0</v>
      </c>
      <c r="AA170">
        <v>20912</v>
      </c>
      <c r="AB170">
        <v>7469</v>
      </c>
      <c r="AC170">
        <v>5.5261644999999998E-2</v>
      </c>
      <c r="AD170">
        <v>0.74284071299999999</v>
      </c>
      <c r="AF170">
        <v>11.56453782</v>
      </c>
      <c r="AG170">
        <v>3.3000000000000002E-2</v>
      </c>
      <c r="AH170">
        <v>2.9000000000000001E-2</v>
      </c>
      <c r="AI170">
        <v>0.73199999999999998</v>
      </c>
      <c r="AJ170">
        <v>1.8666666670000001</v>
      </c>
      <c r="AK170">
        <v>6.4813080169999999</v>
      </c>
      <c r="AL170">
        <v>2.1000000000000001E-2</v>
      </c>
      <c r="AM170">
        <v>0.11</v>
      </c>
      <c r="AN170">
        <v>0.82099999999999995</v>
      </c>
    </row>
    <row r="171" spans="1:40">
      <c r="A171">
        <v>2239</v>
      </c>
      <c r="B171" t="s">
        <v>686</v>
      </c>
      <c r="C171" t="s">
        <v>687</v>
      </c>
      <c r="D171" t="s">
        <v>688</v>
      </c>
      <c r="E171">
        <v>402</v>
      </c>
      <c r="F171">
        <v>1004</v>
      </c>
      <c r="G171">
        <v>65.237305120000002</v>
      </c>
      <c r="H171">
        <v>130</v>
      </c>
      <c r="I171">
        <v>0.101979985</v>
      </c>
      <c r="J171">
        <v>1134</v>
      </c>
      <c r="K171">
        <v>11119.82905</v>
      </c>
      <c r="L171">
        <v>0.70899999999999996</v>
      </c>
      <c r="M171">
        <v>0.24436090199999999</v>
      </c>
      <c r="N171">
        <v>0</v>
      </c>
      <c r="O171" t="s">
        <v>613</v>
      </c>
      <c r="P171">
        <f t="shared" si="20"/>
        <v>12.37955056</v>
      </c>
      <c r="Q171">
        <f t="shared" si="21"/>
        <v>4.2999999999999997E-2</v>
      </c>
      <c r="R171">
        <f t="shared" si="22"/>
        <v>0.06</v>
      </c>
      <c r="S171">
        <f t="shared" si="23"/>
        <v>0.70899999999999996</v>
      </c>
      <c r="T171">
        <f t="shared" si="24"/>
        <v>1.569722222</v>
      </c>
      <c r="U171">
        <f t="shared" si="25"/>
        <v>6.4786881190000001</v>
      </c>
      <c r="V171">
        <f t="shared" si="26"/>
        <v>7.2999999999999995E-2</v>
      </c>
      <c r="W171">
        <f t="shared" si="27"/>
        <v>0.14599999999999999</v>
      </c>
      <c r="X171">
        <f t="shared" si="28"/>
        <v>0.72399999999999998</v>
      </c>
      <c r="Y171">
        <v>148.61827579999999</v>
      </c>
      <c r="Z171">
        <v>1</v>
      </c>
      <c r="AA171">
        <v>140316</v>
      </c>
      <c r="AB171">
        <v>49638</v>
      </c>
      <c r="AC171">
        <v>9.1283894000000004E-2</v>
      </c>
      <c r="AD171">
        <v>0.60339869999999995</v>
      </c>
      <c r="AF171">
        <v>12.37955056</v>
      </c>
      <c r="AG171">
        <v>4.2999999999999997E-2</v>
      </c>
      <c r="AH171">
        <v>0.06</v>
      </c>
      <c r="AI171">
        <v>0.70899999999999996</v>
      </c>
      <c r="AJ171">
        <v>1.569722222</v>
      </c>
      <c r="AK171">
        <v>6.4786881190000001</v>
      </c>
      <c r="AL171">
        <v>7.2999999999999995E-2</v>
      </c>
      <c r="AM171">
        <v>0.14599999999999999</v>
      </c>
      <c r="AN171">
        <v>0.72399999999999998</v>
      </c>
    </row>
    <row r="172" spans="1:40">
      <c r="A172">
        <v>2240</v>
      </c>
      <c r="B172" t="s">
        <v>691</v>
      </c>
      <c r="C172" t="s">
        <v>684</v>
      </c>
      <c r="D172" t="s">
        <v>685</v>
      </c>
      <c r="E172">
        <v>844</v>
      </c>
      <c r="F172">
        <v>2857</v>
      </c>
      <c r="G172">
        <v>184.91743310000001</v>
      </c>
      <c r="H172">
        <v>321</v>
      </c>
      <c r="I172">
        <v>0.289037975</v>
      </c>
      <c r="J172">
        <v>3178</v>
      </c>
      <c r="K172">
        <v>10995.095020000001</v>
      </c>
      <c r="L172">
        <v>0.82899999999999996</v>
      </c>
      <c r="M172">
        <v>0.275536481</v>
      </c>
      <c r="N172">
        <v>0</v>
      </c>
      <c r="O172" t="s">
        <v>620</v>
      </c>
      <c r="P172">
        <f t="shared" si="20"/>
        <v>13.399849619999999</v>
      </c>
      <c r="Q172">
        <f t="shared" si="21"/>
        <v>2.9000000000000001E-2</v>
      </c>
      <c r="R172">
        <f t="shared" si="22"/>
        <v>2.9000000000000001E-2</v>
      </c>
      <c r="S172">
        <f t="shared" si="23"/>
        <v>0.82899999999999996</v>
      </c>
      <c r="T172">
        <f t="shared" si="24"/>
        <v>2.6926530610000001</v>
      </c>
      <c r="U172">
        <f t="shared" si="25"/>
        <v>7.1119885959999998</v>
      </c>
      <c r="V172">
        <f t="shared" si="26"/>
        <v>5.0999999999999997E-2</v>
      </c>
      <c r="W172">
        <f t="shared" si="27"/>
        <v>7.2999999999999995E-2</v>
      </c>
      <c r="X172">
        <f t="shared" si="28"/>
        <v>0.85</v>
      </c>
      <c r="Y172">
        <v>213.07993389999999</v>
      </c>
      <c r="Z172">
        <v>0</v>
      </c>
      <c r="AA172">
        <v>236250</v>
      </c>
      <c r="AB172">
        <v>76158</v>
      </c>
      <c r="AC172">
        <v>1.7652984E-2</v>
      </c>
      <c r="AD172">
        <v>0.84750225300000004</v>
      </c>
      <c r="AF172">
        <v>13.399849619999999</v>
      </c>
      <c r="AG172">
        <v>2.9000000000000001E-2</v>
      </c>
      <c r="AH172">
        <v>2.9000000000000001E-2</v>
      </c>
      <c r="AI172">
        <v>0.82899999999999996</v>
      </c>
      <c r="AJ172">
        <v>2.6926530610000001</v>
      </c>
      <c r="AK172">
        <v>7.1119885959999998</v>
      </c>
      <c r="AL172">
        <v>5.0999999999999997E-2</v>
      </c>
      <c r="AM172">
        <v>7.2999999999999995E-2</v>
      </c>
      <c r="AN172">
        <v>0.85</v>
      </c>
    </row>
    <row r="173" spans="1:40">
      <c r="A173">
        <v>2241</v>
      </c>
      <c r="B173" t="s">
        <v>691</v>
      </c>
      <c r="C173" t="s">
        <v>684</v>
      </c>
      <c r="D173" t="s">
        <v>685</v>
      </c>
      <c r="E173">
        <v>806</v>
      </c>
      <c r="F173">
        <v>2631</v>
      </c>
      <c r="G173">
        <v>200.25504620000001</v>
      </c>
      <c r="H173">
        <v>207</v>
      </c>
      <c r="I173">
        <v>0.31300768000000001</v>
      </c>
      <c r="J173">
        <v>2838</v>
      </c>
      <c r="K173">
        <v>9066.8701799999999</v>
      </c>
      <c r="L173">
        <v>0.90400000000000003</v>
      </c>
      <c r="M173">
        <v>0.20434353399999999</v>
      </c>
      <c r="N173">
        <v>0</v>
      </c>
      <c r="O173" t="s">
        <v>625</v>
      </c>
      <c r="P173">
        <f t="shared" si="20"/>
        <v>13.1027907</v>
      </c>
      <c r="Q173">
        <f t="shared" si="21"/>
        <v>7.0000000000000001E-3</v>
      </c>
      <c r="R173">
        <f t="shared" si="22"/>
        <v>2.7E-2</v>
      </c>
      <c r="S173">
        <f t="shared" si="23"/>
        <v>0.90400000000000003</v>
      </c>
      <c r="T173">
        <f t="shared" si="24"/>
        <v>2.1039130429999999</v>
      </c>
      <c r="U173">
        <f t="shared" si="25"/>
        <v>8.3098913779999997</v>
      </c>
      <c r="V173">
        <f t="shared" si="26"/>
        <v>5.7000000000000002E-2</v>
      </c>
      <c r="W173">
        <f t="shared" si="27"/>
        <v>2.4E-2</v>
      </c>
      <c r="X173">
        <f t="shared" si="28"/>
        <v>0.91500000000000004</v>
      </c>
      <c r="Y173">
        <v>117.26976860000001</v>
      </c>
      <c r="Z173">
        <v>0</v>
      </c>
      <c r="AA173">
        <v>236250</v>
      </c>
      <c r="AB173">
        <v>76158</v>
      </c>
      <c r="AC173">
        <v>1.7652984E-2</v>
      </c>
      <c r="AD173">
        <v>0.84750225300000004</v>
      </c>
      <c r="AF173">
        <v>13.1027907</v>
      </c>
      <c r="AG173">
        <v>7.0000000000000001E-3</v>
      </c>
      <c r="AH173">
        <v>2.7E-2</v>
      </c>
      <c r="AI173">
        <v>0.90400000000000003</v>
      </c>
      <c r="AJ173">
        <v>2.1039130429999999</v>
      </c>
      <c r="AK173">
        <v>8.3098913779999997</v>
      </c>
      <c r="AL173">
        <v>5.7000000000000002E-2</v>
      </c>
      <c r="AM173">
        <v>2.4E-2</v>
      </c>
      <c r="AN173">
        <v>0.91500000000000004</v>
      </c>
    </row>
    <row r="174" spans="1:40">
      <c r="A174">
        <v>2242</v>
      </c>
      <c r="B174" t="s">
        <v>689</v>
      </c>
      <c r="C174" t="s">
        <v>687</v>
      </c>
      <c r="D174" t="s">
        <v>688</v>
      </c>
      <c r="E174">
        <v>672</v>
      </c>
      <c r="F174">
        <v>1725</v>
      </c>
      <c r="G174">
        <v>90.538589560000005</v>
      </c>
      <c r="H174">
        <v>29</v>
      </c>
      <c r="I174">
        <v>0.141527665</v>
      </c>
      <c r="J174">
        <v>1754</v>
      </c>
      <c r="K174">
        <v>12393.336670000001</v>
      </c>
      <c r="L174">
        <v>0.69099999999999995</v>
      </c>
      <c r="M174">
        <v>4.1369471999999997E-2</v>
      </c>
      <c r="N174">
        <v>0</v>
      </c>
      <c r="O174" t="s">
        <v>613</v>
      </c>
      <c r="P174">
        <f t="shared" si="20"/>
        <v>9.8962307690000006</v>
      </c>
      <c r="Q174">
        <f t="shared" si="21"/>
        <v>5.8999999999999997E-2</v>
      </c>
      <c r="R174">
        <f t="shared" si="22"/>
        <v>3.2000000000000001E-2</v>
      </c>
      <c r="S174">
        <f t="shared" si="23"/>
        <v>0.69099999999999995</v>
      </c>
      <c r="T174">
        <f t="shared" si="24"/>
        <v>1.2681249999999999</v>
      </c>
      <c r="U174">
        <f t="shared" si="25"/>
        <v>6.1906875929999998</v>
      </c>
      <c r="V174">
        <f t="shared" si="26"/>
        <v>1.7000000000000001E-2</v>
      </c>
      <c r="W174">
        <f t="shared" si="27"/>
        <v>0.22900000000000001</v>
      </c>
      <c r="X174">
        <f t="shared" si="28"/>
        <v>0.74299999999999999</v>
      </c>
      <c r="Y174">
        <v>92.320755820000002</v>
      </c>
      <c r="Z174">
        <v>0</v>
      </c>
      <c r="AA174">
        <v>454184</v>
      </c>
      <c r="AB174">
        <v>170596</v>
      </c>
      <c r="AC174">
        <v>6.5715274000000004E-2</v>
      </c>
      <c r="AD174">
        <v>0.72549415100000003</v>
      </c>
      <c r="AF174">
        <v>9.8962307690000006</v>
      </c>
      <c r="AG174">
        <v>5.8999999999999997E-2</v>
      </c>
      <c r="AH174">
        <v>3.2000000000000001E-2</v>
      </c>
      <c r="AI174">
        <v>0.69099999999999995</v>
      </c>
      <c r="AJ174">
        <v>1.2681249999999999</v>
      </c>
      <c r="AK174">
        <v>6.1906875929999998</v>
      </c>
      <c r="AL174">
        <v>1.7000000000000001E-2</v>
      </c>
      <c r="AM174">
        <v>0.22900000000000001</v>
      </c>
      <c r="AN174">
        <v>0.74299999999999999</v>
      </c>
    </row>
    <row r="175" spans="1:40">
      <c r="A175">
        <v>2243</v>
      </c>
      <c r="B175" t="s">
        <v>689</v>
      </c>
      <c r="C175" t="s">
        <v>687</v>
      </c>
      <c r="D175" t="s">
        <v>688</v>
      </c>
      <c r="E175">
        <v>312</v>
      </c>
      <c r="F175">
        <v>1016</v>
      </c>
      <c r="G175">
        <v>35.398783530000003</v>
      </c>
      <c r="H175">
        <v>211</v>
      </c>
      <c r="I175">
        <v>5.5335831000000002E-2</v>
      </c>
      <c r="J175">
        <v>1227</v>
      </c>
      <c r="K175">
        <v>22173.697909999999</v>
      </c>
      <c r="L175">
        <v>0.755</v>
      </c>
      <c r="M175">
        <v>0.403441683</v>
      </c>
      <c r="N175">
        <v>0</v>
      </c>
      <c r="O175" t="s">
        <v>613</v>
      </c>
      <c r="P175">
        <f t="shared" si="20"/>
        <v>10.86602564</v>
      </c>
      <c r="Q175">
        <f t="shared" si="21"/>
        <v>2.8000000000000001E-2</v>
      </c>
      <c r="R175">
        <f t="shared" si="22"/>
        <v>1.2999999999999999E-2</v>
      </c>
      <c r="S175">
        <f t="shared" si="23"/>
        <v>0.755</v>
      </c>
      <c r="T175">
        <f t="shared" si="24"/>
        <v>2.7337500000000001</v>
      </c>
      <c r="U175">
        <f t="shared" si="25"/>
        <v>5.9786056639999998</v>
      </c>
      <c r="V175">
        <f t="shared" si="26"/>
        <v>2.1000000000000001E-2</v>
      </c>
      <c r="W175">
        <f t="shared" si="27"/>
        <v>8.5000000000000006E-2</v>
      </c>
      <c r="X175">
        <f t="shared" si="28"/>
        <v>0.83</v>
      </c>
      <c r="Y175">
        <v>78.624509979999999</v>
      </c>
      <c r="Z175">
        <v>0</v>
      </c>
      <c r="AA175">
        <v>454184</v>
      </c>
      <c r="AB175">
        <v>170596</v>
      </c>
      <c r="AC175">
        <v>6.5715274000000004E-2</v>
      </c>
      <c r="AD175">
        <v>0.72549415100000003</v>
      </c>
      <c r="AF175">
        <v>10.86602564</v>
      </c>
      <c r="AG175">
        <v>2.8000000000000001E-2</v>
      </c>
      <c r="AH175">
        <v>1.2999999999999999E-2</v>
      </c>
      <c r="AI175">
        <v>0.755</v>
      </c>
      <c r="AJ175">
        <v>2.7337500000000001</v>
      </c>
      <c r="AK175">
        <v>5.9786056639999998</v>
      </c>
      <c r="AL175">
        <v>2.1000000000000001E-2</v>
      </c>
      <c r="AM175">
        <v>8.5000000000000006E-2</v>
      </c>
      <c r="AN175">
        <v>0.83</v>
      </c>
    </row>
    <row r="176" spans="1:40">
      <c r="A176">
        <v>2244</v>
      </c>
      <c r="B176" t="s">
        <v>689</v>
      </c>
      <c r="C176" t="s">
        <v>687</v>
      </c>
      <c r="D176" t="s">
        <v>688</v>
      </c>
      <c r="E176">
        <v>404</v>
      </c>
      <c r="F176">
        <v>1448</v>
      </c>
      <c r="G176">
        <v>48.203079420000002</v>
      </c>
      <c r="H176">
        <v>72</v>
      </c>
      <c r="I176">
        <v>7.5353589999999998E-2</v>
      </c>
      <c r="J176">
        <v>1520</v>
      </c>
      <c r="K176">
        <v>20171.567139999999</v>
      </c>
      <c r="L176">
        <v>0.79500000000000004</v>
      </c>
      <c r="M176">
        <v>0.15126050399999999</v>
      </c>
      <c r="N176">
        <v>0</v>
      </c>
      <c r="O176" t="s">
        <v>613</v>
      </c>
      <c r="P176">
        <f t="shared" si="20"/>
        <v>11.15505263</v>
      </c>
      <c r="Q176">
        <f t="shared" si="21"/>
        <v>1.4E-2</v>
      </c>
      <c r="R176">
        <f t="shared" si="22"/>
        <v>8.9999999999999993E-3</v>
      </c>
      <c r="S176">
        <f t="shared" si="23"/>
        <v>0.79500000000000004</v>
      </c>
      <c r="T176">
        <f t="shared" si="24"/>
        <v>1.325</v>
      </c>
      <c r="U176">
        <f t="shared" si="25"/>
        <v>5.8873720609999998</v>
      </c>
      <c r="V176">
        <f t="shared" si="26"/>
        <v>1.9E-2</v>
      </c>
      <c r="W176">
        <f t="shared" si="27"/>
        <v>3.7999999999999999E-2</v>
      </c>
      <c r="X176">
        <f t="shared" si="28"/>
        <v>0.90500000000000003</v>
      </c>
      <c r="Y176">
        <v>164.00039760000001</v>
      </c>
      <c r="Z176">
        <v>0</v>
      </c>
      <c r="AA176">
        <v>454184</v>
      </c>
      <c r="AB176">
        <v>170596</v>
      </c>
      <c r="AC176">
        <v>6.5715274000000004E-2</v>
      </c>
      <c r="AD176">
        <v>0.72549415100000003</v>
      </c>
      <c r="AF176">
        <v>11.15505263</v>
      </c>
      <c r="AG176">
        <v>1.4E-2</v>
      </c>
      <c r="AH176">
        <v>8.9999999999999993E-3</v>
      </c>
      <c r="AI176">
        <v>0.79500000000000004</v>
      </c>
      <c r="AJ176">
        <v>1.325</v>
      </c>
      <c r="AK176">
        <v>5.8873720609999998</v>
      </c>
      <c r="AL176">
        <v>1.9E-2</v>
      </c>
      <c r="AM176">
        <v>3.7999999999999999E-2</v>
      </c>
      <c r="AN176">
        <v>0.90500000000000003</v>
      </c>
    </row>
    <row r="177" spans="1:40">
      <c r="A177">
        <v>2245</v>
      </c>
      <c r="B177" t="s">
        <v>689</v>
      </c>
      <c r="C177" t="s">
        <v>687</v>
      </c>
      <c r="D177" t="s">
        <v>688</v>
      </c>
      <c r="E177">
        <v>461</v>
      </c>
      <c r="F177">
        <v>1487</v>
      </c>
      <c r="G177">
        <v>56.126706900000002</v>
      </c>
      <c r="H177">
        <v>122</v>
      </c>
      <c r="I177">
        <v>8.7732071999999994E-2</v>
      </c>
      <c r="J177">
        <v>1609</v>
      </c>
      <c r="K177">
        <v>18339.929319999999</v>
      </c>
      <c r="L177">
        <v>0.72</v>
      </c>
      <c r="M177">
        <v>0.209262436</v>
      </c>
      <c r="N177">
        <v>0</v>
      </c>
      <c r="O177" t="s">
        <v>613</v>
      </c>
      <c r="P177">
        <f t="shared" si="20"/>
        <v>11.85011111</v>
      </c>
      <c r="Q177">
        <f t="shared" si="21"/>
        <v>4.4999999999999998E-2</v>
      </c>
      <c r="R177">
        <f t="shared" si="22"/>
        <v>2.1000000000000001E-2</v>
      </c>
      <c r="S177">
        <f t="shared" si="23"/>
        <v>0.72</v>
      </c>
      <c r="T177">
        <f t="shared" si="24"/>
        <v>2.2989999999999999</v>
      </c>
      <c r="U177">
        <f t="shared" si="25"/>
        <v>5.6283866060000003</v>
      </c>
      <c r="V177">
        <f t="shared" si="26"/>
        <v>0.04</v>
      </c>
      <c r="W177">
        <f t="shared" si="27"/>
        <v>0.13600000000000001</v>
      </c>
      <c r="X177">
        <f t="shared" si="28"/>
        <v>0.72</v>
      </c>
      <c r="Y177">
        <v>72.499483690000005</v>
      </c>
      <c r="Z177">
        <v>0</v>
      </c>
      <c r="AA177">
        <v>454184</v>
      </c>
      <c r="AB177">
        <v>170596</v>
      </c>
      <c r="AC177">
        <v>6.5715274000000004E-2</v>
      </c>
      <c r="AD177">
        <v>0.72549415100000003</v>
      </c>
      <c r="AF177">
        <v>11.85011111</v>
      </c>
      <c r="AG177">
        <v>4.4999999999999998E-2</v>
      </c>
      <c r="AH177">
        <v>2.1000000000000001E-2</v>
      </c>
      <c r="AI177">
        <v>0.72</v>
      </c>
      <c r="AJ177">
        <v>2.2989999999999999</v>
      </c>
      <c r="AK177">
        <v>5.6283866060000003</v>
      </c>
      <c r="AL177">
        <v>0.04</v>
      </c>
      <c r="AM177">
        <v>0.13600000000000001</v>
      </c>
      <c r="AN177">
        <v>0.72</v>
      </c>
    </row>
    <row r="178" spans="1:40">
      <c r="A178">
        <v>2246</v>
      </c>
      <c r="B178" t="s">
        <v>689</v>
      </c>
      <c r="C178" t="s">
        <v>687</v>
      </c>
      <c r="D178" t="s">
        <v>688</v>
      </c>
      <c r="E178">
        <v>300</v>
      </c>
      <c r="F178">
        <v>955</v>
      </c>
      <c r="G178">
        <v>30.580909160000001</v>
      </c>
      <c r="H178">
        <v>20</v>
      </c>
      <c r="I178">
        <v>4.7804143E-2</v>
      </c>
      <c r="J178">
        <v>975</v>
      </c>
      <c r="K178">
        <v>20395.72177</v>
      </c>
      <c r="L178">
        <v>0.751</v>
      </c>
      <c r="M178">
        <v>6.25E-2</v>
      </c>
      <c r="N178">
        <v>0</v>
      </c>
      <c r="O178" t="s">
        <v>613</v>
      </c>
      <c r="P178">
        <f t="shared" si="20"/>
        <v>9.5878181819999995</v>
      </c>
      <c r="Q178">
        <f t="shared" si="21"/>
        <v>2.1999999999999999E-2</v>
      </c>
      <c r="R178">
        <f t="shared" si="22"/>
        <v>0.02</v>
      </c>
      <c r="S178">
        <f t="shared" si="23"/>
        <v>0.751</v>
      </c>
      <c r="T178">
        <f t="shared" si="24"/>
        <v>2.073</v>
      </c>
      <c r="U178">
        <f t="shared" si="25"/>
        <v>5.8186464090000003</v>
      </c>
      <c r="V178">
        <f t="shared" si="26"/>
        <v>3.2000000000000001E-2</v>
      </c>
      <c r="W178">
        <f t="shared" si="27"/>
        <v>9.5000000000000001E-2</v>
      </c>
      <c r="X178">
        <f t="shared" si="28"/>
        <v>0.873</v>
      </c>
      <c r="Y178">
        <v>167.03303289999999</v>
      </c>
      <c r="Z178">
        <v>0</v>
      </c>
      <c r="AA178">
        <v>454184</v>
      </c>
      <c r="AB178">
        <v>170596</v>
      </c>
      <c r="AC178">
        <v>6.5715274000000004E-2</v>
      </c>
      <c r="AD178">
        <v>0.72549415100000003</v>
      </c>
      <c r="AF178">
        <v>9.5878181819999995</v>
      </c>
      <c r="AG178">
        <v>2.1999999999999999E-2</v>
      </c>
      <c r="AH178">
        <v>0.02</v>
      </c>
      <c r="AI178">
        <v>0.751</v>
      </c>
      <c r="AJ178">
        <v>2.073</v>
      </c>
      <c r="AK178">
        <v>5.8186464090000003</v>
      </c>
      <c r="AL178">
        <v>3.2000000000000001E-2</v>
      </c>
      <c r="AM178">
        <v>9.5000000000000001E-2</v>
      </c>
      <c r="AN178">
        <v>0.873</v>
      </c>
    </row>
    <row r="179" spans="1:40">
      <c r="A179">
        <v>2247</v>
      </c>
      <c r="B179" t="s">
        <v>689</v>
      </c>
      <c r="C179" t="s">
        <v>687</v>
      </c>
      <c r="D179" t="s">
        <v>688</v>
      </c>
      <c r="E179">
        <v>240</v>
      </c>
      <c r="F179">
        <v>964</v>
      </c>
      <c r="G179">
        <v>31.424291499999999</v>
      </c>
      <c r="H179">
        <v>54</v>
      </c>
      <c r="I179">
        <v>4.9117001E-2</v>
      </c>
      <c r="J179">
        <v>1018</v>
      </c>
      <c r="K179">
        <v>20726.021120000001</v>
      </c>
      <c r="L179">
        <v>0.746</v>
      </c>
      <c r="M179">
        <v>0.18367346900000001</v>
      </c>
      <c r="N179">
        <v>0</v>
      </c>
      <c r="O179" t="s">
        <v>613</v>
      </c>
      <c r="P179">
        <f t="shared" si="20"/>
        <v>11.30323529</v>
      </c>
      <c r="Q179">
        <f t="shared" si="21"/>
        <v>1.2E-2</v>
      </c>
      <c r="R179">
        <f t="shared" si="22"/>
        <v>2.1000000000000001E-2</v>
      </c>
      <c r="S179">
        <f t="shared" si="23"/>
        <v>0.746</v>
      </c>
      <c r="T179">
        <f t="shared" si="24"/>
        <v>2.579166667</v>
      </c>
      <c r="U179">
        <f t="shared" si="25"/>
        <v>5.6817274940000004</v>
      </c>
      <c r="V179">
        <f t="shared" si="26"/>
        <v>9.8000000000000004E-2</v>
      </c>
      <c r="W179">
        <f t="shared" si="27"/>
        <v>2.4E-2</v>
      </c>
      <c r="X179">
        <f t="shared" si="28"/>
        <v>0.82899999999999996</v>
      </c>
      <c r="Y179">
        <v>135.9534831</v>
      </c>
      <c r="Z179">
        <v>0</v>
      </c>
      <c r="AA179">
        <v>454184</v>
      </c>
      <c r="AB179">
        <v>170596</v>
      </c>
      <c r="AC179">
        <v>6.5715274000000004E-2</v>
      </c>
      <c r="AD179">
        <v>0.72549415100000003</v>
      </c>
      <c r="AF179">
        <v>11.30323529</v>
      </c>
      <c r="AG179">
        <v>1.2E-2</v>
      </c>
      <c r="AH179">
        <v>2.1000000000000001E-2</v>
      </c>
      <c r="AI179">
        <v>0.746</v>
      </c>
      <c r="AJ179">
        <v>2.579166667</v>
      </c>
      <c r="AK179">
        <v>5.6817274940000004</v>
      </c>
      <c r="AL179">
        <v>9.8000000000000004E-2</v>
      </c>
      <c r="AM179">
        <v>2.4E-2</v>
      </c>
      <c r="AN179">
        <v>0.82899999999999996</v>
      </c>
    </row>
    <row r="180" spans="1:40">
      <c r="A180">
        <v>2248</v>
      </c>
      <c r="B180" t="s">
        <v>689</v>
      </c>
      <c r="C180" t="s">
        <v>687</v>
      </c>
      <c r="D180" t="s">
        <v>688</v>
      </c>
      <c r="E180">
        <v>732</v>
      </c>
      <c r="F180">
        <v>1426</v>
      </c>
      <c r="G180">
        <v>57.699166499999997</v>
      </c>
      <c r="H180">
        <v>452</v>
      </c>
      <c r="I180">
        <v>9.0194771000000007E-2</v>
      </c>
      <c r="J180">
        <v>1878</v>
      </c>
      <c r="K180">
        <v>20821.606169999999</v>
      </c>
      <c r="L180">
        <v>0.76500000000000001</v>
      </c>
      <c r="M180">
        <v>0.381756757</v>
      </c>
      <c r="N180">
        <v>0</v>
      </c>
      <c r="O180" t="s">
        <v>613</v>
      </c>
      <c r="P180">
        <f t="shared" si="20"/>
        <v>9.6509090910000008</v>
      </c>
      <c r="Q180">
        <f t="shared" si="21"/>
        <v>3.5999999999999997E-2</v>
      </c>
      <c r="R180">
        <f t="shared" si="22"/>
        <v>4.2999999999999997E-2</v>
      </c>
      <c r="S180">
        <f t="shared" si="23"/>
        <v>0.76500000000000001</v>
      </c>
      <c r="T180">
        <f t="shared" si="24"/>
        <v>2.2875000000000001</v>
      </c>
      <c r="U180">
        <f t="shared" si="25"/>
        <v>6.2507410969999997</v>
      </c>
      <c r="V180">
        <f t="shared" si="26"/>
        <v>6.0999999999999999E-2</v>
      </c>
      <c r="W180">
        <f t="shared" si="27"/>
        <v>0.105</v>
      </c>
      <c r="X180">
        <f t="shared" si="28"/>
        <v>0.748</v>
      </c>
      <c r="Y180">
        <v>191.49436320000001</v>
      </c>
      <c r="Z180">
        <v>0</v>
      </c>
      <c r="AA180">
        <v>454184</v>
      </c>
      <c r="AB180">
        <v>170596</v>
      </c>
      <c r="AC180">
        <v>6.5715274000000004E-2</v>
      </c>
      <c r="AD180">
        <v>0.72549415100000003</v>
      </c>
      <c r="AF180">
        <v>9.6509090910000008</v>
      </c>
      <c r="AG180">
        <v>3.5999999999999997E-2</v>
      </c>
      <c r="AH180">
        <v>4.2999999999999997E-2</v>
      </c>
      <c r="AI180">
        <v>0.76500000000000001</v>
      </c>
      <c r="AJ180">
        <v>2.2875000000000001</v>
      </c>
      <c r="AK180">
        <v>6.2507410969999997</v>
      </c>
      <c r="AL180">
        <v>6.0999999999999999E-2</v>
      </c>
      <c r="AM180">
        <v>0.105</v>
      </c>
      <c r="AN180">
        <v>0.748</v>
      </c>
    </row>
    <row r="181" spans="1:40">
      <c r="A181">
        <v>2249</v>
      </c>
      <c r="B181" t="s">
        <v>706</v>
      </c>
      <c r="C181" t="s">
        <v>684</v>
      </c>
      <c r="D181" t="s">
        <v>685</v>
      </c>
      <c r="E181">
        <v>637</v>
      </c>
      <c r="F181">
        <v>2231</v>
      </c>
      <c r="G181">
        <v>166.5127109</v>
      </c>
      <c r="H181">
        <v>235</v>
      </c>
      <c r="I181">
        <v>0.26027589099999998</v>
      </c>
      <c r="J181">
        <v>2466</v>
      </c>
      <c r="K181">
        <v>9474.5617450000009</v>
      </c>
      <c r="L181">
        <v>0.81899999999999995</v>
      </c>
      <c r="M181">
        <v>0.26949541300000002</v>
      </c>
      <c r="N181">
        <v>0</v>
      </c>
      <c r="O181" t="s">
        <v>620</v>
      </c>
      <c r="P181">
        <f t="shared" si="20"/>
        <v>13.785323379999999</v>
      </c>
      <c r="Q181">
        <f t="shared" si="21"/>
        <v>0.02</v>
      </c>
      <c r="R181">
        <f t="shared" si="22"/>
        <v>2.1999999999999999E-2</v>
      </c>
      <c r="S181">
        <f t="shared" si="23"/>
        <v>0.81899999999999995</v>
      </c>
      <c r="T181">
        <f t="shared" si="24"/>
        <v>1.759285714</v>
      </c>
      <c r="U181">
        <f t="shared" si="25"/>
        <v>7.6615984020000001</v>
      </c>
      <c r="V181">
        <f t="shared" si="26"/>
        <v>1.2999999999999999E-2</v>
      </c>
      <c r="W181">
        <f t="shared" si="27"/>
        <v>3.5999999999999997E-2</v>
      </c>
      <c r="X181">
        <f t="shared" si="28"/>
        <v>0.89700000000000002</v>
      </c>
      <c r="Y181">
        <v>135.65398500000001</v>
      </c>
      <c r="Z181">
        <v>0</v>
      </c>
      <c r="AA181">
        <v>47401</v>
      </c>
      <c r="AB181">
        <v>14616</v>
      </c>
      <c r="AC181">
        <v>1.1721782E-2</v>
      </c>
      <c r="AD181">
        <v>0.85588417900000002</v>
      </c>
      <c r="AF181">
        <v>13.785323379999999</v>
      </c>
      <c r="AG181">
        <v>0.02</v>
      </c>
      <c r="AH181">
        <v>2.1999999999999999E-2</v>
      </c>
      <c r="AI181">
        <v>0.81899999999999995</v>
      </c>
      <c r="AJ181">
        <v>1.759285714</v>
      </c>
      <c r="AK181">
        <v>7.6615984020000001</v>
      </c>
      <c r="AL181">
        <v>1.2999999999999999E-2</v>
      </c>
      <c r="AM181">
        <v>3.5999999999999997E-2</v>
      </c>
      <c r="AN181">
        <v>0.89700000000000002</v>
      </c>
    </row>
    <row r="182" spans="1:40">
      <c r="A182">
        <v>2250</v>
      </c>
      <c r="B182" t="s">
        <v>695</v>
      </c>
      <c r="C182" t="s">
        <v>696</v>
      </c>
      <c r="D182" t="s">
        <v>697</v>
      </c>
      <c r="E182">
        <v>307</v>
      </c>
      <c r="F182">
        <v>905</v>
      </c>
      <c r="G182">
        <v>63.61592855</v>
      </c>
      <c r="H182">
        <v>0</v>
      </c>
      <c r="I182">
        <v>9.9437883000000005E-2</v>
      </c>
      <c r="J182">
        <v>905</v>
      </c>
      <c r="K182">
        <v>9101.1591630000003</v>
      </c>
      <c r="L182">
        <v>0.749</v>
      </c>
      <c r="M182">
        <v>0</v>
      </c>
      <c r="N182">
        <v>0</v>
      </c>
      <c r="O182" t="s">
        <v>620</v>
      </c>
      <c r="P182">
        <f t="shared" si="20"/>
        <v>14.8430137</v>
      </c>
      <c r="Q182">
        <f t="shared" si="21"/>
        <v>4.4999999999999998E-2</v>
      </c>
      <c r="R182">
        <f t="shared" si="22"/>
        <v>2.5999999999999999E-2</v>
      </c>
      <c r="S182">
        <f t="shared" si="23"/>
        <v>0.749</v>
      </c>
      <c r="T182">
        <f t="shared" si="24"/>
        <v>0.95785714300000002</v>
      </c>
      <c r="U182">
        <f t="shared" si="25"/>
        <v>7.7554404149999998</v>
      </c>
      <c r="V182">
        <f t="shared" si="26"/>
        <v>4.15609756097561E-2</v>
      </c>
      <c r="W182">
        <f t="shared" si="27"/>
        <v>0.24199999999999999</v>
      </c>
      <c r="X182">
        <f t="shared" si="28"/>
        <v>0.73699999999999999</v>
      </c>
      <c r="Y182">
        <v>90.636311590000005</v>
      </c>
      <c r="Z182">
        <v>0</v>
      </c>
      <c r="AA182">
        <v>62139</v>
      </c>
      <c r="AB182">
        <v>22178</v>
      </c>
      <c r="AC182">
        <v>2.5956119999999999E-2</v>
      </c>
      <c r="AD182">
        <v>0.81129361</v>
      </c>
      <c r="AF182">
        <v>14.8430137</v>
      </c>
      <c r="AG182">
        <v>4.4999999999999998E-2</v>
      </c>
      <c r="AH182">
        <v>2.5999999999999999E-2</v>
      </c>
      <c r="AI182">
        <v>0.749</v>
      </c>
      <c r="AJ182">
        <v>0.95785714300000002</v>
      </c>
      <c r="AK182">
        <v>7.7554404149999998</v>
      </c>
      <c r="AL182">
        <v>0</v>
      </c>
      <c r="AM182">
        <v>0.24199999999999999</v>
      </c>
      <c r="AN182">
        <v>0.73699999999999999</v>
      </c>
    </row>
    <row r="183" spans="1:40">
      <c r="A183">
        <v>2251</v>
      </c>
      <c r="B183" t="s">
        <v>695</v>
      </c>
      <c r="C183" t="s">
        <v>696</v>
      </c>
      <c r="D183" t="s">
        <v>697</v>
      </c>
      <c r="E183">
        <v>358</v>
      </c>
      <c r="F183">
        <v>1033</v>
      </c>
      <c r="G183">
        <v>84.930530090000005</v>
      </c>
      <c r="H183">
        <v>310</v>
      </c>
      <c r="I183">
        <v>0.13275510099999999</v>
      </c>
      <c r="J183">
        <v>1343</v>
      </c>
      <c r="K183">
        <v>10116.372100000001</v>
      </c>
      <c r="L183">
        <v>0.82099999999999995</v>
      </c>
      <c r="M183">
        <v>0.464071856</v>
      </c>
      <c r="N183">
        <v>0</v>
      </c>
      <c r="O183" t="s">
        <v>620</v>
      </c>
      <c r="P183">
        <f t="shared" si="20"/>
        <v>14.6987218</v>
      </c>
      <c r="Q183">
        <f t="shared" si="21"/>
        <v>2.1000000000000001E-2</v>
      </c>
      <c r="R183">
        <f t="shared" si="22"/>
        <v>2.4E-2</v>
      </c>
      <c r="S183">
        <f t="shared" si="23"/>
        <v>0.82099999999999995</v>
      </c>
      <c r="T183">
        <f t="shared" si="24"/>
        <v>1.617777778</v>
      </c>
      <c r="U183">
        <f t="shared" si="25"/>
        <v>8.6440368509999992</v>
      </c>
      <c r="V183">
        <f t="shared" si="26"/>
        <v>2.5999999999999999E-2</v>
      </c>
      <c r="W183">
        <f t="shared" si="27"/>
        <v>7.6999999999999999E-2</v>
      </c>
      <c r="X183">
        <f t="shared" si="28"/>
        <v>0.85799999999999998</v>
      </c>
      <c r="Y183">
        <v>143.60848659999999</v>
      </c>
      <c r="Z183">
        <v>0</v>
      </c>
      <c r="AA183">
        <v>62139</v>
      </c>
      <c r="AB183">
        <v>22178</v>
      </c>
      <c r="AC183">
        <v>2.5956119999999999E-2</v>
      </c>
      <c r="AD183">
        <v>0.81129361</v>
      </c>
      <c r="AF183">
        <v>14.6987218</v>
      </c>
      <c r="AG183">
        <v>2.1000000000000001E-2</v>
      </c>
      <c r="AH183">
        <v>2.4E-2</v>
      </c>
      <c r="AI183">
        <v>0.82099999999999995</v>
      </c>
      <c r="AJ183">
        <v>1.617777778</v>
      </c>
      <c r="AK183">
        <v>8.6440368509999992</v>
      </c>
      <c r="AL183">
        <v>2.5999999999999999E-2</v>
      </c>
      <c r="AM183">
        <v>7.6999999999999999E-2</v>
      </c>
      <c r="AN183">
        <v>0.85799999999999998</v>
      </c>
    </row>
    <row r="184" spans="1:40">
      <c r="A184">
        <v>2252</v>
      </c>
      <c r="B184" t="s">
        <v>695</v>
      </c>
      <c r="C184" t="s">
        <v>696</v>
      </c>
      <c r="D184" t="s">
        <v>697</v>
      </c>
      <c r="E184">
        <v>560</v>
      </c>
      <c r="F184">
        <v>1636</v>
      </c>
      <c r="G184">
        <v>81.218125509999993</v>
      </c>
      <c r="H184">
        <v>8</v>
      </c>
      <c r="I184">
        <v>0.12695048</v>
      </c>
      <c r="J184">
        <v>1644</v>
      </c>
      <c r="K184">
        <v>12949.931339999999</v>
      </c>
      <c r="L184">
        <v>0.82799999999999996</v>
      </c>
      <c r="M184">
        <v>1.4084507E-2</v>
      </c>
      <c r="N184">
        <v>0</v>
      </c>
      <c r="O184" t="s">
        <v>620</v>
      </c>
      <c r="P184">
        <f t="shared" si="20"/>
        <v>17.281151829999999</v>
      </c>
      <c r="Q184">
        <f t="shared" si="21"/>
        <v>3.4000000000000002E-2</v>
      </c>
      <c r="R184">
        <f t="shared" si="22"/>
        <v>2.1999999999999999E-2</v>
      </c>
      <c r="S184">
        <f t="shared" si="23"/>
        <v>0.82799999999999996</v>
      </c>
      <c r="T184">
        <f t="shared" si="24"/>
        <v>1.719545455</v>
      </c>
      <c r="U184">
        <f t="shared" si="25"/>
        <v>9.1426937269999993</v>
      </c>
      <c r="V184">
        <f t="shared" si="26"/>
        <v>4.15609756097561E-2</v>
      </c>
      <c r="W184">
        <f t="shared" si="27"/>
        <v>0.13600000000000001</v>
      </c>
      <c r="X184">
        <f t="shared" si="28"/>
        <v>0.86399999999999999</v>
      </c>
      <c r="Y184">
        <v>125.07471049999999</v>
      </c>
      <c r="Z184">
        <v>0</v>
      </c>
      <c r="AA184">
        <v>62139</v>
      </c>
      <c r="AB184">
        <v>22178</v>
      </c>
      <c r="AC184">
        <v>2.5956119999999999E-2</v>
      </c>
      <c r="AD184">
        <v>0.81129361</v>
      </c>
      <c r="AF184">
        <v>17.281151829999999</v>
      </c>
      <c r="AG184">
        <v>3.4000000000000002E-2</v>
      </c>
      <c r="AH184">
        <v>2.1999999999999999E-2</v>
      </c>
      <c r="AI184">
        <v>0.82799999999999996</v>
      </c>
      <c r="AJ184">
        <v>1.719545455</v>
      </c>
      <c r="AK184">
        <v>9.1426937269999993</v>
      </c>
      <c r="AL184">
        <v>0</v>
      </c>
      <c r="AM184">
        <v>0.13600000000000001</v>
      </c>
      <c r="AN184">
        <v>0.86399999999999999</v>
      </c>
    </row>
    <row r="185" spans="1:40">
      <c r="A185">
        <v>2253</v>
      </c>
      <c r="B185" t="s">
        <v>695</v>
      </c>
      <c r="C185" t="s">
        <v>696</v>
      </c>
      <c r="D185" t="s">
        <v>697</v>
      </c>
      <c r="E185">
        <v>331</v>
      </c>
      <c r="F185">
        <v>972</v>
      </c>
      <c r="G185">
        <v>852.32004180000001</v>
      </c>
      <c r="H185">
        <v>898</v>
      </c>
      <c r="I185" s="515">
        <v>1.3322753279999999</v>
      </c>
      <c r="J185">
        <v>1870</v>
      </c>
      <c r="K185">
        <v>1403.613773</v>
      </c>
      <c r="L185">
        <v>0.92100000000000004</v>
      </c>
      <c r="M185">
        <v>0.73067534599999995</v>
      </c>
      <c r="N185">
        <v>0</v>
      </c>
      <c r="O185" t="s">
        <v>625</v>
      </c>
      <c r="P185">
        <f t="shared" si="20"/>
        <v>15.62405</v>
      </c>
      <c r="Q185">
        <f t="shared" si="21"/>
        <v>1.0999999999999999E-2</v>
      </c>
      <c r="R185">
        <f t="shared" si="22"/>
        <v>2.1000000000000001E-2</v>
      </c>
      <c r="S185">
        <f t="shared" si="23"/>
        <v>0.92100000000000004</v>
      </c>
      <c r="T185">
        <f t="shared" si="24"/>
        <v>2.6974999999999998</v>
      </c>
      <c r="U185">
        <f t="shared" si="25"/>
        <v>11.261534879999999</v>
      </c>
      <c r="V185">
        <f t="shared" si="26"/>
        <v>2.8000000000000001E-2</v>
      </c>
      <c r="W185">
        <f t="shared" si="27"/>
        <v>3.6999999999999998E-2</v>
      </c>
      <c r="X185">
        <f t="shared" si="28"/>
        <v>0.93500000000000005</v>
      </c>
      <c r="Y185">
        <v>21.735512910000001</v>
      </c>
      <c r="Z185">
        <v>0</v>
      </c>
      <c r="AA185">
        <v>62139</v>
      </c>
      <c r="AB185">
        <v>22178</v>
      </c>
      <c r="AC185">
        <v>2.5956119999999999E-2</v>
      </c>
      <c r="AD185">
        <v>0.81129361</v>
      </c>
      <c r="AF185">
        <v>15.62405</v>
      </c>
      <c r="AG185">
        <v>1.0999999999999999E-2</v>
      </c>
      <c r="AH185">
        <v>2.1000000000000001E-2</v>
      </c>
      <c r="AI185">
        <v>0.92100000000000004</v>
      </c>
      <c r="AJ185">
        <v>2.6974999999999998</v>
      </c>
      <c r="AK185">
        <v>11.261534879999999</v>
      </c>
      <c r="AL185">
        <v>2.8000000000000001E-2</v>
      </c>
      <c r="AM185">
        <v>3.6999999999999998E-2</v>
      </c>
      <c r="AN185">
        <v>0.93500000000000005</v>
      </c>
    </row>
    <row r="186" spans="1:40">
      <c r="A186">
        <v>2254</v>
      </c>
      <c r="B186" t="s">
        <v>695</v>
      </c>
      <c r="C186" t="s">
        <v>696</v>
      </c>
      <c r="D186" t="s">
        <v>697</v>
      </c>
      <c r="E186">
        <v>595</v>
      </c>
      <c r="F186">
        <v>1775</v>
      </c>
      <c r="G186">
        <v>169.4943873</v>
      </c>
      <c r="H186">
        <v>76</v>
      </c>
      <c r="I186">
        <v>0.26494165400000003</v>
      </c>
      <c r="J186">
        <v>1851</v>
      </c>
      <c r="K186">
        <v>6986.4438909999999</v>
      </c>
      <c r="L186">
        <v>0.82</v>
      </c>
      <c r="M186">
        <v>0.11326378500000001</v>
      </c>
      <c r="N186">
        <v>0</v>
      </c>
      <c r="O186" t="s">
        <v>620</v>
      </c>
      <c r="P186">
        <f t="shared" si="20"/>
        <v>13.93738095</v>
      </c>
      <c r="Q186">
        <f t="shared" si="21"/>
        <v>4.9000000000000002E-2</v>
      </c>
      <c r="R186">
        <f t="shared" si="22"/>
        <v>2.5000000000000001E-2</v>
      </c>
      <c r="S186">
        <f t="shared" si="23"/>
        <v>0.82</v>
      </c>
      <c r="T186">
        <f t="shared" si="24"/>
        <v>2.1735714289999999</v>
      </c>
      <c r="U186">
        <f t="shared" si="25"/>
        <v>8.6491259930000002</v>
      </c>
      <c r="V186">
        <f t="shared" si="26"/>
        <v>1.4999999999999999E-2</v>
      </c>
      <c r="W186">
        <f t="shared" si="27"/>
        <v>0.16900000000000001</v>
      </c>
      <c r="X186">
        <f t="shared" si="28"/>
        <v>0.80800000000000005</v>
      </c>
      <c r="Y186">
        <v>78.057103339999998</v>
      </c>
      <c r="Z186">
        <v>0</v>
      </c>
      <c r="AA186">
        <v>62139</v>
      </c>
      <c r="AB186">
        <v>22178</v>
      </c>
      <c r="AC186">
        <v>2.5956119999999999E-2</v>
      </c>
      <c r="AD186">
        <v>0.81129361</v>
      </c>
      <c r="AF186">
        <v>13.93738095</v>
      </c>
      <c r="AG186">
        <v>4.9000000000000002E-2</v>
      </c>
      <c r="AH186">
        <v>2.5000000000000001E-2</v>
      </c>
      <c r="AI186">
        <v>0.82</v>
      </c>
      <c r="AJ186">
        <v>2.1735714289999999</v>
      </c>
      <c r="AK186">
        <v>8.6491259930000002</v>
      </c>
      <c r="AL186">
        <v>1.4999999999999999E-2</v>
      </c>
      <c r="AM186">
        <v>0.16900000000000001</v>
      </c>
      <c r="AN186">
        <v>0.80800000000000005</v>
      </c>
    </row>
    <row r="187" spans="1:40">
      <c r="A187">
        <v>2255</v>
      </c>
      <c r="B187" t="s">
        <v>695</v>
      </c>
      <c r="C187" t="s">
        <v>696</v>
      </c>
      <c r="D187" t="s">
        <v>697</v>
      </c>
      <c r="E187">
        <v>295</v>
      </c>
      <c r="F187">
        <v>872</v>
      </c>
      <c r="G187">
        <v>77.579694439999997</v>
      </c>
      <c r="H187">
        <v>5</v>
      </c>
      <c r="I187">
        <v>0.121263391</v>
      </c>
      <c r="J187">
        <v>877</v>
      </c>
      <c r="K187">
        <v>7232.1909589999996</v>
      </c>
      <c r="L187">
        <v>0.81</v>
      </c>
      <c r="M187">
        <v>1.6666667E-2</v>
      </c>
      <c r="N187">
        <v>0</v>
      </c>
      <c r="O187" t="s">
        <v>620</v>
      </c>
      <c r="P187">
        <f t="shared" si="20"/>
        <v>13.225</v>
      </c>
      <c r="Q187">
        <f t="shared" si="21"/>
        <v>2.4E-2</v>
      </c>
      <c r="R187">
        <f t="shared" si="22"/>
        <v>3.5999999999999997E-2</v>
      </c>
      <c r="S187">
        <f t="shared" si="23"/>
        <v>0.81</v>
      </c>
      <c r="T187">
        <f t="shared" si="24"/>
        <v>1.742777778</v>
      </c>
      <c r="U187">
        <f t="shared" si="25"/>
        <v>7.1222513090000001</v>
      </c>
      <c r="V187">
        <f t="shared" si="26"/>
        <v>4.15609756097561E-2</v>
      </c>
      <c r="W187">
        <f t="shared" si="27"/>
        <v>0.111</v>
      </c>
      <c r="X187">
        <f t="shared" si="28"/>
        <v>0.84399999999999997</v>
      </c>
      <c r="Y187">
        <v>225.1637197</v>
      </c>
      <c r="Z187">
        <v>0</v>
      </c>
      <c r="AA187">
        <v>62139</v>
      </c>
      <c r="AB187">
        <v>22178</v>
      </c>
      <c r="AC187">
        <v>2.5956119999999999E-2</v>
      </c>
      <c r="AD187">
        <v>0.81129361</v>
      </c>
      <c r="AF187">
        <v>13.225</v>
      </c>
      <c r="AG187">
        <v>2.4E-2</v>
      </c>
      <c r="AH187">
        <v>3.5999999999999997E-2</v>
      </c>
      <c r="AI187">
        <v>0.81</v>
      </c>
      <c r="AJ187">
        <v>1.742777778</v>
      </c>
      <c r="AK187">
        <v>7.1222513090000001</v>
      </c>
      <c r="AL187">
        <v>0</v>
      </c>
      <c r="AM187">
        <v>0.111</v>
      </c>
      <c r="AN187">
        <v>0.84399999999999997</v>
      </c>
    </row>
    <row r="188" spans="1:40">
      <c r="A188">
        <v>2256</v>
      </c>
      <c r="B188" t="s">
        <v>705</v>
      </c>
      <c r="C188" t="s">
        <v>696</v>
      </c>
      <c r="D188" t="s">
        <v>697</v>
      </c>
      <c r="E188">
        <v>306</v>
      </c>
      <c r="F188">
        <v>831</v>
      </c>
      <c r="G188">
        <v>89.058225849999999</v>
      </c>
      <c r="H188">
        <v>97</v>
      </c>
      <c r="I188">
        <v>0.139208366</v>
      </c>
      <c r="J188">
        <v>928</v>
      </c>
      <c r="K188">
        <v>6666.26602</v>
      </c>
      <c r="L188">
        <v>0.83</v>
      </c>
      <c r="M188">
        <v>0.24069478899999999</v>
      </c>
      <c r="N188">
        <v>0</v>
      </c>
      <c r="O188" t="s">
        <v>620</v>
      </c>
      <c r="P188">
        <f t="shared" si="20"/>
        <v>14.65954545</v>
      </c>
      <c r="Q188">
        <f t="shared" si="21"/>
        <v>2.5999999999999999E-2</v>
      </c>
      <c r="R188">
        <f t="shared" si="22"/>
        <v>3.5999999999999997E-2</v>
      </c>
      <c r="S188">
        <f t="shared" si="23"/>
        <v>0.83</v>
      </c>
      <c r="T188">
        <f t="shared" si="24"/>
        <v>2.6520833330000002</v>
      </c>
      <c r="U188">
        <f t="shared" si="25"/>
        <v>7.5810852710000001</v>
      </c>
      <c r="V188">
        <f t="shared" si="26"/>
        <v>0.03</v>
      </c>
      <c r="W188">
        <f t="shared" si="27"/>
        <v>0.09</v>
      </c>
      <c r="X188">
        <f t="shared" si="28"/>
        <v>0.88</v>
      </c>
      <c r="Y188">
        <v>52.708378230000001</v>
      </c>
      <c r="Z188">
        <v>0</v>
      </c>
      <c r="AA188">
        <v>152832</v>
      </c>
      <c r="AB188">
        <v>45686</v>
      </c>
      <c r="AC188">
        <v>2.1596295000000001E-2</v>
      </c>
      <c r="AD188">
        <v>0.84212384500000004</v>
      </c>
      <c r="AF188">
        <v>14.65954545</v>
      </c>
      <c r="AG188">
        <v>2.5999999999999999E-2</v>
      </c>
      <c r="AH188">
        <v>3.5999999999999997E-2</v>
      </c>
      <c r="AI188">
        <v>0.83</v>
      </c>
      <c r="AJ188">
        <v>2.6520833330000002</v>
      </c>
      <c r="AK188">
        <v>7.5810852710000001</v>
      </c>
      <c r="AL188">
        <v>0.03</v>
      </c>
      <c r="AM188">
        <v>0.09</v>
      </c>
      <c r="AN188">
        <v>0.88</v>
      </c>
    </row>
    <row r="189" spans="1:40">
      <c r="A189">
        <v>2257</v>
      </c>
      <c r="B189" t="s">
        <v>707</v>
      </c>
      <c r="C189" t="s">
        <v>696</v>
      </c>
      <c r="D189" t="s">
        <v>697</v>
      </c>
      <c r="E189">
        <v>600</v>
      </c>
      <c r="F189">
        <v>1957</v>
      </c>
      <c r="G189">
        <v>240.62910669999999</v>
      </c>
      <c r="H189">
        <v>193</v>
      </c>
      <c r="I189">
        <v>0.37613184900000002</v>
      </c>
      <c r="J189">
        <v>2150</v>
      </c>
      <c r="K189">
        <v>5716.0806929999999</v>
      </c>
      <c r="L189">
        <v>0.82</v>
      </c>
      <c r="M189">
        <v>0.24337957099999999</v>
      </c>
      <c r="N189">
        <v>0</v>
      </c>
      <c r="O189" t="s">
        <v>620</v>
      </c>
      <c r="P189">
        <f t="shared" si="20"/>
        <v>14.330553</v>
      </c>
      <c r="Q189">
        <f t="shared" si="21"/>
        <v>2.1999999999999999E-2</v>
      </c>
      <c r="R189">
        <f t="shared" si="22"/>
        <v>3.3000000000000002E-2</v>
      </c>
      <c r="S189">
        <f t="shared" si="23"/>
        <v>0.82</v>
      </c>
      <c r="T189">
        <f t="shared" si="24"/>
        <v>2.4655</v>
      </c>
      <c r="U189">
        <f t="shared" si="25"/>
        <v>8.8852231239999995</v>
      </c>
      <c r="V189">
        <f t="shared" si="26"/>
        <v>0.04</v>
      </c>
      <c r="W189">
        <f t="shared" si="27"/>
        <v>8.4000000000000005E-2</v>
      </c>
      <c r="X189">
        <f t="shared" si="28"/>
        <v>0.86799999999999999</v>
      </c>
      <c r="Y189">
        <v>75.263322729999999</v>
      </c>
      <c r="Z189">
        <v>0</v>
      </c>
      <c r="AA189">
        <v>21149</v>
      </c>
      <c r="AB189">
        <v>6968</v>
      </c>
      <c r="AC189">
        <v>1.6645858999999999E-2</v>
      </c>
      <c r="AD189">
        <v>0.89069218999999999</v>
      </c>
      <c r="AF189">
        <v>14.330553</v>
      </c>
      <c r="AG189">
        <v>2.1999999999999999E-2</v>
      </c>
      <c r="AH189">
        <v>3.3000000000000002E-2</v>
      </c>
      <c r="AI189">
        <v>0.82</v>
      </c>
      <c r="AJ189">
        <v>2.4655</v>
      </c>
      <c r="AK189">
        <v>8.8852231239999995</v>
      </c>
      <c r="AL189">
        <v>0.04</v>
      </c>
      <c r="AM189">
        <v>8.4000000000000005E-2</v>
      </c>
      <c r="AN189">
        <v>0.86799999999999999</v>
      </c>
    </row>
    <row r="190" spans="1:40">
      <c r="A190">
        <v>2258</v>
      </c>
      <c r="B190" t="s">
        <v>708</v>
      </c>
      <c r="C190" t="s">
        <v>696</v>
      </c>
      <c r="D190" t="s">
        <v>697</v>
      </c>
      <c r="E190">
        <v>328</v>
      </c>
      <c r="F190">
        <v>1136</v>
      </c>
      <c r="G190">
        <v>63.114748149999997</v>
      </c>
      <c r="H190">
        <v>97</v>
      </c>
      <c r="I190">
        <v>9.8656050999999995E-2</v>
      </c>
      <c r="J190">
        <v>1233</v>
      </c>
      <c r="K190">
        <v>12497.96629</v>
      </c>
      <c r="L190">
        <v>0.80100000000000005</v>
      </c>
      <c r="M190">
        <v>0.22823529400000001</v>
      </c>
      <c r="N190">
        <v>0</v>
      </c>
      <c r="O190" t="s">
        <v>620</v>
      </c>
      <c r="P190">
        <f t="shared" si="20"/>
        <v>9.2446666670000006</v>
      </c>
      <c r="Q190">
        <f t="shared" si="21"/>
        <v>4.7E-2</v>
      </c>
      <c r="R190">
        <f t="shared" si="22"/>
        <v>1.4999999999999999E-2</v>
      </c>
      <c r="S190">
        <f t="shared" si="23"/>
        <v>0.80100000000000005</v>
      </c>
      <c r="T190">
        <f t="shared" si="24"/>
        <v>2.431666667</v>
      </c>
      <c r="U190">
        <f t="shared" si="25"/>
        <v>5.7562439019999996</v>
      </c>
      <c r="V190">
        <f t="shared" si="26"/>
        <v>4.5999999999999999E-2</v>
      </c>
      <c r="W190">
        <f t="shared" si="27"/>
        <v>0.19500000000000001</v>
      </c>
      <c r="X190">
        <f t="shared" si="28"/>
        <v>0.76300000000000001</v>
      </c>
      <c r="Y190">
        <v>118.2124658</v>
      </c>
      <c r="Z190">
        <v>0</v>
      </c>
      <c r="AA190">
        <v>14998</v>
      </c>
      <c r="AB190">
        <v>4485</v>
      </c>
      <c r="AC190">
        <v>2.8516413000000001E-2</v>
      </c>
      <c r="AD190">
        <v>0.81835686799999996</v>
      </c>
      <c r="AF190">
        <v>9.2446666670000006</v>
      </c>
      <c r="AG190">
        <v>4.7E-2</v>
      </c>
      <c r="AH190">
        <v>1.4999999999999999E-2</v>
      </c>
      <c r="AI190">
        <v>0.80100000000000005</v>
      </c>
      <c r="AJ190">
        <v>2.431666667</v>
      </c>
      <c r="AK190">
        <v>5.7562439019999996</v>
      </c>
      <c r="AL190">
        <v>0</v>
      </c>
      <c r="AM190">
        <v>0.19500000000000001</v>
      </c>
      <c r="AN190">
        <v>0.76300000000000001</v>
      </c>
    </row>
    <row r="191" spans="1:40">
      <c r="A191">
        <v>2259</v>
      </c>
      <c r="B191" t="s">
        <v>705</v>
      </c>
      <c r="C191" t="s">
        <v>696</v>
      </c>
      <c r="D191" t="s">
        <v>697</v>
      </c>
      <c r="E191">
        <v>774</v>
      </c>
      <c r="F191">
        <v>2688</v>
      </c>
      <c r="G191">
        <v>35.49099271</v>
      </c>
      <c r="H191">
        <v>128</v>
      </c>
      <c r="I191">
        <v>5.5477371999999997E-2</v>
      </c>
      <c r="J191">
        <v>2816</v>
      </c>
      <c r="K191">
        <v>50759.433949999999</v>
      </c>
      <c r="L191">
        <v>0.78800000000000003</v>
      </c>
      <c r="M191">
        <v>0.14190687399999999</v>
      </c>
      <c r="N191">
        <v>0</v>
      </c>
      <c r="O191" t="s">
        <v>620</v>
      </c>
      <c r="P191">
        <f t="shared" si="20"/>
        <v>13.0017551</v>
      </c>
      <c r="Q191">
        <f t="shared" si="21"/>
        <v>3.3000000000000002E-2</v>
      </c>
      <c r="R191">
        <f t="shared" si="22"/>
        <v>2.5999999999999999E-2</v>
      </c>
      <c r="S191">
        <f t="shared" si="23"/>
        <v>0.78800000000000003</v>
      </c>
      <c r="T191">
        <f t="shared" si="24"/>
        <v>2.303658537</v>
      </c>
      <c r="U191">
        <f t="shared" si="25"/>
        <v>6.9375637860000001</v>
      </c>
      <c r="V191">
        <f t="shared" si="26"/>
        <v>5.3999999999999999E-2</v>
      </c>
      <c r="W191">
        <f t="shared" si="27"/>
        <v>0.111</v>
      </c>
      <c r="X191">
        <f t="shared" si="28"/>
        <v>0.78</v>
      </c>
      <c r="Y191">
        <v>96.112879179999993</v>
      </c>
      <c r="Z191">
        <v>0</v>
      </c>
      <c r="AA191">
        <v>152832</v>
      </c>
      <c r="AB191">
        <v>45686</v>
      </c>
      <c r="AC191">
        <v>2.1596295000000001E-2</v>
      </c>
      <c r="AD191">
        <v>0.84212384500000004</v>
      </c>
      <c r="AF191">
        <v>13.0017551</v>
      </c>
      <c r="AG191">
        <v>3.3000000000000002E-2</v>
      </c>
      <c r="AH191">
        <v>2.5999999999999999E-2</v>
      </c>
      <c r="AI191">
        <v>0.78800000000000003</v>
      </c>
      <c r="AJ191">
        <v>2.303658537</v>
      </c>
      <c r="AK191">
        <v>6.9375637860000001</v>
      </c>
      <c r="AL191">
        <v>5.3999999999999999E-2</v>
      </c>
      <c r="AM191">
        <v>0.111</v>
      </c>
      <c r="AN191">
        <v>0.78</v>
      </c>
    </row>
    <row r="192" spans="1:40">
      <c r="A192">
        <v>2260</v>
      </c>
      <c r="B192" t="s">
        <v>705</v>
      </c>
      <c r="C192" t="s">
        <v>696</v>
      </c>
      <c r="D192" t="s">
        <v>697</v>
      </c>
      <c r="E192">
        <v>457</v>
      </c>
      <c r="F192">
        <v>1588</v>
      </c>
      <c r="G192">
        <v>66.160255539999994</v>
      </c>
      <c r="H192">
        <v>2</v>
      </c>
      <c r="I192">
        <v>0.103412646</v>
      </c>
      <c r="J192">
        <v>1590</v>
      </c>
      <c r="K192">
        <v>15375.29559</v>
      </c>
      <c r="L192">
        <v>0.81499999999999995</v>
      </c>
      <c r="M192">
        <v>4.3572979999999999E-3</v>
      </c>
      <c r="N192">
        <v>0</v>
      </c>
      <c r="O192" t="s">
        <v>620</v>
      </c>
      <c r="P192">
        <f t="shared" si="20"/>
        <v>14.1559633</v>
      </c>
      <c r="Q192">
        <f t="shared" si="21"/>
        <v>3.9E-2</v>
      </c>
      <c r="R192">
        <f t="shared" si="22"/>
        <v>2.1000000000000001E-2</v>
      </c>
      <c r="S192">
        <f t="shared" si="23"/>
        <v>0.81499999999999995</v>
      </c>
      <c r="T192">
        <f t="shared" si="24"/>
        <v>1.005625</v>
      </c>
      <c r="U192">
        <f t="shared" si="25"/>
        <v>7.0852980130000001</v>
      </c>
      <c r="V192">
        <f t="shared" si="26"/>
        <v>3.7999999999999999E-2</v>
      </c>
      <c r="W192">
        <f t="shared" si="27"/>
        <v>8.5000000000000006E-2</v>
      </c>
      <c r="X192">
        <f t="shared" si="28"/>
        <v>0.83799999999999997</v>
      </c>
      <c r="Y192">
        <v>77.552386679999998</v>
      </c>
      <c r="Z192">
        <v>0</v>
      </c>
      <c r="AA192">
        <v>152832</v>
      </c>
      <c r="AB192">
        <v>45686</v>
      </c>
      <c r="AC192">
        <v>2.1596295000000001E-2</v>
      </c>
      <c r="AD192">
        <v>0.84212384500000004</v>
      </c>
      <c r="AF192">
        <v>14.1559633</v>
      </c>
      <c r="AG192">
        <v>3.9E-2</v>
      </c>
      <c r="AH192">
        <v>2.1000000000000001E-2</v>
      </c>
      <c r="AI192">
        <v>0.81499999999999995</v>
      </c>
      <c r="AJ192">
        <v>1.005625</v>
      </c>
      <c r="AK192">
        <v>7.0852980130000001</v>
      </c>
      <c r="AL192">
        <v>3.7999999999999999E-2</v>
      </c>
      <c r="AM192">
        <v>8.5000000000000006E-2</v>
      </c>
      <c r="AN192">
        <v>0.83799999999999997</v>
      </c>
    </row>
    <row r="193" spans="1:40">
      <c r="A193">
        <v>2261</v>
      </c>
      <c r="B193" t="s">
        <v>705</v>
      </c>
      <c r="C193" t="s">
        <v>696</v>
      </c>
      <c r="D193" t="s">
        <v>697</v>
      </c>
      <c r="E193">
        <v>671</v>
      </c>
      <c r="F193">
        <v>2817</v>
      </c>
      <c r="G193">
        <v>108.61319159999999</v>
      </c>
      <c r="H193">
        <v>178</v>
      </c>
      <c r="I193">
        <v>0.16977408699999999</v>
      </c>
      <c r="J193">
        <v>2995</v>
      </c>
      <c r="K193">
        <v>17641.0903</v>
      </c>
      <c r="L193">
        <v>0.83</v>
      </c>
      <c r="M193">
        <v>0.20965842200000001</v>
      </c>
      <c r="N193">
        <v>0</v>
      </c>
      <c r="O193" t="s">
        <v>620</v>
      </c>
      <c r="P193">
        <f t="shared" si="20"/>
        <v>12.637980300000001</v>
      </c>
      <c r="Q193">
        <f t="shared" si="21"/>
        <v>1.0999999999999999E-2</v>
      </c>
      <c r="R193">
        <f t="shared" si="22"/>
        <v>3.1E-2</v>
      </c>
      <c r="S193">
        <f t="shared" si="23"/>
        <v>0.83</v>
      </c>
      <c r="T193">
        <f t="shared" si="24"/>
        <v>2.0777777780000002</v>
      </c>
      <c r="U193">
        <f t="shared" si="25"/>
        <v>6.2084767279999999</v>
      </c>
      <c r="V193">
        <f t="shared" si="26"/>
        <v>2.3E-2</v>
      </c>
      <c r="W193">
        <f t="shared" si="27"/>
        <v>4.4999999999999998E-2</v>
      </c>
      <c r="X193">
        <f t="shared" si="28"/>
        <v>0.91900000000000004</v>
      </c>
      <c r="Y193">
        <v>84.495345290000003</v>
      </c>
      <c r="Z193">
        <v>0</v>
      </c>
      <c r="AA193">
        <v>152832</v>
      </c>
      <c r="AB193">
        <v>45686</v>
      </c>
      <c r="AC193">
        <v>2.1596295000000001E-2</v>
      </c>
      <c r="AD193">
        <v>0.84212384500000004</v>
      </c>
      <c r="AF193">
        <v>12.637980300000001</v>
      </c>
      <c r="AG193">
        <v>1.0999999999999999E-2</v>
      </c>
      <c r="AH193">
        <v>3.1E-2</v>
      </c>
      <c r="AI193">
        <v>0.83</v>
      </c>
      <c r="AJ193">
        <v>2.0777777780000002</v>
      </c>
      <c r="AK193">
        <v>6.2084767279999999</v>
      </c>
      <c r="AL193">
        <v>2.3E-2</v>
      </c>
      <c r="AM193">
        <v>4.4999999999999998E-2</v>
      </c>
      <c r="AN193">
        <v>0.91900000000000004</v>
      </c>
    </row>
    <row r="194" spans="1:40">
      <c r="A194">
        <v>2262</v>
      </c>
      <c r="B194" t="s">
        <v>695</v>
      </c>
      <c r="C194" t="s">
        <v>696</v>
      </c>
      <c r="D194" t="s">
        <v>697</v>
      </c>
      <c r="E194">
        <v>361</v>
      </c>
      <c r="F194">
        <v>1048</v>
      </c>
      <c r="G194">
        <v>104.2212959</v>
      </c>
      <c r="H194">
        <v>0</v>
      </c>
      <c r="I194">
        <v>0.16291146200000001</v>
      </c>
      <c r="J194">
        <v>1048</v>
      </c>
      <c r="K194">
        <v>6432.9420849999997</v>
      </c>
      <c r="L194">
        <v>0.82199999999999995</v>
      </c>
      <c r="M194">
        <v>0</v>
      </c>
      <c r="N194">
        <v>0</v>
      </c>
      <c r="O194" t="s">
        <v>620</v>
      </c>
      <c r="P194">
        <f t="shared" si="20"/>
        <v>14.43336538</v>
      </c>
      <c r="Q194">
        <f t="shared" si="21"/>
        <v>2.9000000000000001E-2</v>
      </c>
      <c r="R194">
        <f t="shared" si="22"/>
        <v>1.7999999999999999E-2</v>
      </c>
      <c r="S194">
        <f t="shared" si="23"/>
        <v>0.82199999999999995</v>
      </c>
      <c r="T194">
        <f t="shared" si="24"/>
        <v>1.6225000000000001</v>
      </c>
      <c r="U194">
        <f t="shared" si="25"/>
        <v>8.6590873790000007</v>
      </c>
      <c r="V194">
        <f t="shared" si="26"/>
        <v>4.15609756097561E-2</v>
      </c>
      <c r="W194">
        <f t="shared" si="27"/>
        <v>0.126</v>
      </c>
      <c r="X194">
        <f t="shared" si="28"/>
        <v>0.874</v>
      </c>
      <c r="Y194">
        <v>114.5344432</v>
      </c>
      <c r="Z194">
        <v>0</v>
      </c>
      <c r="AA194">
        <v>62139</v>
      </c>
      <c r="AB194">
        <v>22178</v>
      </c>
      <c r="AC194">
        <v>2.5956119999999999E-2</v>
      </c>
      <c r="AD194">
        <v>0.81129361</v>
      </c>
      <c r="AF194">
        <v>14.43336538</v>
      </c>
      <c r="AG194">
        <v>2.9000000000000001E-2</v>
      </c>
      <c r="AH194">
        <v>1.7999999999999999E-2</v>
      </c>
      <c r="AI194">
        <v>0.82199999999999995</v>
      </c>
      <c r="AJ194">
        <v>1.6225000000000001</v>
      </c>
      <c r="AK194">
        <v>8.6590873790000007</v>
      </c>
      <c r="AL194">
        <v>0</v>
      </c>
      <c r="AM194">
        <v>0.126</v>
      </c>
      <c r="AN194">
        <v>0.874</v>
      </c>
    </row>
    <row r="195" spans="1:40">
      <c r="A195">
        <v>2263</v>
      </c>
      <c r="B195" t="s">
        <v>702</v>
      </c>
      <c r="C195" t="s">
        <v>696</v>
      </c>
      <c r="D195" t="s">
        <v>697</v>
      </c>
      <c r="E195">
        <v>202</v>
      </c>
      <c r="F195">
        <v>691</v>
      </c>
      <c r="G195">
        <v>62.597476999999998</v>
      </c>
      <c r="H195">
        <v>278</v>
      </c>
      <c r="I195">
        <v>9.7849094999999997E-2</v>
      </c>
      <c r="J195">
        <v>969</v>
      </c>
      <c r="K195">
        <v>9903.0042130000002</v>
      </c>
      <c r="L195">
        <v>0.78800000000000003</v>
      </c>
      <c r="M195">
        <v>0.57916666699999997</v>
      </c>
      <c r="N195">
        <v>0</v>
      </c>
      <c r="O195" t="s">
        <v>613</v>
      </c>
      <c r="P195">
        <f t="shared" si="20"/>
        <v>11.935757580000001</v>
      </c>
      <c r="Q195">
        <f t="shared" si="21"/>
        <v>5.6000000000000001E-2</v>
      </c>
      <c r="R195">
        <f t="shared" si="22"/>
        <v>1.0999999999999999E-2</v>
      </c>
      <c r="S195">
        <f t="shared" si="23"/>
        <v>0.78800000000000003</v>
      </c>
      <c r="T195">
        <f t="shared" si="24"/>
        <v>1.33</v>
      </c>
      <c r="U195">
        <f t="shared" si="25"/>
        <v>6.9398348619999997</v>
      </c>
      <c r="V195">
        <f t="shared" si="26"/>
        <v>1.4999999999999999E-2</v>
      </c>
      <c r="W195">
        <f t="shared" si="27"/>
        <v>0.183</v>
      </c>
      <c r="X195">
        <f t="shared" si="28"/>
        <v>0.75600000000000001</v>
      </c>
      <c r="Y195">
        <v>98.493180190000004</v>
      </c>
      <c r="Z195">
        <v>0</v>
      </c>
      <c r="AA195">
        <v>90778</v>
      </c>
      <c r="AB195">
        <v>31662</v>
      </c>
      <c r="AC195">
        <v>3.1753482E-2</v>
      </c>
      <c r="AD195">
        <v>0.82960131100000001</v>
      </c>
      <c r="AF195">
        <v>11.935757580000001</v>
      </c>
      <c r="AG195">
        <v>5.6000000000000001E-2</v>
      </c>
      <c r="AH195">
        <v>1.0999999999999999E-2</v>
      </c>
      <c r="AI195">
        <v>0.78800000000000003</v>
      </c>
      <c r="AJ195">
        <v>1.33</v>
      </c>
      <c r="AK195">
        <v>6.9398348619999997</v>
      </c>
      <c r="AL195">
        <v>1.4999999999999999E-2</v>
      </c>
      <c r="AM195">
        <v>0.183</v>
      </c>
      <c r="AN195">
        <v>0.75600000000000001</v>
      </c>
    </row>
    <row r="196" spans="1:40">
      <c r="A196">
        <v>2264</v>
      </c>
      <c r="B196" t="s">
        <v>702</v>
      </c>
      <c r="C196" t="s">
        <v>696</v>
      </c>
      <c r="D196" t="s">
        <v>697</v>
      </c>
      <c r="E196">
        <v>378</v>
      </c>
      <c r="F196">
        <v>854</v>
      </c>
      <c r="G196">
        <v>61.576707020000001</v>
      </c>
      <c r="H196">
        <v>1074</v>
      </c>
      <c r="I196">
        <v>9.6258931000000006E-2</v>
      </c>
      <c r="J196">
        <v>1928</v>
      </c>
      <c r="K196">
        <v>20029.310320000001</v>
      </c>
      <c r="L196">
        <v>0.77300000000000002</v>
      </c>
      <c r="M196">
        <v>0.73966942099999999</v>
      </c>
      <c r="N196">
        <v>1</v>
      </c>
      <c r="O196" t="s">
        <v>613</v>
      </c>
      <c r="P196">
        <f t="shared" si="20"/>
        <v>12.281767439999999</v>
      </c>
      <c r="Q196">
        <f t="shared" si="21"/>
        <v>5.6000000000000001E-2</v>
      </c>
      <c r="R196">
        <f t="shared" si="22"/>
        <v>2.1000000000000001E-2</v>
      </c>
      <c r="S196">
        <f t="shared" si="23"/>
        <v>0.77300000000000002</v>
      </c>
      <c r="T196">
        <f t="shared" si="24"/>
        <v>1.9239473680000001</v>
      </c>
      <c r="U196">
        <f t="shared" si="25"/>
        <v>7.2826617100000002</v>
      </c>
      <c r="V196">
        <f t="shared" si="26"/>
        <v>4.4999999999999998E-2</v>
      </c>
      <c r="W196">
        <f t="shared" si="27"/>
        <v>0.17599999999999999</v>
      </c>
      <c r="X196">
        <f t="shared" si="28"/>
        <v>0.74399999999999999</v>
      </c>
      <c r="Y196">
        <v>93.59154418</v>
      </c>
      <c r="Z196">
        <v>0</v>
      </c>
      <c r="AA196">
        <v>90778</v>
      </c>
      <c r="AB196">
        <v>31662</v>
      </c>
      <c r="AC196">
        <v>3.1753482E-2</v>
      </c>
      <c r="AD196">
        <v>0.82960131100000001</v>
      </c>
      <c r="AF196">
        <v>12.281767439999999</v>
      </c>
      <c r="AG196">
        <v>5.6000000000000001E-2</v>
      </c>
      <c r="AH196">
        <v>2.1000000000000001E-2</v>
      </c>
      <c r="AI196">
        <v>0.77300000000000002</v>
      </c>
      <c r="AJ196">
        <v>1.9239473680000001</v>
      </c>
      <c r="AK196">
        <v>7.2826617100000002</v>
      </c>
      <c r="AL196">
        <v>4.4999999999999998E-2</v>
      </c>
      <c r="AM196">
        <v>0.17599999999999999</v>
      </c>
      <c r="AN196">
        <v>0.74399999999999999</v>
      </c>
    </row>
    <row r="197" spans="1:40">
      <c r="A197">
        <v>2265</v>
      </c>
      <c r="B197" t="s">
        <v>702</v>
      </c>
      <c r="C197" t="s">
        <v>696</v>
      </c>
      <c r="D197" t="s">
        <v>697</v>
      </c>
      <c r="E197">
        <v>765</v>
      </c>
      <c r="F197">
        <v>2614</v>
      </c>
      <c r="G197">
        <v>156.26690830000001</v>
      </c>
      <c r="H197">
        <v>203</v>
      </c>
      <c r="I197">
        <v>0.244258209</v>
      </c>
      <c r="J197">
        <v>2817</v>
      </c>
      <c r="K197">
        <v>11532.877490000001</v>
      </c>
      <c r="L197">
        <v>0.753</v>
      </c>
      <c r="M197">
        <v>0.209710744</v>
      </c>
      <c r="N197">
        <v>1</v>
      </c>
      <c r="O197" t="s">
        <v>613</v>
      </c>
      <c r="P197">
        <f t="shared" si="20"/>
        <v>10.068442210000001</v>
      </c>
      <c r="Q197">
        <f t="shared" si="21"/>
        <v>4.8000000000000001E-2</v>
      </c>
      <c r="R197">
        <f t="shared" si="22"/>
        <v>2.7E-2</v>
      </c>
      <c r="S197">
        <f t="shared" si="23"/>
        <v>0.753</v>
      </c>
      <c r="T197">
        <f t="shared" si="24"/>
        <v>1.4635714289999999</v>
      </c>
      <c r="U197">
        <f t="shared" si="25"/>
        <v>5.9594273500000003</v>
      </c>
      <c r="V197">
        <f t="shared" si="26"/>
        <v>4.9000000000000002E-2</v>
      </c>
      <c r="W197">
        <f t="shared" si="27"/>
        <v>0.14399999999999999</v>
      </c>
      <c r="X197">
        <f t="shared" si="28"/>
        <v>0.69799999999999995</v>
      </c>
      <c r="Y197">
        <v>132.08499420000001</v>
      </c>
      <c r="Z197">
        <v>0</v>
      </c>
      <c r="AA197">
        <v>90778</v>
      </c>
      <c r="AB197">
        <v>31662</v>
      </c>
      <c r="AC197">
        <v>3.1753482E-2</v>
      </c>
      <c r="AD197">
        <v>0.82960131100000001</v>
      </c>
      <c r="AF197">
        <v>10.068442210000001</v>
      </c>
      <c r="AG197">
        <v>4.8000000000000001E-2</v>
      </c>
      <c r="AH197">
        <v>2.7E-2</v>
      </c>
      <c r="AI197">
        <v>0.753</v>
      </c>
      <c r="AJ197">
        <v>1.4635714289999999</v>
      </c>
      <c r="AK197">
        <v>5.9594273500000003</v>
      </c>
      <c r="AL197">
        <v>4.9000000000000002E-2</v>
      </c>
      <c r="AM197">
        <v>0.14399999999999999</v>
      </c>
      <c r="AN197">
        <v>0.69799999999999995</v>
      </c>
    </row>
    <row r="198" spans="1:40">
      <c r="A198">
        <v>2266</v>
      </c>
      <c r="B198" t="s">
        <v>702</v>
      </c>
      <c r="C198" t="s">
        <v>696</v>
      </c>
      <c r="D198" t="s">
        <v>697</v>
      </c>
      <c r="E198">
        <v>383</v>
      </c>
      <c r="F198">
        <v>1351</v>
      </c>
      <c r="G198">
        <v>39.605675249999997</v>
      </c>
      <c r="H198">
        <v>338</v>
      </c>
      <c r="I198">
        <v>6.1907099E-2</v>
      </c>
      <c r="J198">
        <v>1689</v>
      </c>
      <c r="K198">
        <v>27282.816139999999</v>
      </c>
      <c r="L198">
        <v>0.76700000000000002</v>
      </c>
      <c r="M198">
        <v>0.46879334299999997</v>
      </c>
      <c r="N198">
        <v>1</v>
      </c>
      <c r="O198" t="s">
        <v>613</v>
      </c>
      <c r="P198">
        <f t="shared" si="20"/>
        <v>11.7190625</v>
      </c>
      <c r="Q198">
        <f t="shared" si="21"/>
        <v>6.9000000000000006E-2</v>
      </c>
      <c r="R198">
        <f t="shared" si="22"/>
        <v>2.3E-2</v>
      </c>
      <c r="S198">
        <f t="shared" si="23"/>
        <v>0.76700000000000002</v>
      </c>
      <c r="T198">
        <f t="shared" si="24"/>
        <v>2.0063636360000001</v>
      </c>
      <c r="U198">
        <f t="shared" si="25"/>
        <v>6.6184335660000002</v>
      </c>
      <c r="V198">
        <f t="shared" si="26"/>
        <v>8.5999999999999993E-2</v>
      </c>
      <c r="W198">
        <f t="shared" si="27"/>
        <v>0.16200000000000001</v>
      </c>
      <c r="X198">
        <f t="shared" si="28"/>
        <v>0.69199999999999995</v>
      </c>
      <c r="Y198">
        <v>129.9993016</v>
      </c>
      <c r="Z198">
        <v>0</v>
      </c>
      <c r="AA198">
        <v>90778</v>
      </c>
      <c r="AB198">
        <v>31662</v>
      </c>
      <c r="AC198">
        <v>3.1753482E-2</v>
      </c>
      <c r="AD198">
        <v>0.82960131100000001</v>
      </c>
      <c r="AF198">
        <v>11.7190625</v>
      </c>
      <c r="AG198">
        <v>6.9000000000000006E-2</v>
      </c>
      <c r="AH198">
        <v>2.3E-2</v>
      </c>
      <c r="AI198">
        <v>0.76700000000000002</v>
      </c>
      <c r="AJ198">
        <v>2.0063636360000001</v>
      </c>
      <c r="AK198">
        <v>6.6184335660000002</v>
      </c>
      <c r="AL198">
        <v>8.5999999999999993E-2</v>
      </c>
      <c r="AM198">
        <v>0.16200000000000001</v>
      </c>
      <c r="AN198">
        <v>0.69199999999999995</v>
      </c>
    </row>
    <row r="199" spans="1:40">
      <c r="A199">
        <v>2267</v>
      </c>
      <c r="B199" t="s">
        <v>702</v>
      </c>
      <c r="C199" t="s">
        <v>696</v>
      </c>
      <c r="D199" t="s">
        <v>697</v>
      </c>
      <c r="E199">
        <v>1169</v>
      </c>
      <c r="F199">
        <v>2734</v>
      </c>
      <c r="G199">
        <v>129.87501270000001</v>
      </c>
      <c r="H199">
        <v>744</v>
      </c>
      <c r="I199">
        <v>0.203006461</v>
      </c>
      <c r="J199">
        <v>3478</v>
      </c>
      <c r="K199">
        <v>17132.459640000001</v>
      </c>
      <c r="L199">
        <v>0.79600000000000004</v>
      </c>
      <c r="M199">
        <v>0.38891793000000002</v>
      </c>
      <c r="N199">
        <v>0</v>
      </c>
      <c r="O199" t="s">
        <v>613</v>
      </c>
      <c r="P199">
        <f t="shared" si="20"/>
        <v>10.49017094</v>
      </c>
      <c r="Q199">
        <f t="shared" si="21"/>
        <v>3.5999999999999997E-2</v>
      </c>
      <c r="R199">
        <f t="shared" si="22"/>
        <v>0.02</v>
      </c>
      <c r="S199">
        <f t="shared" si="23"/>
        <v>0.79600000000000004</v>
      </c>
      <c r="T199">
        <f t="shared" si="24"/>
        <v>1.8803703700000001</v>
      </c>
      <c r="U199">
        <f t="shared" si="25"/>
        <v>6.1564575469999996</v>
      </c>
      <c r="V199">
        <f t="shared" si="26"/>
        <v>5.7000000000000002E-2</v>
      </c>
      <c r="W199">
        <f t="shared" si="27"/>
        <v>0.115</v>
      </c>
      <c r="X199">
        <f t="shared" si="28"/>
        <v>0.77500000000000002</v>
      </c>
      <c r="Y199">
        <v>222.98945610000001</v>
      </c>
      <c r="Z199">
        <v>0</v>
      </c>
      <c r="AA199">
        <v>90778</v>
      </c>
      <c r="AB199">
        <v>31662</v>
      </c>
      <c r="AC199">
        <v>3.1753482E-2</v>
      </c>
      <c r="AD199">
        <v>0.82960131100000001</v>
      </c>
      <c r="AF199">
        <v>10.49017094</v>
      </c>
      <c r="AG199">
        <v>3.5999999999999997E-2</v>
      </c>
      <c r="AH199">
        <v>0.02</v>
      </c>
      <c r="AI199">
        <v>0.79600000000000004</v>
      </c>
      <c r="AJ199">
        <v>1.8803703700000001</v>
      </c>
      <c r="AK199">
        <v>6.1564575469999996</v>
      </c>
      <c r="AL199">
        <v>5.7000000000000002E-2</v>
      </c>
      <c r="AM199">
        <v>0.115</v>
      </c>
      <c r="AN199">
        <v>0.77500000000000002</v>
      </c>
    </row>
    <row r="200" spans="1:40">
      <c r="A200">
        <v>2268</v>
      </c>
      <c r="B200" t="s">
        <v>702</v>
      </c>
      <c r="C200" t="s">
        <v>696</v>
      </c>
      <c r="D200" t="s">
        <v>697</v>
      </c>
      <c r="E200">
        <v>916</v>
      </c>
      <c r="F200">
        <v>2498</v>
      </c>
      <c r="G200">
        <v>90.669569019999997</v>
      </c>
      <c r="H200">
        <v>211</v>
      </c>
      <c r="I200">
        <v>0.14172494699999999</v>
      </c>
      <c r="J200">
        <v>2709</v>
      </c>
      <c r="K200">
        <v>19114.489420000002</v>
      </c>
      <c r="L200">
        <v>0.85</v>
      </c>
      <c r="M200">
        <v>0.18722271500000001</v>
      </c>
      <c r="N200">
        <v>1</v>
      </c>
      <c r="O200" t="s">
        <v>620</v>
      </c>
      <c r="P200">
        <f t="shared" si="20"/>
        <v>12.94423868</v>
      </c>
      <c r="Q200">
        <f t="shared" si="21"/>
        <v>0.02</v>
      </c>
      <c r="R200">
        <f t="shared" si="22"/>
        <v>1.4E-2</v>
      </c>
      <c r="S200">
        <f t="shared" si="23"/>
        <v>0.85</v>
      </c>
      <c r="T200">
        <f t="shared" si="24"/>
        <v>2.5962499999999999</v>
      </c>
      <c r="U200">
        <f t="shared" si="25"/>
        <v>6.4861246420000001</v>
      </c>
      <c r="V200">
        <f t="shared" si="26"/>
        <v>3.9E-2</v>
      </c>
      <c r="W200">
        <f t="shared" si="27"/>
        <v>6.8000000000000005E-2</v>
      </c>
      <c r="X200">
        <f t="shared" si="28"/>
        <v>0.871</v>
      </c>
      <c r="Y200">
        <v>159.93059769999999</v>
      </c>
      <c r="Z200">
        <v>0</v>
      </c>
      <c r="AA200">
        <v>90778</v>
      </c>
      <c r="AB200">
        <v>31662</v>
      </c>
      <c r="AC200">
        <v>3.1753482E-2</v>
      </c>
      <c r="AD200">
        <v>0.82960131100000001</v>
      </c>
      <c r="AF200">
        <v>12.94423868</v>
      </c>
      <c r="AG200">
        <v>0.02</v>
      </c>
      <c r="AH200">
        <v>1.4E-2</v>
      </c>
      <c r="AI200">
        <v>0.85</v>
      </c>
      <c r="AJ200">
        <v>2.5962499999999999</v>
      </c>
      <c r="AK200">
        <v>6.4861246420000001</v>
      </c>
      <c r="AL200">
        <v>3.9E-2</v>
      </c>
      <c r="AM200">
        <v>6.8000000000000005E-2</v>
      </c>
      <c r="AN200">
        <v>0.871</v>
      </c>
    </row>
    <row r="201" spans="1:40">
      <c r="A201">
        <v>2269</v>
      </c>
      <c r="B201" t="s">
        <v>689</v>
      </c>
      <c r="C201" t="s">
        <v>687</v>
      </c>
      <c r="D201" t="s">
        <v>688</v>
      </c>
      <c r="E201">
        <v>635</v>
      </c>
      <c r="F201">
        <v>1514</v>
      </c>
      <c r="G201">
        <v>60.999531609999998</v>
      </c>
      <c r="H201">
        <v>396</v>
      </c>
      <c r="I201">
        <v>9.5348271999999998E-2</v>
      </c>
      <c r="J201">
        <v>1910</v>
      </c>
      <c r="K201">
        <v>20031.826059999999</v>
      </c>
      <c r="L201">
        <v>0.66600000000000004</v>
      </c>
      <c r="M201">
        <v>0.38409311299999999</v>
      </c>
      <c r="N201">
        <v>0</v>
      </c>
      <c r="O201" t="s">
        <v>613</v>
      </c>
      <c r="P201">
        <f t="shared" si="20"/>
        <v>9.135241379</v>
      </c>
      <c r="Q201">
        <f t="shared" si="21"/>
        <v>8.2000000000000003E-2</v>
      </c>
      <c r="R201">
        <f t="shared" si="22"/>
        <v>1.6E-2</v>
      </c>
      <c r="S201">
        <f t="shared" si="23"/>
        <v>0.66600000000000004</v>
      </c>
      <c r="T201">
        <f t="shared" si="24"/>
        <v>2.0880000000000001</v>
      </c>
      <c r="U201">
        <f t="shared" si="25"/>
        <v>5.7223774509999998</v>
      </c>
      <c r="V201">
        <f t="shared" si="26"/>
        <v>1.9E-2</v>
      </c>
      <c r="W201">
        <f t="shared" si="27"/>
        <v>0.182</v>
      </c>
      <c r="X201">
        <f t="shared" si="28"/>
        <v>0.69399999999999995</v>
      </c>
      <c r="Y201">
        <v>157.4047802</v>
      </c>
      <c r="Z201">
        <v>0</v>
      </c>
      <c r="AA201">
        <v>454184</v>
      </c>
      <c r="AB201">
        <v>170596</v>
      </c>
      <c r="AC201">
        <v>6.5715274000000004E-2</v>
      </c>
      <c r="AD201">
        <v>0.72549415100000003</v>
      </c>
      <c r="AF201">
        <v>9.135241379</v>
      </c>
      <c r="AG201">
        <v>8.2000000000000003E-2</v>
      </c>
      <c r="AH201">
        <v>1.6E-2</v>
      </c>
      <c r="AI201">
        <v>0.66600000000000004</v>
      </c>
      <c r="AJ201">
        <v>2.0880000000000001</v>
      </c>
      <c r="AK201">
        <v>5.7223774509999998</v>
      </c>
      <c r="AL201">
        <v>1.9E-2</v>
      </c>
      <c r="AM201">
        <v>0.182</v>
      </c>
      <c r="AN201">
        <v>0.69399999999999995</v>
      </c>
    </row>
    <row r="202" spans="1:40">
      <c r="A202">
        <v>2270</v>
      </c>
      <c r="B202" t="s">
        <v>702</v>
      </c>
      <c r="C202" t="s">
        <v>696</v>
      </c>
      <c r="D202" t="s">
        <v>697</v>
      </c>
      <c r="E202">
        <v>246</v>
      </c>
      <c r="F202">
        <v>811</v>
      </c>
      <c r="G202">
        <v>50.682689320000001</v>
      </c>
      <c r="H202">
        <v>44</v>
      </c>
      <c r="I202">
        <v>7.9224792000000002E-2</v>
      </c>
      <c r="J202">
        <v>855</v>
      </c>
      <c r="K202">
        <v>10792.076300000001</v>
      </c>
      <c r="L202">
        <v>0.80300000000000005</v>
      </c>
      <c r="M202">
        <v>0.15172413800000001</v>
      </c>
      <c r="N202">
        <v>0</v>
      </c>
      <c r="O202" t="s">
        <v>620</v>
      </c>
      <c r="P202">
        <f t="shared" si="20"/>
        <v>14.38321429</v>
      </c>
      <c r="Q202">
        <f t="shared" si="21"/>
        <v>2.1999999999999999E-2</v>
      </c>
      <c r="R202">
        <f t="shared" si="22"/>
        <v>2.5000000000000001E-2</v>
      </c>
      <c r="S202">
        <f t="shared" si="23"/>
        <v>0.80300000000000005</v>
      </c>
      <c r="T202">
        <f t="shared" si="24"/>
        <v>1.775555556</v>
      </c>
      <c r="U202">
        <f t="shared" si="25"/>
        <v>7.407824561</v>
      </c>
      <c r="V202">
        <f t="shared" si="26"/>
        <v>2.8000000000000001E-2</v>
      </c>
      <c r="W202">
        <f t="shared" si="27"/>
        <v>9.9000000000000005E-2</v>
      </c>
      <c r="X202">
        <f t="shared" si="28"/>
        <v>0.78900000000000003</v>
      </c>
      <c r="Y202">
        <v>151.27009749999999</v>
      </c>
      <c r="Z202">
        <v>0</v>
      </c>
      <c r="AA202">
        <v>90778</v>
      </c>
      <c r="AB202">
        <v>31662</v>
      </c>
      <c r="AC202">
        <v>3.1753482E-2</v>
      </c>
      <c r="AD202">
        <v>0.82960131100000001</v>
      </c>
      <c r="AF202">
        <v>14.38321429</v>
      </c>
      <c r="AG202">
        <v>2.1999999999999999E-2</v>
      </c>
      <c r="AH202">
        <v>2.5000000000000001E-2</v>
      </c>
      <c r="AI202">
        <v>0.80300000000000005</v>
      </c>
      <c r="AJ202">
        <v>1.775555556</v>
      </c>
      <c r="AK202">
        <v>7.407824561</v>
      </c>
      <c r="AL202">
        <v>2.8000000000000001E-2</v>
      </c>
      <c r="AM202">
        <v>9.9000000000000005E-2</v>
      </c>
      <c r="AN202">
        <v>0.78900000000000003</v>
      </c>
    </row>
    <row r="203" spans="1:40">
      <c r="A203">
        <v>2271</v>
      </c>
      <c r="B203" t="s">
        <v>691</v>
      </c>
      <c r="C203" t="s">
        <v>684</v>
      </c>
      <c r="D203" t="s">
        <v>685</v>
      </c>
      <c r="E203">
        <v>604</v>
      </c>
      <c r="F203">
        <v>2245</v>
      </c>
      <c r="G203">
        <v>132.07997370000001</v>
      </c>
      <c r="H203">
        <v>591</v>
      </c>
      <c r="I203">
        <v>0.20644932899999999</v>
      </c>
      <c r="J203">
        <v>2836</v>
      </c>
      <c r="K203">
        <v>13737.026970000001</v>
      </c>
      <c r="L203">
        <v>0.81100000000000005</v>
      </c>
      <c r="M203">
        <v>0.49456066900000001</v>
      </c>
      <c r="N203">
        <v>0</v>
      </c>
      <c r="O203" t="s">
        <v>620</v>
      </c>
      <c r="P203">
        <f t="shared" si="20"/>
        <v>14.52344828</v>
      </c>
      <c r="Q203">
        <f t="shared" si="21"/>
        <v>1.6E-2</v>
      </c>
      <c r="R203">
        <f t="shared" si="22"/>
        <v>1.7000000000000001E-2</v>
      </c>
      <c r="S203">
        <f t="shared" si="23"/>
        <v>0.81100000000000005</v>
      </c>
      <c r="T203">
        <f t="shared" si="24"/>
        <v>1.6787804879999999</v>
      </c>
      <c r="U203">
        <f t="shared" si="25"/>
        <v>6.4285743699999998</v>
      </c>
      <c r="V203">
        <f t="shared" si="26"/>
        <v>0.01</v>
      </c>
      <c r="W203">
        <f t="shared" si="27"/>
        <v>5.8999999999999997E-2</v>
      </c>
      <c r="X203">
        <f t="shared" si="28"/>
        <v>0.85899999999999999</v>
      </c>
      <c r="Y203">
        <v>85.718696379999997</v>
      </c>
      <c r="Z203">
        <v>0</v>
      </c>
      <c r="AA203">
        <v>236250</v>
      </c>
      <c r="AB203">
        <v>76158</v>
      </c>
      <c r="AC203">
        <v>1.7652984E-2</v>
      </c>
      <c r="AD203">
        <v>0.84750225300000004</v>
      </c>
      <c r="AF203">
        <v>14.52344828</v>
      </c>
      <c r="AG203">
        <v>1.6E-2</v>
      </c>
      <c r="AH203">
        <v>1.7000000000000001E-2</v>
      </c>
      <c r="AI203">
        <v>0.81100000000000005</v>
      </c>
      <c r="AJ203">
        <v>1.6787804879999999</v>
      </c>
      <c r="AK203">
        <v>6.4285743699999998</v>
      </c>
      <c r="AL203">
        <v>0.01</v>
      </c>
      <c r="AM203">
        <v>5.8999999999999997E-2</v>
      </c>
      <c r="AN203">
        <v>0.85899999999999999</v>
      </c>
    </row>
    <row r="204" spans="1:40">
      <c r="A204">
        <v>2272</v>
      </c>
      <c r="B204" t="s">
        <v>691</v>
      </c>
      <c r="C204" t="s">
        <v>684</v>
      </c>
      <c r="D204" t="s">
        <v>685</v>
      </c>
      <c r="E204">
        <v>448</v>
      </c>
      <c r="F204">
        <v>1601</v>
      </c>
      <c r="G204">
        <v>110.9417265</v>
      </c>
      <c r="H204">
        <v>145</v>
      </c>
      <c r="I204">
        <v>0.17341290400000001</v>
      </c>
      <c r="J204">
        <v>1746</v>
      </c>
      <c r="K204">
        <v>10068.454879999999</v>
      </c>
      <c r="L204">
        <v>0.85499999999999998</v>
      </c>
      <c r="M204">
        <v>0.244519393</v>
      </c>
      <c r="N204">
        <v>0</v>
      </c>
      <c r="O204" t="s">
        <v>620</v>
      </c>
      <c r="P204">
        <f t="shared" ref="P204:P267" si="29">IF(OR(IFERROR(AF204=0,TRUE),ISERROR(AF204)),AVERAGEIFS(AF:AF,$B:$B,$B204,AF:AF,"&gt;0"),AF204)</f>
        <v>11.91256881</v>
      </c>
      <c r="Q204">
        <f t="shared" ref="Q204:Q267" si="30">IF(OR(IFERROR(AG204=0,TRUE),ISERROR(AG204)),AVERAGEIFS(AG:AG,$B:$B,$B204,AG:AG,"&gt;0"),AG204)</f>
        <v>0.01</v>
      </c>
      <c r="R204">
        <f t="shared" ref="R204:R267" si="31">IF(OR(IFERROR(AH204=0,TRUE),ISERROR(AH204)),AVERAGEIFS(AH:AH,$B:$B,$B204,AH:AH,"&gt;0"),AH204)</f>
        <v>8.9999999999999993E-3</v>
      </c>
      <c r="S204">
        <f t="shared" ref="S204:S267" si="32">IF(OR(IFERROR(AI204=0,TRUE),ISERROR(AI204)),AVERAGEIFS(AI:AI,$B:$B,$B204,AI:AI,"&gt;0"),AI204)</f>
        <v>0.85499999999999998</v>
      </c>
      <c r="T204">
        <f t="shared" ref="T204:T267" si="33">IF(OR(IFERROR(AJ204=0,TRUE),ISERROR(AJ204)),AVERAGEIFS(AJ:AJ,$B:$B,$B204,AJ:AJ,"&gt;0"),AJ204)</f>
        <v>2.9375</v>
      </c>
      <c r="U204">
        <f t="shared" ref="U204:U267" si="34">IF(OR(IFERROR(AK204=0,TRUE),ISERROR(AK204)),AVERAGEIFS(AK:AK,$B:$B,$B204,AK:AK,"&gt;0"),AK204)</f>
        <v>5.7027419349999997</v>
      </c>
      <c r="V204">
        <f t="shared" ref="V204:V267" si="35">IF(OR(IFERROR(AL204=0,TRUE),ISERROR(AL204)),AVERAGEIFS(AL:AL,$B:$B,$B204,AL:AL,"&gt;0"),AL204)</f>
        <v>1.7000000000000001E-2</v>
      </c>
      <c r="W204">
        <f t="shared" ref="W204:W267" si="36">IF(OR(IFERROR(AM204=0,TRUE),ISERROR(AM204)),AVERAGEIFS(AM:AM,$B:$B,$B204,AM:AM,"&gt;0"),AM204)</f>
        <v>8.9999999999999993E-3</v>
      </c>
      <c r="X204">
        <f t="shared" ref="X204:X267" si="37">IF(OR(IFERROR(AN204=0,TRUE),ISERROR(AN204)),AVERAGEIFS(AN:AN,$B:$B,$B204,AN:AN,"&gt;0"),AN204)</f>
        <v>0.94</v>
      </c>
      <c r="Y204">
        <v>126.7238162</v>
      </c>
      <c r="Z204">
        <v>0</v>
      </c>
      <c r="AA204">
        <v>236250</v>
      </c>
      <c r="AB204">
        <v>76158</v>
      </c>
      <c r="AC204">
        <v>1.7652984E-2</v>
      </c>
      <c r="AD204">
        <v>0.84750225300000004</v>
      </c>
      <c r="AF204">
        <v>11.91256881</v>
      </c>
      <c r="AG204">
        <v>0.01</v>
      </c>
      <c r="AH204">
        <v>8.9999999999999993E-3</v>
      </c>
      <c r="AI204">
        <v>0.85499999999999998</v>
      </c>
      <c r="AJ204">
        <v>2.9375</v>
      </c>
      <c r="AK204">
        <v>5.7027419349999997</v>
      </c>
      <c r="AL204">
        <v>1.7000000000000001E-2</v>
      </c>
      <c r="AM204">
        <v>8.9999999999999993E-3</v>
      </c>
      <c r="AN204">
        <v>0.94</v>
      </c>
    </row>
    <row r="205" spans="1:40">
      <c r="A205">
        <v>2273</v>
      </c>
      <c r="B205" t="s">
        <v>689</v>
      </c>
      <c r="C205" t="s">
        <v>687</v>
      </c>
      <c r="D205" t="s">
        <v>688</v>
      </c>
      <c r="E205">
        <v>291</v>
      </c>
      <c r="F205">
        <v>782</v>
      </c>
      <c r="G205">
        <v>186.50714020000001</v>
      </c>
      <c r="H205">
        <v>149</v>
      </c>
      <c r="I205">
        <v>0.29152943999999997</v>
      </c>
      <c r="J205">
        <v>931</v>
      </c>
      <c r="K205">
        <v>3193.502516</v>
      </c>
      <c r="L205">
        <v>0.8</v>
      </c>
      <c r="M205">
        <v>0.33863636400000002</v>
      </c>
      <c r="N205">
        <v>0</v>
      </c>
      <c r="O205" t="s">
        <v>620</v>
      </c>
      <c r="P205">
        <f t="shared" si="29"/>
        <v>15.222875</v>
      </c>
      <c r="Q205">
        <f t="shared" si="30"/>
        <v>0.04</v>
      </c>
      <c r="R205">
        <f t="shared" si="31"/>
        <v>2.8000000000000001E-2</v>
      </c>
      <c r="S205">
        <f t="shared" si="32"/>
        <v>0.8</v>
      </c>
      <c r="T205">
        <f t="shared" si="33"/>
        <v>2.3945454549999998</v>
      </c>
      <c r="U205">
        <f t="shared" si="34"/>
        <v>7.1467384110000003</v>
      </c>
      <c r="V205">
        <f t="shared" si="35"/>
        <v>2.1000000000000001E-2</v>
      </c>
      <c r="W205">
        <f t="shared" si="36"/>
        <v>0.104</v>
      </c>
      <c r="X205">
        <f t="shared" si="37"/>
        <v>0.83299999999999996</v>
      </c>
      <c r="Y205">
        <v>68.814710289999994</v>
      </c>
      <c r="Z205">
        <v>0</v>
      </c>
      <c r="AA205">
        <v>454184</v>
      </c>
      <c r="AB205">
        <v>170596</v>
      </c>
      <c r="AC205">
        <v>6.5715274000000004E-2</v>
      </c>
      <c r="AD205">
        <v>0.72549415100000003</v>
      </c>
      <c r="AF205">
        <v>15.222875</v>
      </c>
      <c r="AG205">
        <v>0.04</v>
      </c>
      <c r="AH205">
        <v>2.8000000000000001E-2</v>
      </c>
      <c r="AI205">
        <v>0.8</v>
      </c>
      <c r="AJ205">
        <v>2.3945454549999998</v>
      </c>
      <c r="AK205">
        <v>7.1467384110000003</v>
      </c>
      <c r="AL205">
        <v>2.1000000000000001E-2</v>
      </c>
      <c r="AM205">
        <v>0.104</v>
      </c>
      <c r="AN205">
        <v>0.83299999999999996</v>
      </c>
    </row>
    <row r="206" spans="1:40">
      <c r="A206">
        <v>2274</v>
      </c>
      <c r="B206" t="s">
        <v>691</v>
      </c>
      <c r="C206" t="s">
        <v>684</v>
      </c>
      <c r="D206" t="s">
        <v>685</v>
      </c>
      <c r="E206">
        <v>286</v>
      </c>
      <c r="F206">
        <v>968</v>
      </c>
      <c r="G206">
        <v>90.372245879999994</v>
      </c>
      <c r="H206">
        <v>106</v>
      </c>
      <c r="I206">
        <v>0.14125885099999999</v>
      </c>
      <c r="J206">
        <v>1074</v>
      </c>
      <c r="K206">
        <v>7603.0634</v>
      </c>
      <c r="L206">
        <v>0.85499999999999998</v>
      </c>
      <c r="M206">
        <v>0.27040816299999998</v>
      </c>
      <c r="N206">
        <v>0</v>
      </c>
      <c r="O206" t="s">
        <v>620</v>
      </c>
      <c r="P206">
        <f t="shared" si="29"/>
        <v>11.93751634</v>
      </c>
      <c r="Q206">
        <f t="shared" si="30"/>
        <v>2.8000000000000001E-2</v>
      </c>
      <c r="R206">
        <f t="shared" si="31"/>
        <v>3.5999999999999997E-2</v>
      </c>
      <c r="S206">
        <f t="shared" si="32"/>
        <v>0.85499999999999998</v>
      </c>
      <c r="T206">
        <f t="shared" si="33"/>
        <v>2.2749999999999999</v>
      </c>
      <c r="U206">
        <f t="shared" si="34"/>
        <v>7.8228120299999997</v>
      </c>
      <c r="V206">
        <f t="shared" si="35"/>
        <v>7.9000000000000001E-2</v>
      </c>
      <c r="W206">
        <f t="shared" si="36"/>
        <v>4.4999999999999998E-2</v>
      </c>
      <c r="X206">
        <f t="shared" si="37"/>
        <v>0.86399999999999999</v>
      </c>
      <c r="Y206">
        <v>260.931736</v>
      </c>
      <c r="Z206">
        <v>0</v>
      </c>
      <c r="AA206">
        <v>236250</v>
      </c>
      <c r="AB206">
        <v>76158</v>
      </c>
      <c r="AC206">
        <v>1.7652984E-2</v>
      </c>
      <c r="AD206">
        <v>0.84750225300000004</v>
      </c>
      <c r="AF206">
        <v>11.93751634</v>
      </c>
      <c r="AG206">
        <v>2.8000000000000001E-2</v>
      </c>
      <c r="AH206">
        <v>3.5999999999999997E-2</v>
      </c>
      <c r="AI206">
        <v>0.85499999999999998</v>
      </c>
      <c r="AJ206">
        <v>2.2749999999999999</v>
      </c>
      <c r="AK206">
        <v>7.8228120299999997</v>
      </c>
      <c r="AL206">
        <v>7.9000000000000001E-2</v>
      </c>
      <c r="AM206">
        <v>4.4999999999999998E-2</v>
      </c>
      <c r="AN206">
        <v>0.86399999999999999</v>
      </c>
    </row>
    <row r="207" spans="1:40">
      <c r="A207">
        <v>2275</v>
      </c>
      <c r="B207" t="s">
        <v>691</v>
      </c>
      <c r="C207" t="s">
        <v>684</v>
      </c>
      <c r="D207" t="s">
        <v>685</v>
      </c>
      <c r="E207">
        <v>785</v>
      </c>
      <c r="F207">
        <v>3019</v>
      </c>
      <c r="G207">
        <v>189.8595694</v>
      </c>
      <c r="H207">
        <v>160</v>
      </c>
      <c r="I207">
        <v>0.29677052599999998</v>
      </c>
      <c r="J207">
        <v>3179</v>
      </c>
      <c r="K207">
        <v>10711.98021</v>
      </c>
      <c r="L207">
        <v>0.83799999999999997</v>
      </c>
      <c r="M207">
        <v>0.16931216900000001</v>
      </c>
      <c r="N207">
        <v>0</v>
      </c>
      <c r="O207" t="s">
        <v>620</v>
      </c>
      <c r="P207">
        <f t="shared" si="29"/>
        <v>12.031428569999999</v>
      </c>
      <c r="Q207">
        <f t="shared" si="30"/>
        <v>0.02</v>
      </c>
      <c r="R207">
        <f t="shared" si="31"/>
        <v>1.9E-2</v>
      </c>
      <c r="S207">
        <f t="shared" si="32"/>
        <v>0.83799999999999997</v>
      </c>
      <c r="T207">
        <f t="shared" si="33"/>
        <v>1.6274999999999999</v>
      </c>
      <c r="U207">
        <f t="shared" si="34"/>
        <v>6.7814627830000003</v>
      </c>
      <c r="V207">
        <f t="shared" si="35"/>
        <v>1.4E-2</v>
      </c>
      <c r="W207">
        <f t="shared" si="36"/>
        <v>8.5000000000000006E-2</v>
      </c>
      <c r="X207">
        <f t="shared" si="37"/>
        <v>0.89</v>
      </c>
      <c r="Y207">
        <v>98.738804239999993</v>
      </c>
      <c r="Z207">
        <v>0</v>
      </c>
      <c r="AA207">
        <v>236250</v>
      </c>
      <c r="AB207">
        <v>76158</v>
      </c>
      <c r="AC207">
        <v>1.7652984E-2</v>
      </c>
      <c r="AD207">
        <v>0.84750225300000004</v>
      </c>
      <c r="AF207">
        <v>12.031428569999999</v>
      </c>
      <c r="AG207">
        <v>0.02</v>
      </c>
      <c r="AH207">
        <v>1.9E-2</v>
      </c>
      <c r="AI207">
        <v>0.83799999999999997</v>
      </c>
      <c r="AJ207">
        <v>1.6274999999999999</v>
      </c>
      <c r="AK207">
        <v>6.7814627830000003</v>
      </c>
      <c r="AL207">
        <v>1.4E-2</v>
      </c>
      <c r="AM207">
        <v>8.5000000000000006E-2</v>
      </c>
      <c r="AN207">
        <v>0.89</v>
      </c>
    </row>
    <row r="208" spans="1:40">
      <c r="A208">
        <v>2276</v>
      </c>
      <c r="B208" t="s">
        <v>706</v>
      </c>
      <c r="C208" t="s">
        <v>684</v>
      </c>
      <c r="D208" t="s">
        <v>685</v>
      </c>
      <c r="E208">
        <v>420</v>
      </c>
      <c r="F208">
        <v>1480</v>
      </c>
      <c r="G208">
        <v>150.20187780000001</v>
      </c>
      <c r="H208">
        <v>150</v>
      </c>
      <c r="I208">
        <v>0.23477526900000001</v>
      </c>
      <c r="J208">
        <v>1630</v>
      </c>
      <c r="K208">
        <v>6942.809636</v>
      </c>
      <c r="L208">
        <v>0.80500000000000005</v>
      </c>
      <c r="M208">
        <v>0.26315789499999998</v>
      </c>
      <c r="N208">
        <v>0</v>
      </c>
      <c r="O208" t="s">
        <v>620</v>
      </c>
      <c r="P208">
        <f t="shared" si="29"/>
        <v>12.970631579999999</v>
      </c>
      <c r="Q208">
        <f t="shared" si="30"/>
        <v>2.4E-2</v>
      </c>
      <c r="R208">
        <f t="shared" si="31"/>
        <v>5.0000000000000001E-3</v>
      </c>
      <c r="S208">
        <f t="shared" si="32"/>
        <v>0.80500000000000005</v>
      </c>
      <c r="T208">
        <f t="shared" si="33"/>
        <v>3.2425000000000002</v>
      </c>
      <c r="U208">
        <f t="shared" si="34"/>
        <v>7.0722222219999997</v>
      </c>
      <c r="V208">
        <f t="shared" si="35"/>
        <v>2.642857142857144E-2</v>
      </c>
      <c r="W208">
        <f t="shared" si="36"/>
        <v>8.8999999999999996E-2</v>
      </c>
      <c r="X208">
        <f t="shared" si="37"/>
        <v>0.84799999999999998</v>
      </c>
      <c r="Y208">
        <v>92.392019169999998</v>
      </c>
      <c r="Z208">
        <v>0</v>
      </c>
      <c r="AA208">
        <v>47401</v>
      </c>
      <c r="AB208">
        <v>14616</v>
      </c>
      <c r="AC208">
        <v>1.1721782E-2</v>
      </c>
      <c r="AD208">
        <v>0.85588417900000002</v>
      </c>
      <c r="AF208">
        <v>12.970631579999999</v>
      </c>
      <c r="AG208">
        <v>2.4E-2</v>
      </c>
      <c r="AH208">
        <v>5.0000000000000001E-3</v>
      </c>
      <c r="AI208">
        <v>0.80500000000000005</v>
      </c>
      <c r="AJ208">
        <v>3.2425000000000002</v>
      </c>
      <c r="AK208">
        <v>7.0722222219999997</v>
      </c>
      <c r="AL208">
        <v>0</v>
      </c>
      <c r="AM208">
        <v>8.8999999999999996E-2</v>
      </c>
      <c r="AN208">
        <v>0.84799999999999998</v>
      </c>
    </row>
    <row r="209" spans="1:40">
      <c r="A209">
        <v>2277</v>
      </c>
      <c r="B209" t="s">
        <v>689</v>
      </c>
      <c r="C209" t="s">
        <v>687</v>
      </c>
      <c r="D209" t="s">
        <v>688</v>
      </c>
      <c r="E209">
        <v>390</v>
      </c>
      <c r="F209">
        <v>1606</v>
      </c>
      <c r="G209">
        <v>47.615121199999997</v>
      </c>
      <c r="H209">
        <v>97</v>
      </c>
      <c r="I209">
        <v>7.4428190000000005E-2</v>
      </c>
      <c r="J209">
        <v>1703</v>
      </c>
      <c r="K209">
        <v>22881.11534</v>
      </c>
      <c r="L209">
        <v>0.74199999999999999</v>
      </c>
      <c r="M209">
        <v>0.19917864499999999</v>
      </c>
      <c r="N209">
        <v>0</v>
      </c>
      <c r="O209" t="s">
        <v>613</v>
      </c>
      <c r="P209">
        <f t="shared" si="29"/>
        <v>14.50322222</v>
      </c>
      <c r="Q209">
        <f t="shared" si="30"/>
        <v>4.2000000000000003E-2</v>
      </c>
      <c r="R209">
        <f t="shared" si="31"/>
        <v>1.0999999999999999E-2</v>
      </c>
      <c r="S209">
        <f t="shared" si="32"/>
        <v>0.74199999999999999</v>
      </c>
      <c r="T209">
        <f t="shared" si="33"/>
        <v>1.41</v>
      </c>
      <c r="U209">
        <f t="shared" si="34"/>
        <v>6.0317477200000003</v>
      </c>
      <c r="V209">
        <f t="shared" si="35"/>
        <v>8.9999999999999993E-3</v>
      </c>
      <c r="W209">
        <f t="shared" si="36"/>
        <v>0.17199999999999999</v>
      </c>
      <c r="X209">
        <f t="shared" si="37"/>
        <v>0.77600000000000002</v>
      </c>
      <c r="Y209">
        <v>156.67417019999999</v>
      </c>
      <c r="Z209">
        <v>0</v>
      </c>
      <c r="AA209">
        <v>454184</v>
      </c>
      <c r="AB209">
        <v>170596</v>
      </c>
      <c r="AC209">
        <v>6.5715274000000004E-2</v>
      </c>
      <c r="AD209">
        <v>0.72549415100000003</v>
      </c>
      <c r="AF209">
        <v>14.50322222</v>
      </c>
      <c r="AG209">
        <v>4.2000000000000003E-2</v>
      </c>
      <c r="AH209">
        <v>1.0999999999999999E-2</v>
      </c>
      <c r="AI209">
        <v>0.74199999999999999</v>
      </c>
      <c r="AJ209">
        <v>1.41</v>
      </c>
      <c r="AK209">
        <v>6.0317477200000003</v>
      </c>
      <c r="AL209">
        <v>8.9999999999999993E-3</v>
      </c>
      <c r="AM209">
        <v>0.17199999999999999</v>
      </c>
      <c r="AN209">
        <v>0.77600000000000002</v>
      </c>
    </row>
    <row r="210" spans="1:40">
      <c r="A210">
        <v>2278</v>
      </c>
      <c r="B210" t="s">
        <v>689</v>
      </c>
      <c r="C210" t="s">
        <v>687</v>
      </c>
      <c r="D210" t="s">
        <v>688</v>
      </c>
      <c r="E210">
        <v>574</v>
      </c>
      <c r="F210">
        <v>2422</v>
      </c>
      <c r="G210">
        <v>230.56593989999999</v>
      </c>
      <c r="H210">
        <v>2296</v>
      </c>
      <c r="I210">
        <v>0.36040825599999998</v>
      </c>
      <c r="J210">
        <v>4718</v>
      </c>
      <c r="K210">
        <v>13090.71011</v>
      </c>
      <c r="L210">
        <v>0.82499999999999996</v>
      </c>
      <c r="M210">
        <v>0.8</v>
      </c>
      <c r="N210">
        <v>0</v>
      </c>
      <c r="O210" t="s">
        <v>613</v>
      </c>
      <c r="P210">
        <f t="shared" si="29"/>
        <v>13.6897561</v>
      </c>
      <c r="Q210">
        <f t="shared" si="30"/>
        <v>2.7E-2</v>
      </c>
      <c r="R210">
        <f t="shared" si="31"/>
        <v>1.7000000000000001E-2</v>
      </c>
      <c r="S210">
        <f t="shared" si="32"/>
        <v>0.82499999999999996</v>
      </c>
      <c r="T210">
        <f t="shared" si="33"/>
        <v>1.9590476189999999</v>
      </c>
      <c r="U210">
        <f t="shared" si="34"/>
        <v>7.0876476430000004</v>
      </c>
      <c r="V210">
        <f t="shared" si="35"/>
        <v>3.4000000000000002E-2</v>
      </c>
      <c r="W210">
        <f t="shared" si="36"/>
        <v>8.5999999999999993E-2</v>
      </c>
      <c r="X210">
        <f t="shared" si="37"/>
        <v>0.83299999999999996</v>
      </c>
      <c r="Y210">
        <v>92.62585953</v>
      </c>
      <c r="Z210">
        <v>0</v>
      </c>
      <c r="AA210">
        <v>454184</v>
      </c>
      <c r="AB210">
        <v>170596</v>
      </c>
      <c r="AC210">
        <v>6.5715274000000004E-2</v>
      </c>
      <c r="AD210">
        <v>0.72549415100000003</v>
      </c>
      <c r="AF210">
        <v>13.6897561</v>
      </c>
      <c r="AG210">
        <v>2.7E-2</v>
      </c>
      <c r="AH210">
        <v>1.7000000000000001E-2</v>
      </c>
      <c r="AI210">
        <v>0.82499999999999996</v>
      </c>
      <c r="AJ210">
        <v>1.9590476189999999</v>
      </c>
      <c r="AK210">
        <v>7.0876476430000004</v>
      </c>
      <c r="AL210">
        <v>3.4000000000000002E-2</v>
      </c>
      <c r="AM210">
        <v>8.5999999999999993E-2</v>
      </c>
      <c r="AN210">
        <v>0.83299999999999996</v>
      </c>
    </row>
    <row r="211" spans="1:40">
      <c r="A211">
        <v>2279</v>
      </c>
      <c r="B211" t="s">
        <v>689</v>
      </c>
      <c r="C211" t="s">
        <v>687</v>
      </c>
      <c r="D211" t="s">
        <v>688</v>
      </c>
      <c r="E211">
        <v>708</v>
      </c>
      <c r="F211">
        <v>1765</v>
      </c>
      <c r="G211">
        <v>275.04495450000002</v>
      </c>
      <c r="H211">
        <v>164</v>
      </c>
      <c r="I211">
        <v>0.42993603000000002</v>
      </c>
      <c r="J211">
        <v>1929</v>
      </c>
      <c r="K211">
        <v>4486.7139889999999</v>
      </c>
      <c r="L211">
        <v>0.84699999999999998</v>
      </c>
      <c r="M211">
        <v>0.188073394</v>
      </c>
      <c r="N211">
        <v>0</v>
      </c>
      <c r="O211" t="s">
        <v>620</v>
      </c>
      <c r="P211">
        <f t="shared" si="29"/>
        <v>10.34517241</v>
      </c>
      <c r="Q211">
        <f t="shared" si="30"/>
        <v>5.5E-2</v>
      </c>
      <c r="R211">
        <f t="shared" si="31"/>
        <v>3.3000000000000002E-2</v>
      </c>
      <c r="S211">
        <f t="shared" si="32"/>
        <v>0.84699999999999998</v>
      </c>
      <c r="T211">
        <f t="shared" si="33"/>
        <v>2.9297619049999999</v>
      </c>
      <c r="U211">
        <f t="shared" si="34"/>
        <v>6.877051282</v>
      </c>
      <c r="V211">
        <f t="shared" si="35"/>
        <v>4.7E-2</v>
      </c>
      <c r="W211">
        <f t="shared" si="36"/>
        <v>0.20399999999999999</v>
      </c>
      <c r="X211">
        <f t="shared" si="37"/>
        <v>0.74099999999999999</v>
      </c>
      <c r="Y211">
        <v>50.849378530000003</v>
      </c>
      <c r="Z211">
        <v>0</v>
      </c>
      <c r="AA211">
        <v>454184</v>
      </c>
      <c r="AB211">
        <v>170596</v>
      </c>
      <c r="AC211">
        <v>6.5715274000000004E-2</v>
      </c>
      <c r="AD211">
        <v>0.72549415100000003</v>
      </c>
      <c r="AF211">
        <v>10.34517241</v>
      </c>
      <c r="AG211">
        <v>5.5E-2</v>
      </c>
      <c r="AH211">
        <v>3.3000000000000002E-2</v>
      </c>
      <c r="AI211">
        <v>0.84699999999999998</v>
      </c>
      <c r="AJ211">
        <v>2.9297619049999999</v>
      </c>
      <c r="AK211">
        <v>6.877051282</v>
      </c>
      <c r="AL211">
        <v>4.7E-2</v>
      </c>
      <c r="AM211">
        <v>0.20399999999999999</v>
      </c>
      <c r="AN211">
        <v>0.74099999999999999</v>
      </c>
    </row>
    <row r="212" spans="1:40">
      <c r="A212">
        <v>2280</v>
      </c>
      <c r="B212" t="s">
        <v>689</v>
      </c>
      <c r="C212" t="s">
        <v>687</v>
      </c>
      <c r="D212" t="s">
        <v>688</v>
      </c>
      <c r="E212">
        <v>521</v>
      </c>
      <c r="F212">
        <v>2066</v>
      </c>
      <c r="G212">
        <v>123.6170687</v>
      </c>
      <c r="H212">
        <v>1124</v>
      </c>
      <c r="I212">
        <v>0.193237673</v>
      </c>
      <c r="J212">
        <v>3190</v>
      </c>
      <c r="K212">
        <v>16508.168160000001</v>
      </c>
      <c r="L212">
        <v>0.79</v>
      </c>
      <c r="M212">
        <v>0.68328267499999995</v>
      </c>
      <c r="N212">
        <v>1</v>
      </c>
      <c r="O212" t="s">
        <v>613</v>
      </c>
      <c r="P212">
        <f t="shared" si="29"/>
        <v>13.4612093</v>
      </c>
      <c r="Q212">
        <f t="shared" si="30"/>
        <v>6.2E-2</v>
      </c>
      <c r="R212">
        <f t="shared" si="31"/>
        <v>1.7000000000000001E-2</v>
      </c>
      <c r="S212">
        <f t="shared" si="32"/>
        <v>0.79</v>
      </c>
      <c r="T212">
        <f t="shared" si="33"/>
        <v>2.7923333330000002</v>
      </c>
      <c r="U212">
        <f t="shared" si="34"/>
        <v>6.5676575240000004</v>
      </c>
      <c r="V212">
        <f t="shared" si="35"/>
        <v>3.3000000000000002E-2</v>
      </c>
      <c r="W212">
        <f t="shared" si="36"/>
        <v>0.153</v>
      </c>
      <c r="X212">
        <f t="shared" si="37"/>
        <v>0.78200000000000003</v>
      </c>
      <c r="Y212">
        <v>105.221796</v>
      </c>
      <c r="Z212">
        <v>0</v>
      </c>
      <c r="AA212">
        <v>454184</v>
      </c>
      <c r="AB212">
        <v>170596</v>
      </c>
      <c r="AC212">
        <v>6.5715274000000004E-2</v>
      </c>
      <c r="AD212">
        <v>0.72549415100000003</v>
      </c>
      <c r="AF212">
        <v>13.4612093</v>
      </c>
      <c r="AG212">
        <v>6.2E-2</v>
      </c>
      <c r="AH212">
        <v>1.7000000000000001E-2</v>
      </c>
      <c r="AI212">
        <v>0.79</v>
      </c>
      <c r="AJ212">
        <v>2.7923333330000002</v>
      </c>
      <c r="AK212">
        <v>6.5676575240000004</v>
      </c>
      <c r="AL212">
        <v>3.3000000000000002E-2</v>
      </c>
      <c r="AM212">
        <v>0.153</v>
      </c>
      <c r="AN212">
        <v>0.78200000000000003</v>
      </c>
    </row>
    <row r="213" spans="1:40">
      <c r="A213">
        <v>2281</v>
      </c>
      <c r="B213" t="s">
        <v>689</v>
      </c>
      <c r="C213" t="s">
        <v>687</v>
      </c>
      <c r="D213" t="s">
        <v>688</v>
      </c>
      <c r="E213">
        <v>245</v>
      </c>
      <c r="F213">
        <v>900</v>
      </c>
      <c r="G213">
        <v>38.627765170000004</v>
      </c>
      <c r="H213">
        <v>126</v>
      </c>
      <c r="I213">
        <v>6.0383494000000003E-2</v>
      </c>
      <c r="J213">
        <v>1026</v>
      </c>
      <c r="K213">
        <v>16991.39834</v>
      </c>
      <c r="L213">
        <v>0.755</v>
      </c>
      <c r="M213">
        <v>0.33962264199999997</v>
      </c>
      <c r="N213">
        <v>0</v>
      </c>
      <c r="O213" t="s">
        <v>613</v>
      </c>
      <c r="P213">
        <f t="shared" si="29"/>
        <v>11.903207549999999</v>
      </c>
      <c r="Q213">
        <f t="shared" si="30"/>
        <v>2.5000000000000001E-2</v>
      </c>
      <c r="R213">
        <f t="shared" si="31"/>
        <v>2.5000000000000001E-2</v>
      </c>
      <c r="S213">
        <f t="shared" si="32"/>
        <v>0.755</v>
      </c>
      <c r="T213">
        <f t="shared" si="33"/>
        <v>1.5288888890000001</v>
      </c>
      <c r="U213">
        <f t="shared" si="34"/>
        <v>5.7792366409999998</v>
      </c>
      <c r="V213">
        <f t="shared" si="35"/>
        <v>9.1999999999999998E-2</v>
      </c>
      <c r="W213">
        <f t="shared" si="36"/>
        <v>6.2E-2</v>
      </c>
      <c r="X213">
        <f t="shared" si="37"/>
        <v>0.81499999999999995</v>
      </c>
      <c r="Y213">
        <v>170.96141919999999</v>
      </c>
      <c r="Z213">
        <v>0</v>
      </c>
      <c r="AA213">
        <v>454184</v>
      </c>
      <c r="AB213">
        <v>170596</v>
      </c>
      <c r="AC213">
        <v>6.5715274000000004E-2</v>
      </c>
      <c r="AD213">
        <v>0.72549415100000003</v>
      </c>
      <c r="AF213">
        <v>11.903207549999999</v>
      </c>
      <c r="AG213">
        <v>2.5000000000000001E-2</v>
      </c>
      <c r="AH213">
        <v>2.5000000000000001E-2</v>
      </c>
      <c r="AI213">
        <v>0.755</v>
      </c>
      <c r="AJ213">
        <v>1.5288888890000001</v>
      </c>
      <c r="AK213">
        <v>5.7792366409999998</v>
      </c>
      <c r="AL213">
        <v>9.1999999999999998E-2</v>
      </c>
      <c r="AM213">
        <v>6.2E-2</v>
      </c>
      <c r="AN213">
        <v>0.81499999999999995</v>
      </c>
    </row>
    <row r="214" spans="1:40">
      <c r="A214">
        <v>2282</v>
      </c>
      <c r="B214" t="s">
        <v>689</v>
      </c>
      <c r="C214" t="s">
        <v>687</v>
      </c>
      <c r="D214" t="s">
        <v>688</v>
      </c>
      <c r="E214">
        <v>347</v>
      </c>
      <c r="F214">
        <v>1188</v>
      </c>
      <c r="G214">
        <v>42.845316439999998</v>
      </c>
      <c r="H214">
        <v>99</v>
      </c>
      <c r="I214">
        <v>6.6971377999999998E-2</v>
      </c>
      <c r="J214">
        <v>1287</v>
      </c>
      <c r="K214">
        <v>19217.164680000002</v>
      </c>
      <c r="L214">
        <v>0.73099999999999998</v>
      </c>
      <c r="M214">
        <v>0.22197309400000001</v>
      </c>
      <c r="N214">
        <v>0</v>
      </c>
      <c r="O214" t="s">
        <v>613</v>
      </c>
      <c r="P214">
        <f t="shared" si="29"/>
        <v>10.63344</v>
      </c>
      <c r="Q214">
        <f t="shared" si="30"/>
        <v>4.2999999999999997E-2</v>
      </c>
      <c r="R214">
        <f t="shared" si="31"/>
        <v>1.7999999999999999E-2</v>
      </c>
      <c r="S214">
        <f t="shared" si="32"/>
        <v>0.73099999999999998</v>
      </c>
      <c r="T214">
        <f t="shared" si="33"/>
        <v>2.004</v>
      </c>
      <c r="U214">
        <f t="shared" si="34"/>
        <v>5.8257329840000001</v>
      </c>
      <c r="V214">
        <f t="shared" si="35"/>
        <v>3.5999999999999997E-2</v>
      </c>
      <c r="W214">
        <f t="shared" si="36"/>
        <v>0.19500000000000001</v>
      </c>
      <c r="X214">
        <f t="shared" si="37"/>
        <v>0.74</v>
      </c>
      <c r="Y214">
        <v>109.7129443</v>
      </c>
      <c r="Z214">
        <v>0</v>
      </c>
      <c r="AA214">
        <v>454184</v>
      </c>
      <c r="AB214">
        <v>170596</v>
      </c>
      <c r="AC214">
        <v>6.5715274000000004E-2</v>
      </c>
      <c r="AD214">
        <v>0.72549415100000003</v>
      </c>
      <c r="AF214">
        <v>10.63344</v>
      </c>
      <c r="AG214">
        <v>4.2999999999999997E-2</v>
      </c>
      <c r="AH214">
        <v>1.7999999999999999E-2</v>
      </c>
      <c r="AI214">
        <v>0.73099999999999998</v>
      </c>
      <c r="AJ214">
        <v>2.004</v>
      </c>
      <c r="AK214">
        <v>5.8257329840000001</v>
      </c>
      <c r="AL214">
        <v>3.5999999999999997E-2</v>
      </c>
      <c r="AM214">
        <v>0.19500000000000001</v>
      </c>
      <c r="AN214">
        <v>0.74</v>
      </c>
    </row>
    <row r="215" spans="1:40">
      <c r="A215">
        <v>2283</v>
      </c>
      <c r="B215" t="s">
        <v>705</v>
      </c>
      <c r="C215" t="s">
        <v>696</v>
      </c>
      <c r="D215" t="s">
        <v>697</v>
      </c>
      <c r="E215">
        <v>499</v>
      </c>
      <c r="F215">
        <v>1586</v>
      </c>
      <c r="G215">
        <v>121.6332827</v>
      </c>
      <c r="H215">
        <v>30</v>
      </c>
      <c r="I215">
        <v>0.190127079</v>
      </c>
      <c r="J215">
        <v>1616</v>
      </c>
      <c r="K215">
        <v>8499.5783269999993</v>
      </c>
      <c r="L215">
        <v>0.83799999999999997</v>
      </c>
      <c r="M215">
        <v>5.6710774999999998E-2</v>
      </c>
      <c r="N215">
        <v>0</v>
      </c>
      <c r="O215" t="s">
        <v>613</v>
      </c>
      <c r="P215">
        <f t="shared" si="29"/>
        <v>11.27978102</v>
      </c>
      <c r="Q215">
        <f t="shared" si="30"/>
        <v>4.1000000000000002E-2</v>
      </c>
      <c r="R215">
        <f t="shared" si="31"/>
        <v>1.4E-2</v>
      </c>
      <c r="S215">
        <f t="shared" si="32"/>
        <v>0.83799999999999997</v>
      </c>
      <c r="T215">
        <f t="shared" si="33"/>
        <v>1.9590909089999999</v>
      </c>
      <c r="U215">
        <f t="shared" si="34"/>
        <v>6.4453354129999996</v>
      </c>
      <c r="V215">
        <f t="shared" si="35"/>
        <v>2.3E-2</v>
      </c>
      <c r="W215">
        <f t="shared" si="36"/>
        <v>0.16400000000000001</v>
      </c>
      <c r="X215">
        <f t="shared" si="37"/>
        <v>0.77400000000000002</v>
      </c>
      <c r="Y215">
        <v>145.41980050000001</v>
      </c>
      <c r="Z215">
        <v>0</v>
      </c>
      <c r="AA215">
        <v>152832</v>
      </c>
      <c r="AB215">
        <v>45686</v>
      </c>
      <c r="AC215">
        <v>2.1596295000000001E-2</v>
      </c>
      <c r="AD215">
        <v>0.84212384500000004</v>
      </c>
      <c r="AF215">
        <v>11.27978102</v>
      </c>
      <c r="AG215">
        <v>4.1000000000000002E-2</v>
      </c>
      <c r="AH215">
        <v>1.4E-2</v>
      </c>
      <c r="AI215">
        <v>0.83799999999999997</v>
      </c>
      <c r="AJ215">
        <v>1.9590909089999999</v>
      </c>
      <c r="AK215">
        <v>6.4453354129999996</v>
      </c>
      <c r="AL215">
        <v>2.3E-2</v>
      </c>
      <c r="AM215">
        <v>0.16400000000000001</v>
      </c>
      <c r="AN215">
        <v>0.77400000000000002</v>
      </c>
    </row>
    <row r="216" spans="1:40">
      <c r="A216">
        <v>2284</v>
      </c>
      <c r="B216" t="s">
        <v>695</v>
      </c>
      <c r="C216" t="s">
        <v>696</v>
      </c>
      <c r="D216" t="s">
        <v>697</v>
      </c>
      <c r="E216">
        <v>664</v>
      </c>
      <c r="F216">
        <v>1782</v>
      </c>
      <c r="G216">
        <v>124.1294559</v>
      </c>
      <c r="H216">
        <v>764</v>
      </c>
      <c r="I216">
        <v>0.19402709500000001</v>
      </c>
      <c r="J216">
        <v>2546</v>
      </c>
      <c r="K216">
        <v>13121.87867</v>
      </c>
      <c r="L216">
        <v>0.81499999999999995</v>
      </c>
      <c r="M216">
        <v>0.53501400600000004</v>
      </c>
      <c r="N216">
        <v>1</v>
      </c>
      <c r="O216" t="s">
        <v>620</v>
      </c>
      <c r="P216">
        <f t="shared" si="29"/>
        <v>12.219511109999999</v>
      </c>
      <c r="Q216">
        <f t="shared" si="30"/>
        <v>2.4E-2</v>
      </c>
      <c r="R216">
        <f t="shared" si="31"/>
        <v>1.6E-2</v>
      </c>
      <c r="S216">
        <f t="shared" si="32"/>
        <v>0.81499999999999995</v>
      </c>
      <c r="T216">
        <f t="shared" si="33"/>
        <v>1.8766666670000001</v>
      </c>
      <c r="U216">
        <f t="shared" si="34"/>
        <v>7.6753604810000002</v>
      </c>
      <c r="V216">
        <f t="shared" si="35"/>
        <v>2.9000000000000001E-2</v>
      </c>
      <c r="W216">
        <f t="shared" si="36"/>
        <v>0.109</v>
      </c>
      <c r="X216">
        <f t="shared" si="37"/>
        <v>0.81799999999999995</v>
      </c>
      <c r="Y216">
        <v>133.9884739</v>
      </c>
      <c r="Z216">
        <v>0</v>
      </c>
      <c r="AA216">
        <v>62139</v>
      </c>
      <c r="AB216">
        <v>22178</v>
      </c>
      <c r="AC216">
        <v>2.5956119999999999E-2</v>
      </c>
      <c r="AD216">
        <v>0.81129361</v>
      </c>
      <c r="AF216">
        <v>12.219511109999999</v>
      </c>
      <c r="AG216">
        <v>2.4E-2</v>
      </c>
      <c r="AH216">
        <v>1.6E-2</v>
      </c>
      <c r="AI216">
        <v>0.81499999999999995</v>
      </c>
      <c r="AJ216">
        <v>1.8766666670000001</v>
      </c>
      <c r="AK216">
        <v>7.6753604810000002</v>
      </c>
      <c r="AL216">
        <v>2.9000000000000001E-2</v>
      </c>
      <c r="AM216">
        <v>0.109</v>
      </c>
      <c r="AN216">
        <v>0.81799999999999995</v>
      </c>
    </row>
    <row r="217" spans="1:40">
      <c r="A217">
        <v>2285</v>
      </c>
      <c r="B217" t="s">
        <v>705</v>
      </c>
      <c r="C217" t="s">
        <v>696</v>
      </c>
      <c r="D217" t="s">
        <v>697</v>
      </c>
      <c r="E217">
        <v>468</v>
      </c>
      <c r="F217">
        <v>1556</v>
      </c>
      <c r="G217">
        <v>103.54129690000001</v>
      </c>
      <c r="H217">
        <v>677</v>
      </c>
      <c r="I217">
        <v>0.16184489299999999</v>
      </c>
      <c r="J217">
        <v>2233</v>
      </c>
      <c r="K217">
        <v>13797.16072</v>
      </c>
      <c r="L217">
        <v>0.79900000000000004</v>
      </c>
      <c r="M217">
        <v>0.59126637599999998</v>
      </c>
      <c r="N217">
        <v>0</v>
      </c>
      <c r="O217" t="s">
        <v>620</v>
      </c>
      <c r="P217">
        <f t="shared" si="29"/>
        <v>9.4061202189999999</v>
      </c>
      <c r="Q217">
        <f t="shared" si="30"/>
        <v>1.4999999999999999E-2</v>
      </c>
      <c r="R217">
        <f t="shared" si="31"/>
        <v>2.8000000000000001E-2</v>
      </c>
      <c r="S217">
        <f t="shared" si="32"/>
        <v>0.79900000000000004</v>
      </c>
      <c r="T217">
        <f t="shared" si="33"/>
        <v>1.967857143</v>
      </c>
      <c r="U217">
        <f t="shared" si="34"/>
        <v>6.8277682400000002</v>
      </c>
      <c r="V217">
        <f t="shared" si="35"/>
        <v>4.4999999999999998E-2</v>
      </c>
      <c r="W217">
        <f t="shared" si="36"/>
        <v>6.8000000000000005E-2</v>
      </c>
      <c r="X217">
        <f t="shared" si="37"/>
        <v>0.83199999999999996</v>
      </c>
      <c r="Y217">
        <v>105.0854818</v>
      </c>
      <c r="Z217">
        <v>0</v>
      </c>
      <c r="AA217">
        <v>152832</v>
      </c>
      <c r="AB217">
        <v>45686</v>
      </c>
      <c r="AC217">
        <v>2.1596295000000001E-2</v>
      </c>
      <c r="AD217">
        <v>0.84212384500000004</v>
      </c>
      <c r="AF217">
        <v>9.4061202189999999</v>
      </c>
      <c r="AG217">
        <v>1.4999999999999999E-2</v>
      </c>
      <c r="AH217">
        <v>2.8000000000000001E-2</v>
      </c>
      <c r="AI217">
        <v>0.79900000000000004</v>
      </c>
      <c r="AJ217">
        <v>1.967857143</v>
      </c>
      <c r="AK217">
        <v>6.8277682400000002</v>
      </c>
      <c r="AL217">
        <v>4.4999999999999998E-2</v>
      </c>
      <c r="AM217">
        <v>6.8000000000000005E-2</v>
      </c>
      <c r="AN217">
        <v>0.83199999999999996</v>
      </c>
    </row>
    <row r="218" spans="1:40">
      <c r="A218">
        <v>2286</v>
      </c>
      <c r="B218" t="s">
        <v>695</v>
      </c>
      <c r="C218" t="s">
        <v>696</v>
      </c>
      <c r="D218" t="s">
        <v>697</v>
      </c>
      <c r="E218">
        <v>733</v>
      </c>
      <c r="F218">
        <v>1957</v>
      </c>
      <c r="G218">
        <v>179.9870713</v>
      </c>
      <c r="H218">
        <v>225</v>
      </c>
      <c r="I218">
        <v>0.28134395800000001</v>
      </c>
      <c r="J218">
        <v>2182</v>
      </c>
      <c r="K218">
        <v>7755.6312760000001</v>
      </c>
      <c r="L218">
        <v>0.77200000000000002</v>
      </c>
      <c r="M218">
        <v>0.234864301</v>
      </c>
      <c r="N218">
        <v>0</v>
      </c>
      <c r="O218" t="s">
        <v>620</v>
      </c>
      <c r="P218">
        <f t="shared" si="29"/>
        <v>14.087371429999999</v>
      </c>
      <c r="Q218">
        <f t="shared" si="30"/>
        <v>1.7999999999999999E-2</v>
      </c>
      <c r="R218">
        <f t="shared" si="31"/>
        <v>1.7999999999999999E-2</v>
      </c>
      <c r="S218">
        <f t="shared" si="32"/>
        <v>0.77200000000000002</v>
      </c>
      <c r="T218">
        <f t="shared" si="33"/>
        <v>2.4454166669999999</v>
      </c>
      <c r="U218">
        <f t="shared" si="34"/>
        <v>7.4946727089999996</v>
      </c>
      <c r="V218">
        <f t="shared" si="35"/>
        <v>2.8000000000000001E-2</v>
      </c>
      <c r="W218">
        <f t="shared" si="36"/>
        <v>7.5999999999999998E-2</v>
      </c>
      <c r="X218">
        <f t="shared" si="37"/>
        <v>0.82899999999999996</v>
      </c>
      <c r="Y218">
        <v>88.890599409999993</v>
      </c>
      <c r="Z218">
        <v>0</v>
      </c>
      <c r="AA218">
        <v>62139</v>
      </c>
      <c r="AB218">
        <v>22178</v>
      </c>
      <c r="AC218">
        <v>2.5956119999999999E-2</v>
      </c>
      <c r="AD218">
        <v>0.81129361</v>
      </c>
      <c r="AF218">
        <v>14.087371429999999</v>
      </c>
      <c r="AG218">
        <v>1.7999999999999999E-2</v>
      </c>
      <c r="AH218">
        <v>1.7999999999999999E-2</v>
      </c>
      <c r="AI218">
        <v>0.77200000000000002</v>
      </c>
      <c r="AJ218">
        <v>2.4454166669999999</v>
      </c>
      <c r="AK218">
        <v>7.4946727089999996</v>
      </c>
      <c r="AL218">
        <v>2.8000000000000001E-2</v>
      </c>
      <c r="AM218">
        <v>7.5999999999999998E-2</v>
      </c>
      <c r="AN218">
        <v>0.82899999999999996</v>
      </c>
    </row>
    <row r="219" spans="1:40">
      <c r="A219">
        <v>2287</v>
      </c>
      <c r="B219" t="s">
        <v>689</v>
      </c>
      <c r="C219" t="s">
        <v>687</v>
      </c>
      <c r="D219" t="s">
        <v>688</v>
      </c>
      <c r="E219">
        <v>294</v>
      </c>
      <c r="F219">
        <v>770</v>
      </c>
      <c r="G219">
        <v>48.508289359999999</v>
      </c>
      <c r="H219">
        <v>182</v>
      </c>
      <c r="I219">
        <v>7.5824407999999996E-2</v>
      </c>
      <c r="J219">
        <v>952</v>
      </c>
      <c r="K219">
        <v>12555.32387</v>
      </c>
      <c r="L219">
        <v>0.752</v>
      </c>
      <c r="M219">
        <v>0.382352941</v>
      </c>
      <c r="N219">
        <v>0</v>
      </c>
      <c r="O219" t="s">
        <v>613</v>
      </c>
      <c r="P219">
        <f t="shared" si="29"/>
        <v>12.09054545</v>
      </c>
      <c r="Q219">
        <f t="shared" si="30"/>
        <v>2.9000000000000001E-2</v>
      </c>
      <c r="R219">
        <f t="shared" si="31"/>
        <v>2.5000000000000001E-2</v>
      </c>
      <c r="S219">
        <f t="shared" si="32"/>
        <v>0.752</v>
      </c>
      <c r="T219">
        <f t="shared" si="33"/>
        <v>1.9604999999999999</v>
      </c>
      <c r="U219">
        <f t="shared" si="34"/>
        <v>5.7969068540000004</v>
      </c>
      <c r="V219">
        <f t="shared" si="35"/>
        <v>5.5E-2</v>
      </c>
      <c r="W219">
        <f t="shared" si="36"/>
        <v>0.151</v>
      </c>
      <c r="X219">
        <f t="shared" si="37"/>
        <v>0.753</v>
      </c>
      <c r="Y219">
        <v>188.61765940000001</v>
      </c>
      <c r="Z219">
        <v>0</v>
      </c>
      <c r="AA219">
        <v>454184</v>
      </c>
      <c r="AB219">
        <v>170596</v>
      </c>
      <c r="AC219">
        <v>6.5715274000000004E-2</v>
      </c>
      <c r="AD219">
        <v>0.72549415100000003</v>
      </c>
      <c r="AF219">
        <v>12.09054545</v>
      </c>
      <c r="AG219">
        <v>2.9000000000000001E-2</v>
      </c>
      <c r="AH219">
        <v>2.5000000000000001E-2</v>
      </c>
      <c r="AI219">
        <v>0.752</v>
      </c>
      <c r="AJ219">
        <v>1.9604999999999999</v>
      </c>
      <c r="AK219">
        <v>5.7969068540000004</v>
      </c>
      <c r="AL219">
        <v>5.5E-2</v>
      </c>
      <c r="AM219">
        <v>0.151</v>
      </c>
      <c r="AN219">
        <v>0.753</v>
      </c>
    </row>
    <row r="220" spans="1:40">
      <c r="A220">
        <v>2288</v>
      </c>
      <c r="B220" t="s">
        <v>691</v>
      </c>
      <c r="C220" t="s">
        <v>684</v>
      </c>
      <c r="D220" t="s">
        <v>685</v>
      </c>
      <c r="E220">
        <v>830</v>
      </c>
      <c r="F220">
        <v>2543</v>
      </c>
      <c r="G220">
        <v>103.6134862</v>
      </c>
      <c r="H220">
        <v>227</v>
      </c>
      <c r="I220">
        <v>0.161954081</v>
      </c>
      <c r="J220">
        <v>2770</v>
      </c>
      <c r="K220">
        <v>17103.61346</v>
      </c>
      <c r="L220">
        <v>0.79200000000000004</v>
      </c>
      <c r="M220">
        <v>0.214758751</v>
      </c>
      <c r="N220">
        <v>0</v>
      </c>
      <c r="O220" t="s">
        <v>620</v>
      </c>
      <c r="P220">
        <f t="shared" si="29"/>
        <v>13.619958159999999</v>
      </c>
      <c r="Q220">
        <f t="shared" si="30"/>
        <v>0.03</v>
      </c>
      <c r="R220">
        <f t="shared" si="31"/>
        <v>1.4E-2</v>
      </c>
      <c r="S220">
        <f t="shared" si="32"/>
        <v>0.79200000000000004</v>
      </c>
      <c r="T220">
        <f t="shared" si="33"/>
        <v>2.246</v>
      </c>
      <c r="U220">
        <f t="shared" si="34"/>
        <v>6.8576443630000004</v>
      </c>
      <c r="V220">
        <f t="shared" si="35"/>
        <v>2.8000000000000001E-2</v>
      </c>
      <c r="W220">
        <f t="shared" si="36"/>
        <v>9.1999999999999998E-2</v>
      </c>
      <c r="X220">
        <f t="shared" si="37"/>
        <v>0.84199999999999997</v>
      </c>
      <c r="Y220">
        <v>158.31585390000001</v>
      </c>
      <c r="Z220">
        <v>0</v>
      </c>
      <c r="AA220">
        <v>236250</v>
      </c>
      <c r="AB220">
        <v>76158</v>
      </c>
      <c r="AC220">
        <v>1.7652984E-2</v>
      </c>
      <c r="AD220">
        <v>0.84750225300000004</v>
      </c>
      <c r="AF220">
        <v>13.619958159999999</v>
      </c>
      <c r="AG220">
        <v>0.03</v>
      </c>
      <c r="AH220">
        <v>1.4E-2</v>
      </c>
      <c r="AI220">
        <v>0.79200000000000004</v>
      </c>
      <c r="AJ220">
        <v>2.246</v>
      </c>
      <c r="AK220">
        <v>6.8576443630000004</v>
      </c>
      <c r="AL220">
        <v>2.8000000000000001E-2</v>
      </c>
      <c r="AM220">
        <v>9.1999999999999998E-2</v>
      </c>
      <c r="AN220">
        <v>0.84199999999999997</v>
      </c>
    </row>
    <row r="221" spans="1:40">
      <c r="A221">
        <v>2289</v>
      </c>
      <c r="B221" t="s">
        <v>695</v>
      </c>
      <c r="C221" t="s">
        <v>696</v>
      </c>
      <c r="D221" t="s">
        <v>697</v>
      </c>
      <c r="E221">
        <v>636</v>
      </c>
      <c r="F221">
        <v>1887</v>
      </c>
      <c r="G221">
        <v>165.37741260000001</v>
      </c>
      <c r="H221">
        <v>350</v>
      </c>
      <c r="I221">
        <v>0.25850522199999998</v>
      </c>
      <c r="J221">
        <v>2237</v>
      </c>
      <c r="K221">
        <v>8653.596947</v>
      </c>
      <c r="L221">
        <v>0.78200000000000003</v>
      </c>
      <c r="M221">
        <v>0.35496957400000001</v>
      </c>
      <c r="N221">
        <v>0</v>
      </c>
      <c r="O221" t="s">
        <v>620</v>
      </c>
      <c r="P221">
        <f t="shared" si="29"/>
        <v>14.410173410000001</v>
      </c>
      <c r="Q221">
        <f t="shared" si="30"/>
        <v>8.0000000000000002E-3</v>
      </c>
      <c r="R221">
        <f t="shared" si="31"/>
        <v>3.9E-2</v>
      </c>
      <c r="S221">
        <f t="shared" si="32"/>
        <v>0.78200000000000003</v>
      </c>
      <c r="T221">
        <f t="shared" si="33"/>
        <v>1.7888888890000001</v>
      </c>
      <c r="U221">
        <f t="shared" si="34"/>
        <v>6.2371983640000002</v>
      </c>
      <c r="V221">
        <f t="shared" si="35"/>
        <v>0.03</v>
      </c>
      <c r="W221">
        <f t="shared" si="36"/>
        <v>5.8999999999999997E-2</v>
      </c>
      <c r="X221">
        <f t="shared" si="37"/>
        <v>0.85199999999999998</v>
      </c>
      <c r="Y221">
        <v>135.417134</v>
      </c>
      <c r="Z221">
        <v>0</v>
      </c>
      <c r="AA221">
        <v>62139</v>
      </c>
      <c r="AB221">
        <v>22178</v>
      </c>
      <c r="AC221">
        <v>2.5956119999999999E-2</v>
      </c>
      <c r="AD221">
        <v>0.81129361</v>
      </c>
      <c r="AF221">
        <v>14.410173410000001</v>
      </c>
      <c r="AG221">
        <v>8.0000000000000002E-3</v>
      </c>
      <c r="AH221">
        <v>3.9E-2</v>
      </c>
      <c r="AI221">
        <v>0.78200000000000003</v>
      </c>
      <c r="AJ221">
        <v>1.7888888890000001</v>
      </c>
      <c r="AK221">
        <v>6.2371983640000002</v>
      </c>
      <c r="AL221">
        <v>0.03</v>
      </c>
      <c r="AM221">
        <v>5.8999999999999997E-2</v>
      </c>
      <c r="AN221">
        <v>0.85199999999999998</v>
      </c>
    </row>
    <row r="222" spans="1:40">
      <c r="A222">
        <v>2290</v>
      </c>
      <c r="B222" t="s">
        <v>705</v>
      </c>
      <c r="C222" t="s">
        <v>696</v>
      </c>
      <c r="D222" t="s">
        <v>697</v>
      </c>
      <c r="E222">
        <v>169</v>
      </c>
      <c r="F222">
        <v>747</v>
      </c>
      <c r="G222">
        <v>26.31342038</v>
      </c>
      <c r="H222">
        <v>26</v>
      </c>
      <c r="I222">
        <v>4.1131281999999998E-2</v>
      </c>
      <c r="J222">
        <v>773</v>
      </c>
      <c r="K222">
        <v>18793.481810000001</v>
      </c>
      <c r="L222">
        <v>0.84899999999999998</v>
      </c>
      <c r="M222">
        <v>0.133333333</v>
      </c>
      <c r="N222">
        <v>1</v>
      </c>
      <c r="O222" t="s">
        <v>620</v>
      </c>
      <c r="P222">
        <f t="shared" si="29"/>
        <v>11.671923079999999</v>
      </c>
      <c r="Q222">
        <f t="shared" si="30"/>
        <v>5.0000000000000001E-3</v>
      </c>
      <c r="R222">
        <f t="shared" si="31"/>
        <v>5.0000000000000001E-3</v>
      </c>
      <c r="S222">
        <f t="shared" si="32"/>
        <v>0.84899999999999998</v>
      </c>
      <c r="T222">
        <f t="shared" si="33"/>
        <v>1.54</v>
      </c>
      <c r="U222">
        <f t="shared" si="34"/>
        <v>5.5786710959999999</v>
      </c>
      <c r="V222">
        <f t="shared" si="35"/>
        <v>3.8837398373983721E-2</v>
      </c>
      <c r="W222">
        <f t="shared" si="36"/>
        <v>8.6720930232558141E-2</v>
      </c>
      <c r="X222">
        <f t="shared" si="37"/>
        <v>1</v>
      </c>
      <c r="Y222">
        <v>193.9348469</v>
      </c>
      <c r="Z222">
        <v>0</v>
      </c>
      <c r="AA222">
        <v>152832</v>
      </c>
      <c r="AB222">
        <v>45686</v>
      </c>
      <c r="AC222">
        <v>2.1596295000000001E-2</v>
      </c>
      <c r="AD222">
        <v>0.84212384500000004</v>
      </c>
      <c r="AF222">
        <v>11.671923079999999</v>
      </c>
      <c r="AG222">
        <v>5.0000000000000001E-3</v>
      </c>
      <c r="AH222">
        <v>5.0000000000000001E-3</v>
      </c>
      <c r="AI222">
        <v>0.84899999999999998</v>
      </c>
      <c r="AJ222">
        <v>1.54</v>
      </c>
      <c r="AK222">
        <v>5.5786710959999999</v>
      </c>
      <c r="AL222">
        <v>0</v>
      </c>
      <c r="AM222">
        <v>0</v>
      </c>
      <c r="AN222">
        <v>1</v>
      </c>
    </row>
    <row r="223" spans="1:40">
      <c r="A223">
        <v>2291</v>
      </c>
      <c r="B223" t="s">
        <v>705</v>
      </c>
      <c r="C223" t="s">
        <v>696</v>
      </c>
      <c r="D223" t="s">
        <v>697</v>
      </c>
      <c r="E223">
        <v>295</v>
      </c>
      <c r="F223">
        <v>1193</v>
      </c>
      <c r="G223">
        <v>29.89811388</v>
      </c>
      <c r="H223">
        <v>87</v>
      </c>
      <c r="I223">
        <v>4.6740977000000003E-2</v>
      </c>
      <c r="J223">
        <v>1280</v>
      </c>
      <c r="K223">
        <v>27384.96459</v>
      </c>
      <c r="L223">
        <v>0.78500000000000003</v>
      </c>
      <c r="M223">
        <v>0.227748691</v>
      </c>
      <c r="N223">
        <v>0</v>
      </c>
      <c r="O223" t="s">
        <v>613</v>
      </c>
      <c r="P223">
        <f t="shared" si="29"/>
        <v>13.612083330000001</v>
      </c>
      <c r="Q223">
        <f t="shared" si="30"/>
        <v>3.1E-2</v>
      </c>
      <c r="R223">
        <f t="shared" si="31"/>
        <v>1.2E-2</v>
      </c>
      <c r="S223">
        <f t="shared" si="32"/>
        <v>0.78500000000000003</v>
      </c>
      <c r="T223">
        <f t="shared" si="33"/>
        <v>1.8420000000000001</v>
      </c>
      <c r="U223">
        <f t="shared" si="34"/>
        <v>6.0048644580000001</v>
      </c>
      <c r="V223">
        <f t="shared" si="35"/>
        <v>3.4000000000000002E-2</v>
      </c>
      <c r="W223">
        <f t="shared" si="36"/>
        <v>0.11899999999999999</v>
      </c>
      <c r="X223">
        <f t="shared" si="37"/>
        <v>0.81399999999999995</v>
      </c>
      <c r="Y223">
        <v>57.132796020000001</v>
      </c>
      <c r="Z223">
        <v>0</v>
      </c>
      <c r="AA223">
        <v>152832</v>
      </c>
      <c r="AB223">
        <v>45686</v>
      </c>
      <c r="AC223">
        <v>2.1596295000000001E-2</v>
      </c>
      <c r="AD223">
        <v>0.84212384500000004</v>
      </c>
      <c r="AF223">
        <v>13.612083330000001</v>
      </c>
      <c r="AG223">
        <v>3.1E-2</v>
      </c>
      <c r="AH223">
        <v>1.2E-2</v>
      </c>
      <c r="AI223">
        <v>0.78500000000000003</v>
      </c>
      <c r="AJ223">
        <v>1.8420000000000001</v>
      </c>
      <c r="AK223">
        <v>6.0048644580000001</v>
      </c>
      <c r="AL223">
        <v>3.4000000000000002E-2</v>
      </c>
      <c r="AM223">
        <v>0.11899999999999999</v>
      </c>
      <c r="AN223">
        <v>0.81399999999999995</v>
      </c>
    </row>
    <row r="224" spans="1:40">
      <c r="A224">
        <v>2292</v>
      </c>
      <c r="B224" t="s">
        <v>705</v>
      </c>
      <c r="C224" t="s">
        <v>696</v>
      </c>
      <c r="D224" t="s">
        <v>697</v>
      </c>
      <c r="E224">
        <v>604</v>
      </c>
      <c r="F224">
        <v>2446</v>
      </c>
      <c r="G224">
        <v>64.136867280000004</v>
      </c>
      <c r="H224">
        <v>98</v>
      </c>
      <c r="I224">
        <v>0.10025616699999999</v>
      </c>
      <c r="J224">
        <v>2544</v>
      </c>
      <c r="K224">
        <v>25374.997630000002</v>
      </c>
      <c r="L224">
        <v>0.75600000000000001</v>
      </c>
      <c r="M224">
        <v>0.13960114000000001</v>
      </c>
      <c r="N224">
        <v>0</v>
      </c>
      <c r="O224" t="s">
        <v>613</v>
      </c>
      <c r="P224">
        <f t="shared" si="29"/>
        <v>11.514873100000001</v>
      </c>
      <c r="Q224">
        <f t="shared" si="30"/>
        <v>1.7999999999999999E-2</v>
      </c>
      <c r="R224">
        <f t="shared" si="31"/>
        <v>3.3000000000000002E-2</v>
      </c>
      <c r="S224">
        <f t="shared" si="32"/>
        <v>0.75600000000000001</v>
      </c>
      <c r="T224">
        <f t="shared" si="33"/>
        <v>2.1750909090000001</v>
      </c>
      <c r="U224">
        <f t="shared" si="34"/>
        <v>6.2481469389999997</v>
      </c>
      <c r="V224">
        <f t="shared" si="35"/>
        <v>7.5999999999999998E-2</v>
      </c>
      <c r="W224">
        <f t="shared" si="36"/>
        <v>0.08</v>
      </c>
      <c r="X224">
        <f t="shared" si="37"/>
        <v>0.82799999999999996</v>
      </c>
      <c r="Y224">
        <v>96.616478860000001</v>
      </c>
      <c r="Z224">
        <v>0</v>
      </c>
      <c r="AA224">
        <v>152832</v>
      </c>
      <c r="AB224">
        <v>45686</v>
      </c>
      <c r="AC224">
        <v>2.1596295000000001E-2</v>
      </c>
      <c r="AD224">
        <v>0.84212384500000004</v>
      </c>
      <c r="AF224">
        <v>11.514873100000001</v>
      </c>
      <c r="AG224">
        <v>1.7999999999999999E-2</v>
      </c>
      <c r="AH224">
        <v>3.3000000000000002E-2</v>
      </c>
      <c r="AI224">
        <v>0.75600000000000001</v>
      </c>
      <c r="AJ224">
        <v>2.1750909090000001</v>
      </c>
      <c r="AK224">
        <v>6.2481469389999997</v>
      </c>
      <c r="AL224">
        <v>7.5999999999999998E-2</v>
      </c>
      <c r="AM224">
        <v>0.08</v>
      </c>
      <c r="AN224">
        <v>0.82799999999999996</v>
      </c>
    </row>
    <row r="225" spans="1:40">
      <c r="A225">
        <v>2293</v>
      </c>
      <c r="B225" t="s">
        <v>705</v>
      </c>
      <c r="C225" t="s">
        <v>696</v>
      </c>
      <c r="D225" t="s">
        <v>697</v>
      </c>
      <c r="E225">
        <v>662</v>
      </c>
      <c r="F225">
        <v>2116</v>
      </c>
      <c r="G225">
        <v>180.67603550000001</v>
      </c>
      <c r="H225">
        <v>290</v>
      </c>
      <c r="I225">
        <v>0.28241457399999997</v>
      </c>
      <c r="J225">
        <v>2406</v>
      </c>
      <c r="K225">
        <v>8519.3903630000004</v>
      </c>
      <c r="L225">
        <v>0.84499999999999997</v>
      </c>
      <c r="M225">
        <v>0.304621849</v>
      </c>
      <c r="N225">
        <v>1</v>
      </c>
      <c r="O225" t="s">
        <v>620</v>
      </c>
      <c r="P225">
        <f t="shared" si="29"/>
        <v>13.203714290000001</v>
      </c>
      <c r="Q225">
        <f t="shared" si="30"/>
        <v>8.0000000000000002E-3</v>
      </c>
      <c r="R225">
        <f t="shared" si="31"/>
        <v>2.3E-2</v>
      </c>
      <c r="S225">
        <f t="shared" si="32"/>
        <v>0.84499999999999997</v>
      </c>
      <c r="T225">
        <f t="shared" si="33"/>
        <v>2.5626666669999998</v>
      </c>
      <c r="U225">
        <f t="shared" si="34"/>
        <v>6.8716218720000004</v>
      </c>
      <c r="V225">
        <f t="shared" si="35"/>
        <v>0.04</v>
      </c>
      <c r="W225">
        <f t="shared" si="36"/>
        <v>3.5000000000000003E-2</v>
      </c>
      <c r="X225">
        <f t="shared" si="37"/>
        <v>0.879</v>
      </c>
      <c r="Y225">
        <v>139.07067090000001</v>
      </c>
      <c r="Z225">
        <v>0</v>
      </c>
      <c r="AA225">
        <v>152832</v>
      </c>
      <c r="AB225">
        <v>45686</v>
      </c>
      <c r="AC225">
        <v>2.1596295000000001E-2</v>
      </c>
      <c r="AD225">
        <v>0.84212384500000004</v>
      </c>
      <c r="AF225">
        <v>13.203714290000001</v>
      </c>
      <c r="AG225">
        <v>8.0000000000000002E-3</v>
      </c>
      <c r="AH225">
        <v>2.3E-2</v>
      </c>
      <c r="AI225">
        <v>0.84499999999999997</v>
      </c>
      <c r="AJ225">
        <v>2.5626666669999998</v>
      </c>
      <c r="AK225">
        <v>6.8716218720000004</v>
      </c>
      <c r="AL225">
        <v>0.04</v>
      </c>
      <c r="AM225">
        <v>3.5000000000000003E-2</v>
      </c>
      <c r="AN225">
        <v>0.879</v>
      </c>
    </row>
    <row r="226" spans="1:40">
      <c r="A226">
        <v>2294</v>
      </c>
      <c r="B226" t="s">
        <v>690</v>
      </c>
      <c r="C226" t="s">
        <v>687</v>
      </c>
      <c r="D226" t="s">
        <v>688</v>
      </c>
      <c r="E226">
        <v>731</v>
      </c>
      <c r="F226">
        <v>1774</v>
      </c>
      <c r="G226">
        <v>46.316347520000001</v>
      </c>
      <c r="H226">
        <v>230</v>
      </c>
      <c r="I226">
        <v>7.2400978000000005E-2</v>
      </c>
      <c r="J226">
        <v>2004</v>
      </c>
      <c r="K226">
        <v>27679.184109999998</v>
      </c>
      <c r="L226">
        <v>0.753</v>
      </c>
      <c r="M226">
        <v>0.239334027</v>
      </c>
      <c r="N226">
        <v>0</v>
      </c>
      <c r="O226" t="s">
        <v>613</v>
      </c>
      <c r="P226">
        <f t="shared" si="29"/>
        <v>11.84979592</v>
      </c>
      <c r="Q226">
        <f t="shared" si="30"/>
        <v>4.4999999999999998E-2</v>
      </c>
      <c r="R226">
        <f t="shared" si="31"/>
        <v>2.4E-2</v>
      </c>
      <c r="S226">
        <f t="shared" si="32"/>
        <v>0.753</v>
      </c>
      <c r="T226">
        <f t="shared" si="33"/>
        <v>2.4357142860000001</v>
      </c>
      <c r="U226">
        <f t="shared" si="34"/>
        <v>6.2225301200000001</v>
      </c>
      <c r="V226">
        <f t="shared" si="35"/>
        <v>6.0999999999999999E-2</v>
      </c>
      <c r="W226">
        <f t="shared" si="36"/>
        <v>0.17</v>
      </c>
      <c r="X226">
        <f t="shared" si="37"/>
        <v>0.69299999999999995</v>
      </c>
      <c r="Y226">
        <v>92.188332320000001</v>
      </c>
      <c r="Z226">
        <v>0</v>
      </c>
      <c r="AA226">
        <v>82284</v>
      </c>
      <c r="AB226">
        <v>32030</v>
      </c>
      <c r="AC226">
        <v>4.7570397E-2</v>
      </c>
      <c r="AD226">
        <v>0.78974696300000002</v>
      </c>
      <c r="AF226">
        <v>11.84979592</v>
      </c>
      <c r="AG226">
        <v>4.4999999999999998E-2</v>
      </c>
      <c r="AH226">
        <v>2.4E-2</v>
      </c>
      <c r="AI226">
        <v>0.753</v>
      </c>
      <c r="AJ226">
        <v>2.4357142860000001</v>
      </c>
      <c r="AK226">
        <v>6.2225301200000001</v>
      </c>
      <c r="AL226">
        <v>6.0999999999999999E-2</v>
      </c>
      <c r="AM226">
        <v>0.17</v>
      </c>
      <c r="AN226">
        <v>0.69299999999999995</v>
      </c>
    </row>
    <row r="227" spans="1:40">
      <c r="A227">
        <v>2295</v>
      </c>
      <c r="B227" t="s">
        <v>702</v>
      </c>
      <c r="C227" t="s">
        <v>696</v>
      </c>
      <c r="D227" t="s">
        <v>697</v>
      </c>
      <c r="E227">
        <v>341</v>
      </c>
      <c r="F227">
        <v>1143</v>
      </c>
      <c r="G227">
        <v>88.694466469999995</v>
      </c>
      <c r="H227">
        <v>164</v>
      </c>
      <c r="I227">
        <v>0.13864194499999999</v>
      </c>
      <c r="J227">
        <v>1307</v>
      </c>
      <c r="K227">
        <v>9427.1614549999995</v>
      </c>
      <c r="L227">
        <v>0.81</v>
      </c>
      <c r="M227">
        <v>0.32475247499999998</v>
      </c>
      <c r="N227">
        <v>0</v>
      </c>
      <c r="O227" t="s">
        <v>613</v>
      </c>
      <c r="P227">
        <f t="shared" si="29"/>
        <v>9.8644444440000001</v>
      </c>
      <c r="Q227">
        <f t="shared" si="30"/>
        <v>4.3999999999999997E-2</v>
      </c>
      <c r="R227">
        <f t="shared" si="31"/>
        <v>2.9000000000000001E-2</v>
      </c>
      <c r="S227">
        <f t="shared" si="32"/>
        <v>0.81</v>
      </c>
      <c r="T227">
        <f t="shared" si="33"/>
        <v>3.093157895</v>
      </c>
      <c r="U227">
        <f t="shared" si="34"/>
        <v>6.5790733589999997</v>
      </c>
      <c r="V227">
        <f t="shared" si="35"/>
        <v>2.1000000000000001E-2</v>
      </c>
      <c r="W227">
        <f t="shared" si="36"/>
        <v>0.10299999999999999</v>
      </c>
      <c r="X227">
        <f t="shared" si="37"/>
        <v>0.745</v>
      </c>
      <c r="Y227">
        <v>158.5119761</v>
      </c>
      <c r="Z227">
        <v>0</v>
      </c>
      <c r="AA227">
        <v>90778</v>
      </c>
      <c r="AB227">
        <v>31662</v>
      </c>
      <c r="AC227">
        <v>3.1753482E-2</v>
      </c>
      <c r="AD227">
        <v>0.82960131100000001</v>
      </c>
      <c r="AF227">
        <v>9.8644444440000001</v>
      </c>
      <c r="AG227">
        <v>4.3999999999999997E-2</v>
      </c>
      <c r="AH227">
        <v>2.9000000000000001E-2</v>
      </c>
      <c r="AI227">
        <v>0.81</v>
      </c>
      <c r="AJ227">
        <v>3.093157895</v>
      </c>
      <c r="AK227">
        <v>6.5790733589999997</v>
      </c>
      <c r="AL227">
        <v>2.1000000000000001E-2</v>
      </c>
      <c r="AM227">
        <v>0.10299999999999999</v>
      </c>
      <c r="AN227">
        <v>0.745</v>
      </c>
    </row>
    <row r="228" spans="1:40">
      <c r="A228">
        <v>2296</v>
      </c>
      <c r="B228" t="s">
        <v>683</v>
      </c>
      <c r="C228" t="s">
        <v>684</v>
      </c>
      <c r="D228" t="s">
        <v>685</v>
      </c>
      <c r="E228">
        <v>617</v>
      </c>
      <c r="F228">
        <v>1963</v>
      </c>
      <c r="G228">
        <v>100.284009</v>
      </c>
      <c r="H228">
        <v>288</v>
      </c>
      <c r="I228">
        <v>0.156750586</v>
      </c>
      <c r="J228">
        <v>2251</v>
      </c>
      <c r="K228">
        <v>14360.392889999999</v>
      </c>
      <c r="L228">
        <v>0.82399999999999995</v>
      </c>
      <c r="M228">
        <v>0.31823204399999999</v>
      </c>
      <c r="N228">
        <v>1</v>
      </c>
      <c r="O228" t="s">
        <v>613</v>
      </c>
      <c r="P228">
        <f t="shared" si="29"/>
        <v>12.487675680000001</v>
      </c>
      <c r="Q228">
        <f t="shared" si="30"/>
        <v>2.7E-2</v>
      </c>
      <c r="R228">
        <f t="shared" si="31"/>
        <v>1.7999999999999999E-2</v>
      </c>
      <c r="S228">
        <f t="shared" si="32"/>
        <v>0.82399999999999995</v>
      </c>
      <c r="T228">
        <f t="shared" si="33"/>
        <v>2.5607142860000001</v>
      </c>
      <c r="U228">
        <f t="shared" si="34"/>
        <v>6.8451304349999997</v>
      </c>
      <c r="V228">
        <f t="shared" si="35"/>
        <v>6.0999999999999999E-2</v>
      </c>
      <c r="W228">
        <f t="shared" si="36"/>
        <v>8.3000000000000004E-2</v>
      </c>
      <c r="X228">
        <f t="shared" si="37"/>
        <v>0.80400000000000005</v>
      </c>
      <c r="Y228">
        <v>210.26118159999999</v>
      </c>
      <c r="Z228">
        <v>0</v>
      </c>
      <c r="AA228">
        <v>75370</v>
      </c>
      <c r="AB228">
        <v>21403</v>
      </c>
      <c r="AC228">
        <v>2.4597187E-2</v>
      </c>
      <c r="AD228">
        <v>0.84342094400000001</v>
      </c>
      <c r="AF228">
        <v>12.487675680000001</v>
      </c>
      <c r="AG228">
        <v>2.7E-2</v>
      </c>
      <c r="AH228">
        <v>1.7999999999999999E-2</v>
      </c>
      <c r="AI228">
        <v>0.82399999999999995</v>
      </c>
      <c r="AJ228">
        <v>2.5607142860000001</v>
      </c>
      <c r="AK228">
        <v>6.8451304349999997</v>
      </c>
      <c r="AL228">
        <v>6.0999999999999999E-2</v>
      </c>
      <c r="AM228">
        <v>8.3000000000000004E-2</v>
      </c>
      <c r="AN228">
        <v>0.80400000000000005</v>
      </c>
    </row>
    <row r="229" spans="1:40">
      <c r="A229">
        <v>2297</v>
      </c>
      <c r="B229" t="s">
        <v>702</v>
      </c>
      <c r="C229" t="s">
        <v>696</v>
      </c>
      <c r="D229" t="s">
        <v>697</v>
      </c>
      <c r="E229">
        <v>292</v>
      </c>
      <c r="F229">
        <v>855</v>
      </c>
      <c r="G229">
        <v>48.104610960000002</v>
      </c>
      <c r="H229">
        <v>5</v>
      </c>
      <c r="I229">
        <v>7.5193301000000004E-2</v>
      </c>
      <c r="J229">
        <v>860</v>
      </c>
      <c r="K229">
        <v>11437.18907</v>
      </c>
      <c r="L229">
        <v>0.80300000000000005</v>
      </c>
      <c r="M229">
        <v>1.6835017000000001E-2</v>
      </c>
      <c r="N229">
        <v>0</v>
      </c>
      <c r="O229" t="s">
        <v>620</v>
      </c>
      <c r="P229">
        <f t="shared" si="29"/>
        <v>10.80272727</v>
      </c>
      <c r="Q229">
        <f t="shared" si="30"/>
        <v>3.4000000000000002E-2</v>
      </c>
      <c r="R229">
        <f t="shared" si="31"/>
        <v>4.4999999999999998E-2</v>
      </c>
      <c r="S229">
        <f t="shared" si="32"/>
        <v>0.80300000000000005</v>
      </c>
      <c r="T229">
        <f t="shared" si="33"/>
        <v>2.4593750000000001</v>
      </c>
      <c r="U229">
        <f t="shared" si="34"/>
        <v>6.5818382350000002</v>
      </c>
      <c r="V229">
        <f t="shared" si="35"/>
        <v>0.152</v>
      </c>
      <c r="W229">
        <f t="shared" si="36"/>
        <v>0.10100000000000001</v>
      </c>
      <c r="X229">
        <f t="shared" si="37"/>
        <v>0.69599999999999995</v>
      </c>
      <c r="Y229">
        <v>199.45660219999999</v>
      </c>
      <c r="Z229">
        <v>0</v>
      </c>
      <c r="AA229">
        <v>90778</v>
      </c>
      <c r="AB229">
        <v>31662</v>
      </c>
      <c r="AC229">
        <v>3.1753482E-2</v>
      </c>
      <c r="AD229">
        <v>0.82960131100000001</v>
      </c>
      <c r="AF229">
        <v>10.80272727</v>
      </c>
      <c r="AG229">
        <v>3.4000000000000002E-2</v>
      </c>
      <c r="AH229">
        <v>4.4999999999999998E-2</v>
      </c>
      <c r="AI229">
        <v>0.80300000000000005</v>
      </c>
      <c r="AJ229">
        <v>2.4593750000000001</v>
      </c>
      <c r="AK229">
        <v>6.5818382350000002</v>
      </c>
      <c r="AL229">
        <v>0.152</v>
      </c>
      <c r="AM229">
        <v>0.10100000000000001</v>
      </c>
      <c r="AN229">
        <v>0.69599999999999995</v>
      </c>
    </row>
    <row r="230" spans="1:40">
      <c r="A230">
        <v>2298</v>
      </c>
      <c r="B230" t="s">
        <v>705</v>
      </c>
      <c r="C230" t="s">
        <v>696</v>
      </c>
      <c r="D230" t="s">
        <v>697</v>
      </c>
      <c r="E230">
        <v>266</v>
      </c>
      <c r="F230">
        <v>808</v>
      </c>
      <c r="G230">
        <v>43.334205330000003</v>
      </c>
      <c r="H230">
        <v>122</v>
      </c>
      <c r="I230">
        <v>6.7741113000000006E-2</v>
      </c>
      <c r="J230">
        <v>930</v>
      </c>
      <c r="K230">
        <v>13728.73812</v>
      </c>
      <c r="L230">
        <v>0.80900000000000005</v>
      </c>
      <c r="M230">
        <v>0.31443299000000002</v>
      </c>
      <c r="N230">
        <v>0</v>
      </c>
      <c r="O230" t="s">
        <v>620</v>
      </c>
      <c r="P230">
        <f t="shared" si="29"/>
        <v>14.80136364</v>
      </c>
      <c r="Q230">
        <f t="shared" si="30"/>
        <v>4.4999999999999998E-2</v>
      </c>
      <c r="R230">
        <f t="shared" si="31"/>
        <v>2.5000000000000001E-2</v>
      </c>
      <c r="S230">
        <f t="shared" si="32"/>
        <v>0.80900000000000005</v>
      </c>
      <c r="T230">
        <f t="shared" si="33"/>
        <v>2.1914285709999999</v>
      </c>
      <c r="U230">
        <f t="shared" si="34"/>
        <v>8.3176379689999997</v>
      </c>
      <c r="V230">
        <f t="shared" si="35"/>
        <v>3.4000000000000002E-2</v>
      </c>
      <c r="W230">
        <f t="shared" si="36"/>
        <v>0.17599999999999999</v>
      </c>
      <c r="X230">
        <f t="shared" si="37"/>
        <v>0.73899999999999999</v>
      </c>
      <c r="Y230">
        <v>142.2656815</v>
      </c>
      <c r="Z230">
        <v>0</v>
      </c>
      <c r="AA230">
        <v>152832</v>
      </c>
      <c r="AB230">
        <v>45686</v>
      </c>
      <c r="AC230">
        <v>2.1596295000000001E-2</v>
      </c>
      <c r="AD230">
        <v>0.84212384500000004</v>
      </c>
      <c r="AF230">
        <v>14.80136364</v>
      </c>
      <c r="AG230">
        <v>4.4999999999999998E-2</v>
      </c>
      <c r="AH230">
        <v>2.5000000000000001E-2</v>
      </c>
      <c r="AI230">
        <v>0.80900000000000005</v>
      </c>
      <c r="AJ230">
        <v>2.1914285709999999</v>
      </c>
      <c r="AK230">
        <v>8.3176379689999997</v>
      </c>
      <c r="AL230">
        <v>3.4000000000000002E-2</v>
      </c>
      <c r="AM230">
        <v>0.17599999999999999</v>
      </c>
      <c r="AN230">
        <v>0.73899999999999999</v>
      </c>
    </row>
    <row r="231" spans="1:40">
      <c r="A231">
        <v>2299</v>
      </c>
      <c r="B231" t="s">
        <v>708</v>
      </c>
      <c r="C231" t="s">
        <v>696</v>
      </c>
      <c r="D231" t="s">
        <v>697</v>
      </c>
      <c r="E231">
        <v>465</v>
      </c>
      <c r="F231">
        <v>1741</v>
      </c>
      <c r="G231">
        <v>82.080713829999993</v>
      </c>
      <c r="H231">
        <v>131</v>
      </c>
      <c r="I231">
        <v>0.12830467800000001</v>
      </c>
      <c r="J231">
        <v>1872</v>
      </c>
      <c r="K231">
        <v>14590.27082</v>
      </c>
      <c r="L231">
        <v>0.84699999999999998</v>
      </c>
      <c r="M231">
        <v>0.21979865800000001</v>
      </c>
      <c r="N231">
        <v>0</v>
      </c>
      <c r="O231" t="s">
        <v>620</v>
      </c>
      <c r="P231">
        <f t="shared" si="29"/>
        <v>11.158358209999999</v>
      </c>
      <c r="Q231">
        <f t="shared" si="30"/>
        <v>2.1999999999999999E-2</v>
      </c>
      <c r="R231">
        <f t="shared" si="31"/>
        <v>1.6E-2</v>
      </c>
      <c r="S231">
        <f t="shared" si="32"/>
        <v>0.84699999999999998</v>
      </c>
      <c r="T231">
        <f t="shared" si="33"/>
        <v>3.0093749999999999</v>
      </c>
      <c r="U231">
        <f t="shared" si="34"/>
        <v>5.722594859</v>
      </c>
      <c r="V231">
        <f t="shared" si="35"/>
        <v>7.0000000000000007E-2</v>
      </c>
      <c r="W231">
        <f t="shared" si="36"/>
        <v>7.0000000000000007E-2</v>
      </c>
      <c r="X231">
        <f t="shared" si="37"/>
        <v>0.84799999999999998</v>
      </c>
      <c r="Y231">
        <v>93.850170309999996</v>
      </c>
      <c r="Z231">
        <v>0</v>
      </c>
      <c r="AA231">
        <v>14998</v>
      </c>
      <c r="AB231">
        <v>4485</v>
      </c>
      <c r="AC231">
        <v>2.8516413000000001E-2</v>
      </c>
      <c r="AD231">
        <v>0.81835686799999996</v>
      </c>
      <c r="AF231">
        <v>11.158358209999999</v>
      </c>
      <c r="AG231">
        <v>2.1999999999999999E-2</v>
      </c>
      <c r="AH231">
        <v>1.6E-2</v>
      </c>
      <c r="AI231">
        <v>0.84699999999999998</v>
      </c>
      <c r="AJ231">
        <v>3.0093749999999999</v>
      </c>
      <c r="AK231">
        <v>5.722594859</v>
      </c>
      <c r="AL231">
        <v>7.0000000000000007E-2</v>
      </c>
      <c r="AM231">
        <v>7.0000000000000007E-2</v>
      </c>
      <c r="AN231">
        <v>0.84799999999999998</v>
      </c>
    </row>
    <row r="232" spans="1:40">
      <c r="A232">
        <v>2300</v>
      </c>
      <c r="B232" t="s">
        <v>708</v>
      </c>
      <c r="C232" t="s">
        <v>696</v>
      </c>
      <c r="D232" t="s">
        <v>697</v>
      </c>
      <c r="E232">
        <v>508</v>
      </c>
      <c r="F232">
        <v>1772</v>
      </c>
      <c r="G232">
        <v>100.3064686</v>
      </c>
      <c r="H232">
        <v>91</v>
      </c>
      <c r="I232">
        <v>0.15678667099999999</v>
      </c>
      <c r="J232">
        <v>1863</v>
      </c>
      <c r="K232">
        <v>11882.387629999999</v>
      </c>
      <c r="L232">
        <v>0.80400000000000005</v>
      </c>
      <c r="M232">
        <v>0.15191986599999999</v>
      </c>
      <c r="N232">
        <v>0</v>
      </c>
      <c r="O232" t="s">
        <v>620</v>
      </c>
      <c r="P232">
        <f t="shared" si="29"/>
        <v>11.466344830000001</v>
      </c>
      <c r="Q232">
        <f t="shared" si="30"/>
        <v>0.02</v>
      </c>
      <c r="R232">
        <f t="shared" si="31"/>
        <v>2.5999999999999999E-2</v>
      </c>
      <c r="S232">
        <f t="shared" si="32"/>
        <v>0.80400000000000005</v>
      </c>
      <c r="T232">
        <f t="shared" si="33"/>
        <v>2.0916129030000001</v>
      </c>
      <c r="U232">
        <f t="shared" si="34"/>
        <v>6.3485262010000003</v>
      </c>
      <c r="V232">
        <f t="shared" si="35"/>
        <v>4.2000000000000003E-2</v>
      </c>
      <c r="W232">
        <f t="shared" si="36"/>
        <v>7.0999999999999994E-2</v>
      </c>
      <c r="X232">
        <f t="shared" si="37"/>
        <v>0.86299999999999999</v>
      </c>
      <c r="Y232">
        <v>206.05619010000001</v>
      </c>
      <c r="Z232">
        <v>0</v>
      </c>
      <c r="AA232">
        <v>14998</v>
      </c>
      <c r="AB232">
        <v>4485</v>
      </c>
      <c r="AC232">
        <v>2.8516413000000001E-2</v>
      </c>
      <c r="AD232">
        <v>0.81835686799999996</v>
      </c>
      <c r="AF232">
        <v>11.466344830000001</v>
      </c>
      <c r="AG232">
        <v>0.02</v>
      </c>
      <c r="AH232">
        <v>2.5999999999999999E-2</v>
      </c>
      <c r="AI232">
        <v>0.80400000000000005</v>
      </c>
      <c r="AJ232">
        <v>2.0916129030000001</v>
      </c>
      <c r="AK232">
        <v>6.3485262010000003</v>
      </c>
      <c r="AL232">
        <v>4.2000000000000003E-2</v>
      </c>
      <c r="AM232">
        <v>7.0999999999999994E-2</v>
      </c>
      <c r="AN232">
        <v>0.86299999999999999</v>
      </c>
    </row>
    <row r="233" spans="1:40">
      <c r="A233">
        <v>2301</v>
      </c>
      <c r="B233" t="s">
        <v>705</v>
      </c>
      <c r="C233" t="s">
        <v>696</v>
      </c>
      <c r="D233" t="s">
        <v>697</v>
      </c>
      <c r="E233">
        <v>341</v>
      </c>
      <c r="F233">
        <v>1181</v>
      </c>
      <c r="G233">
        <v>131.7667543</v>
      </c>
      <c r="H233">
        <v>145</v>
      </c>
      <c r="I233">
        <v>0.20595946000000001</v>
      </c>
      <c r="J233">
        <v>1326</v>
      </c>
      <c r="K233">
        <v>6438.1602089999997</v>
      </c>
      <c r="L233">
        <v>0.82799999999999996</v>
      </c>
      <c r="M233">
        <v>0.29835390899999997</v>
      </c>
      <c r="N233">
        <v>0</v>
      </c>
      <c r="O233" t="s">
        <v>620</v>
      </c>
      <c r="P233">
        <f t="shared" si="29"/>
        <v>10.70706897</v>
      </c>
      <c r="Q233">
        <f t="shared" si="30"/>
        <v>0.03</v>
      </c>
      <c r="R233">
        <f t="shared" si="31"/>
        <v>0.02</v>
      </c>
      <c r="S233">
        <f t="shared" si="32"/>
        <v>0.82799999999999996</v>
      </c>
      <c r="T233">
        <f t="shared" si="33"/>
        <v>2.0342857140000001</v>
      </c>
      <c r="U233">
        <f t="shared" si="34"/>
        <v>6.5856719019999996</v>
      </c>
      <c r="V233">
        <f t="shared" si="35"/>
        <v>2.8000000000000001E-2</v>
      </c>
      <c r="W233">
        <f t="shared" si="36"/>
        <v>0.106</v>
      </c>
      <c r="X233">
        <f t="shared" si="37"/>
        <v>0.81699999999999995</v>
      </c>
      <c r="Y233">
        <v>114.6085058</v>
      </c>
      <c r="Z233">
        <v>0</v>
      </c>
      <c r="AA233">
        <v>152832</v>
      </c>
      <c r="AB233">
        <v>45686</v>
      </c>
      <c r="AC233">
        <v>2.1596295000000001E-2</v>
      </c>
      <c r="AD233">
        <v>0.84212384500000004</v>
      </c>
      <c r="AF233">
        <v>10.70706897</v>
      </c>
      <c r="AG233">
        <v>0.03</v>
      </c>
      <c r="AH233">
        <v>0.02</v>
      </c>
      <c r="AI233">
        <v>0.82799999999999996</v>
      </c>
      <c r="AJ233">
        <v>2.0342857140000001</v>
      </c>
      <c r="AK233">
        <v>6.5856719019999996</v>
      </c>
      <c r="AL233">
        <v>2.8000000000000001E-2</v>
      </c>
      <c r="AM233">
        <v>0.106</v>
      </c>
      <c r="AN233">
        <v>0.81699999999999995</v>
      </c>
    </row>
    <row r="234" spans="1:40">
      <c r="A234">
        <v>2302</v>
      </c>
      <c r="B234" t="s">
        <v>686</v>
      </c>
      <c r="C234" t="s">
        <v>687</v>
      </c>
      <c r="D234" t="s">
        <v>688</v>
      </c>
      <c r="E234">
        <v>708</v>
      </c>
      <c r="F234">
        <v>1632</v>
      </c>
      <c r="G234">
        <v>73.488370099999997</v>
      </c>
      <c r="H234">
        <v>515</v>
      </c>
      <c r="I234">
        <v>0.11487707699999999</v>
      </c>
      <c r="J234">
        <v>2147</v>
      </c>
      <c r="K234">
        <v>18689.542389999999</v>
      </c>
      <c r="L234">
        <v>0.64100000000000001</v>
      </c>
      <c r="M234">
        <v>0.42109566599999998</v>
      </c>
      <c r="N234">
        <v>0</v>
      </c>
      <c r="O234" t="s">
        <v>606</v>
      </c>
      <c r="P234">
        <f t="shared" si="29"/>
        <v>11.12</v>
      </c>
      <c r="Q234">
        <f t="shared" si="30"/>
        <v>8.8999999999999996E-2</v>
      </c>
      <c r="R234">
        <f t="shared" si="31"/>
        <v>2.7E-2</v>
      </c>
      <c r="S234">
        <f t="shared" si="32"/>
        <v>0.64100000000000001</v>
      </c>
      <c r="T234">
        <f t="shared" si="33"/>
        <v>1.385</v>
      </c>
      <c r="U234">
        <f t="shared" si="34"/>
        <v>5.9304887979999998</v>
      </c>
      <c r="V234">
        <f t="shared" si="35"/>
        <v>2.7E-2</v>
      </c>
      <c r="W234">
        <f t="shared" si="36"/>
        <v>0.19900000000000001</v>
      </c>
      <c r="X234">
        <f t="shared" si="37"/>
        <v>0.60199999999999998</v>
      </c>
      <c r="Y234">
        <v>295.53243220000002</v>
      </c>
      <c r="Z234">
        <v>1</v>
      </c>
      <c r="AA234">
        <v>140316</v>
      </c>
      <c r="AB234">
        <v>49638</v>
      </c>
      <c r="AC234">
        <v>9.1283894000000004E-2</v>
      </c>
      <c r="AD234">
        <v>0.60339869999999995</v>
      </c>
      <c r="AF234">
        <v>11.12</v>
      </c>
      <c r="AG234">
        <v>8.8999999999999996E-2</v>
      </c>
      <c r="AH234">
        <v>2.7E-2</v>
      </c>
      <c r="AI234">
        <v>0.64100000000000001</v>
      </c>
      <c r="AJ234">
        <v>1.385</v>
      </c>
      <c r="AK234">
        <v>5.9304887979999998</v>
      </c>
      <c r="AL234">
        <v>2.7E-2</v>
      </c>
      <c r="AM234">
        <v>0.19900000000000001</v>
      </c>
      <c r="AN234">
        <v>0.60199999999999998</v>
      </c>
    </row>
    <row r="235" spans="1:40">
      <c r="A235">
        <v>2303</v>
      </c>
      <c r="B235" t="s">
        <v>686</v>
      </c>
      <c r="C235" t="s">
        <v>687</v>
      </c>
      <c r="D235" t="s">
        <v>688</v>
      </c>
      <c r="E235">
        <v>815</v>
      </c>
      <c r="F235">
        <v>2061</v>
      </c>
      <c r="G235">
        <v>22.34593194</v>
      </c>
      <c r="H235">
        <v>336</v>
      </c>
      <c r="I235">
        <v>3.4928543999999999E-2</v>
      </c>
      <c r="J235">
        <v>2397</v>
      </c>
      <c r="K235">
        <v>68625.820760000002</v>
      </c>
      <c r="L235">
        <v>0.52600000000000002</v>
      </c>
      <c r="M235">
        <v>0.29192006999999998</v>
      </c>
      <c r="N235">
        <v>0</v>
      </c>
      <c r="O235" t="s">
        <v>606</v>
      </c>
      <c r="P235">
        <f t="shared" si="29"/>
        <v>9.6196932519999994</v>
      </c>
      <c r="Q235">
        <f t="shared" si="30"/>
        <v>6.4000000000000001E-2</v>
      </c>
      <c r="R235">
        <f t="shared" si="31"/>
        <v>3.9E-2</v>
      </c>
      <c r="S235">
        <f t="shared" si="32"/>
        <v>0.52600000000000002</v>
      </c>
      <c r="T235">
        <f t="shared" si="33"/>
        <v>1.402318841</v>
      </c>
      <c r="U235">
        <f t="shared" si="34"/>
        <v>5.8434146340000002</v>
      </c>
      <c r="V235">
        <f t="shared" si="35"/>
        <v>8.7999999999999995E-2</v>
      </c>
      <c r="W235">
        <f t="shared" si="36"/>
        <v>0.17299999999999999</v>
      </c>
      <c r="X235">
        <f t="shared" si="37"/>
        <v>0.47799999999999998</v>
      </c>
      <c r="Y235">
        <v>115.2158589</v>
      </c>
      <c r="Z235">
        <v>1</v>
      </c>
      <c r="AA235">
        <v>140316</v>
      </c>
      <c r="AB235">
        <v>49638</v>
      </c>
      <c r="AC235">
        <v>9.1283894000000004E-2</v>
      </c>
      <c r="AD235">
        <v>0.60339869999999995</v>
      </c>
      <c r="AF235">
        <v>9.6196932519999994</v>
      </c>
      <c r="AG235">
        <v>6.4000000000000001E-2</v>
      </c>
      <c r="AH235">
        <v>3.9E-2</v>
      </c>
      <c r="AI235">
        <v>0.52600000000000002</v>
      </c>
      <c r="AJ235">
        <v>1.402318841</v>
      </c>
      <c r="AK235">
        <v>5.8434146340000002</v>
      </c>
      <c r="AL235">
        <v>8.7999999999999995E-2</v>
      </c>
      <c r="AM235">
        <v>0.17299999999999999</v>
      </c>
      <c r="AN235">
        <v>0.47799999999999998</v>
      </c>
    </row>
    <row r="236" spans="1:40">
      <c r="A236">
        <v>2304</v>
      </c>
      <c r="B236" t="s">
        <v>705</v>
      </c>
      <c r="C236" t="s">
        <v>696</v>
      </c>
      <c r="D236" t="s">
        <v>697</v>
      </c>
      <c r="E236">
        <v>377</v>
      </c>
      <c r="F236">
        <v>1255</v>
      </c>
      <c r="G236">
        <v>119.02357120000001</v>
      </c>
      <c r="H236">
        <v>16</v>
      </c>
      <c r="I236">
        <v>0.186047557</v>
      </c>
      <c r="J236">
        <v>1271</v>
      </c>
      <c r="K236">
        <v>6831.5866139999998</v>
      </c>
      <c r="L236">
        <v>0.86299999999999999</v>
      </c>
      <c r="M236">
        <v>4.0712468000000002E-2</v>
      </c>
      <c r="N236">
        <v>0</v>
      </c>
      <c r="O236" t="s">
        <v>620</v>
      </c>
      <c r="P236">
        <f t="shared" si="29"/>
        <v>12.438545449999999</v>
      </c>
      <c r="Q236">
        <f t="shared" si="30"/>
        <v>1.7999999999999999E-2</v>
      </c>
      <c r="R236">
        <f t="shared" si="31"/>
        <v>1.2999999999999999E-2</v>
      </c>
      <c r="S236">
        <f t="shared" si="32"/>
        <v>0.86299999999999999</v>
      </c>
      <c r="T236">
        <f t="shared" si="33"/>
        <v>2.1234999999999999</v>
      </c>
      <c r="U236">
        <f t="shared" si="34"/>
        <v>6.0768848579999997</v>
      </c>
      <c r="V236">
        <f t="shared" si="35"/>
        <v>3.8837398373983721E-2</v>
      </c>
      <c r="W236">
        <f t="shared" si="36"/>
        <v>0.08</v>
      </c>
      <c r="X236">
        <f t="shared" si="37"/>
        <v>0.88</v>
      </c>
      <c r="Y236">
        <v>85.975608510000001</v>
      </c>
      <c r="Z236">
        <v>0</v>
      </c>
      <c r="AA236">
        <v>152832</v>
      </c>
      <c r="AB236">
        <v>45686</v>
      </c>
      <c r="AC236">
        <v>2.1596295000000001E-2</v>
      </c>
      <c r="AD236">
        <v>0.84212384500000004</v>
      </c>
      <c r="AF236">
        <v>12.438545449999999</v>
      </c>
      <c r="AG236">
        <v>1.7999999999999999E-2</v>
      </c>
      <c r="AH236">
        <v>1.2999999999999999E-2</v>
      </c>
      <c r="AI236">
        <v>0.86299999999999999</v>
      </c>
      <c r="AJ236">
        <v>2.1234999999999999</v>
      </c>
      <c r="AK236">
        <v>6.0768848579999997</v>
      </c>
      <c r="AL236">
        <v>0</v>
      </c>
      <c r="AM236">
        <v>0.08</v>
      </c>
      <c r="AN236">
        <v>0.88</v>
      </c>
    </row>
    <row r="237" spans="1:40">
      <c r="A237">
        <v>2305</v>
      </c>
      <c r="B237" t="s">
        <v>690</v>
      </c>
      <c r="C237" t="s">
        <v>687</v>
      </c>
      <c r="D237" t="s">
        <v>688</v>
      </c>
      <c r="E237">
        <v>0</v>
      </c>
      <c r="F237">
        <v>104</v>
      </c>
      <c r="G237">
        <v>64.584605359999998</v>
      </c>
      <c r="H237">
        <v>359</v>
      </c>
      <c r="I237">
        <v>0.100953585</v>
      </c>
      <c r="J237">
        <v>463</v>
      </c>
      <c r="K237">
        <v>4586.2660550000001</v>
      </c>
      <c r="L237">
        <v>0.91900000000000004</v>
      </c>
      <c r="M237" s="515">
        <v>1</v>
      </c>
      <c r="N237">
        <v>0</v>
      </c>
      <c r="O237" t="s">
        <v>613</v>
      </c>
      <c r="P237">
        <f t="shared" si="29"/>
        <v>16.654038459999999</v>
      </c>
      <c r="Q237">
        <f t="shared" si="30"/>
        <v>5.2130434782608696E-2</v>
      </c>
      <c r="R237">
        <f t="shared" si="31"/>
        <v>5.0999999999999997E-2</v>
      </c>
      <c r="S237">
        <f t="shared" si="32"/>
        <v>0.91900000000000004</v>
      </c>
      <c r="T237">
        <f t="shared" si="33"/>
        <v>3.4991666669999999</v>
      </c>
      <c r="U237">
        <f t="shared" si="34"/>
        <v>10.724545450000001</v>
      </c>
      <c r="V237">
        <f t="shared" si="35"/>
        <v>0.156</v>
      </c>
      <c r="W237">
        <f t="shared" si="36"/>
        <v>0.1524347826086957</v>
      </c>
      <c r="X237">
        <f t="shared" si="37"/>
        <v>0.81200000000000006</v>
      </c>
      <c r="Y237">
        <v>142.0188842</v>
      </c>
      <c r="Z237">
        <v>0</v>
      </c>
      <c r="AA237">
        <v>82284</v>
      </c>
      <c r="AB237">
        <v>32030</v>
      </c>
      <c r="AC237">
        <v>4.7570397E-2</v>
      </c>
      <c r="AD237">
        <v>0.78974696300000002</v>
      </c>
      <c r="AF237">
        <v>16.654038459999999</v>
      </c>
      <c r="AG237">
        <v>0</v>
      </c>
      <c r="AH237">
        <v>5.0999999999999997E-2</v>
      </c>
      <c r="AI237">
        <v>0.91900000000000004</v>
      </c>
      <c r="AJ237">
        <v>3.4991666669999999</v>
      </c>
      <c r="AK237">
        <v>10.724545450000001</v>
      </c>
      <c r="AL237">
        <v>0.156</v>
      </c>
      <c r="AM237">
        <v>0</v>
      </c>
      <c r="AN237">
        <v>0.81200000000000006</v>
      </c>
    </row>
    <row r="238" spans="1:40">
      <c r="A238">
        <v>2306</v>
      </c>
      <c r="B238" t="s">
        <v>691</v>
      </c>
      <c r="C238" t="s">
        <v>684</v>
      </c>
      <c r="D238" t="s">
        <v>685</v>
      </c>
      <c r="E238">
        <v>1068</v>
      </c>
      <c r="F238">
        <v>3125</v>
      </c>
      <c r="G238">
        <v>129.0169707</v>
      </c>
      <c r="H238">
        <v>684</v>
      </c>
      <c r="I238">
        <v>0.20166176299999999</v>
      </c>
      <c r="J238">
        <v>3809</v>
      </c>
      <c r="K238">
        <v>18888.062580000002</v>
      </c>
      <c r="L238">
        <v>0.84499999999999997</v>
      </c>
      <c r="M238">
        <v>0.390410959</v>
      </c>
      <c r="N238">
        <v>0</v>
      </c>
      <c r="O238" t="s">
        <v>620</v>
      </c>
      <c r="P238">
        <f t="shared" si="29"/>
        <v>13.495048779999999</v>
      </c>
      <c r="Q238">
        <f t="shared" si="30"/>
        <v>1.7999999999999999E-2</v>
      </c>
      <c r="R238">
        <f t="shared" si="31"/>
        <v>1.4999999999999999E-2</v>
      </c>
      <c r="S238">
        <f t="shared" si="32"/>
        <v>0.84499999999999997</v>
      </c>
      <c r="T238">
        <f t="shared" si="33"/>
        <v>2.54325</v>
      </c>
      <c r="U238">
        <f t="shared" si="34"/>
        <v>7.3461626310000003</v>
      </c>
      <c r="V238">
        <f t="shared" si="35"/>
        <v>2.5999999999999999E-2</v>
      </c>
      <c r="W238">
        <f t="shared" si="36"/>
        <v>5.6000000000000001E-2</v>
      </c>
      <c r="X238">
        <f t="shared" si="37"/>
        <v>0.88</v>
      </c>
      <c r="Y238">
        <v>139.31570310000001</v>
      </c>
      <c r="Z238">
        <v>0</v>
      </c>
      <c r="AA238">
        <v>236250</v>
      </c>
      <c r="AB238">
        <v>76158</v>
      </c>
      <c r="AC238">
        <v>1.7652984E-2</v>
      </c>
      <c r="AD238">
        <v>0.84750225300000004</v>
      </c>
      <c r="AF238">
        <v>13.495048779999999</v>
      </c>
      <c r="AG238">
        <v>1.7999999999999999E-2</v>
      </c>
      <c r="AH238">
        <v>1.4999999999999999E-2</v>
      </c>
      <c r="AI238">
        <v>0.84499999999999997</v>
      </c>
      <c r="AJ238">
        <v>2.54325</v>
      </c>
      <c r="AK238">
        <v>7.3461626310000003</v>
      </c>
      <c r="AL238">
        <v>2.5999999999999999E-2</v>
      </c>
      <c r="AM238">
        <v>5.6000000000000001E-2</v>
      </c>
      <c r="AN238">
        <v>0.88</v>
      </c>
    </row>
    <row r="239" spans="1:40">
      <c r="A239">
        <v>2307</v>
      </c>
      <c r="B239" t="s">
        <v>686</v>
      </c>
      <c r="C239" t="s">
        <v>687</v>
      </c>
      <c r="D239" t="s">
        <v>688</v>
      </c>
      <c r="E239">
        <v>477</v>
      </c>
      <c r="F239">
        <v>1340</v>
      </c>
      <c r="G239">
        <v>57.905927200000001</v>
      </c>
      <c r="H239">
        <v>599</v>
      </c>
      <c r="I239">
        <v>9.0522174999999996E-2</v>
      </c>
      <c r="J239">
        <v>1939</v>
      </c>
      <c r="K239">
        <v>21420.165830000002</v>
      </c>
      <c r="L239">
        <v>0.77300000000000002</v>
      </c>
      <c r="M239">
        <v>0.55669144999999998</v>
      </c>
      <c r="N239">
        <v>0</v>
      </c>
      <c r="O239" t="s">
        <v>613</v>
      </c>
      <c r="P239">
        <f t="shared" si="29"/>
        <v>8.7927380950000007</v>
      </c>
      <c r="Q239">
        <f t="shared" si="30"/>
        <v>7.1999999999999995E-2</v>
      </c>
      <c r="R239">
        <f t="shared" si="31"/>
        <v>2.9000000000000001E-2</v>
      </c>
      <c r="S239">
        <f t="shared" si="32"/>
        <v>0.77300000000000002</v>
      </c>
      <c r="T239">
        <f t="shared" si="33"/>
        <v>2.0088095240000001</v>
      </c>
      <c r="U239">
        <f t="shared" si="34"/>
        <v>5.5071843779999998</v>
      </c>
      <c r="V239">
        <f t="shared" si="35"/>
        <v>0.06</v>
      </c>
      <c r="W239">
        <f t="shared" si="36"/>
        <v>0.17699999999999999</v>
      </c>
      <c r="X239">
        <f t="shared" si="37"/>
        <v>0.67700000000000005</v>
      </c>
      <c r="Y239">
        <v>139.9820661</v>
      </c>
      <c r="Z239">
        <v>1</v>
      </c>
      <c r="AA239">
        <v>140316</v>
      </c>
      <c r="AB239">
        <v>49638</v>
      </c>
      <c r="AC239">
        <v>9.1283894000000004E-2</v>
      </c>
      <c r="AD239">
        <v>0.60339869999999995</v>
      </c>
      <c r="AF239">
        <v>8.7927380950000007</v>
      </c>
      <c r="AG239">
        <v>7.1999999999999995E-2</v>
      </c>
      <c r="AH239">
        <v>2.9000000000000001E-2</v>
      </c>
      <c r="AI239">
        <v>0.77300000000000002</v>
      </c>
      <c r="AJ239">
        <v>2.0088095240000001</v>
      </c>
      <c r="AK239">
        <v>5.5071843779999998</v>
      </c>
      <c r="AL239">
        <v>0.06</v>
      </c>
      <c r="AM239">
        <v>0.17699999999999999</v>
      </c>
      <c r="AN239">
        <v>0.67700000000000005</v>
      </c>
    </row>
    <row r="240" spans="1:40">
      <c r="A240">
        <v>2308</v>
      </c>
      <c r="B240" t="s">
        <v>704</v>
      </c>
      <c r="C240" t="s">
        <v>687</v>
      </c>
      <c r="D240" t="s">
        <v>688</v>
      </c>
      <c r="E240">
        <v>279</v>
      </c>
      <c r="F240">
        <v>798</v>
      </c>
      <c r="G240">
        <v>135.5892929</v>
      </c>
      <c r="H240">
        <v>0</v>
      </c>
      <c r="I240">
        <v>0.211945207</v>
      </c>
      <c r="J240">
        <v>798</v>
      </c>
      <c r="K240">
        <v>3765.1240680000001</v>
      </c>
      <c r="L240">
        <v>0.85599999999999998</v>
      </c>
      <c r="M240">
        <v>0</v>
      </c>
      <c r="N240">
        <v>0</v>
      </c>
      <c r="O240" t="s">
        <v>620</v>
      </c>
      <c r="P240">
        <f t="shared" si="29"/>
        <v>9.9887037040000006</v>
      </c>
      <c r="Q240">
        <f t="shared" si="30"/>
        <v>0.03</v>
      </c>
      <c r="R240">
        <f t="shared" si="31"/>
        <v>2.3E-2</v>
      </c>
      <c r="S240">
        <f t="shared" si="32"/>
        <v>0.85599999999999998</v>
      </c>
      <c r="T240">
        <f t="shared" si="33"/>
        <v>3.1139999999999999</v>
      </c>
      <c r="U240">
        <f t="shared" si="34"/>
        <v>6.2105292480000003</v>
      </c>
      <c r="V240">
        <f t="shared" si="35"/>
        <v>0.03</v>
      </c>
      <c r="W240">
        <f t="shared" si="36"/>
        <v>0.104</v>
      </c>
      <c r="X240">
        <f t="shared" si="37"/>
        <v>0.80600000000000005</v>
      </c>
      <c r="Y240">
        <v>73.655034209999997</v>
      </c>
      <c r="Z240">
        <v>0</v>
      </c>
      <c r="AA240">
        <v>11276</v>
      </c>
      <c r="AB240">
        <v>3933</v>
      </c>
      <c r="AC240">
        <v>3.4575116000000003E-2</v>
      </c>
      <c r="AD240">
        <v>0.79388848300000003</v>
      </c>
      <c r="AF240">
        <v>9.9887037040000006</v>
      </c>
      <c r="AG240">
        <v>0.03</v>
      </c>
      <c r="AH240">
        <v>2.3E-2</v>
      </c>
      <c r="AI240">
        <v>0.85599999999999998</v>
      </c>
      <c r="AJ240">
        <v>3.1139999999999999</v>
      </c>
      <c r="AK240">
        <v>6.2105292480000003</v>
      </c>
      <c r="AL240">
        <v>0.03</v>
      </c>
      <c r="AM240">
        <v>0.104</v>
      </c>
      <c r="AN240">
        <v>0.80600000000000005</v>
      </c>
    </row>
    <row r="241" spans="1:40">
      <c r="A241">
        <v>2309</v>
      </c>
      <c r="B241" t="s">
        <v>689</v>
      </c>
      <c r="C241" t="s">
        <v>687</v>
      </c>
      <c r="D241" t="s">
        <v>688</v>
      </c>
      <c r="E241">
        <v>552</v>
      </c>
      <c r="F241">
        <v>1860</v>
      </c>
      <c r="G241">
        <v>52.744877430000003</v>
      </c>
      <c r="H241">
        <v>27</v>
      </c>
      <c r="I241">
        <v>8.2459457999999999E-2</v>
      </c>
      <c r="J241">
        <v>1887</v>
      </c>
      <c r="K241">
        <v>22883.972870000001</v>
      </c>
      <c r="L241">
        <v>0.72899999999999998</v>
      </c>
      <c r="M241">
        <v>4.6632123999999997E-2</v>
      </c>
      <c r="N241">
        <v>0</v>
      </c>
      <c r="O241" t="s">
        <v>613</v>
      </c>
      <c r="P241">
        <f t="shared" si="29"/>
        <v>11.37826087</v>
      </c>
      <c r="Q241">
        <f t="shared" si="30"/>
        <v>4.1000000000000002E-2</v>
      </c>
      <c r="R241">
        <f t="shared" si="31"/>
        <v>1.4999999999999999E-2</v>
      </c>
      <c r="S241">
        <f t="shared" si="32"/>
        <v>0.72899999999999998</v>
      </c>
      <c r="T241">
        <f t="shared" si="33"/>
        <v>1.556470588</v>
      </c>
      <c r="U241">
        <f t="shared" si="34"/>
        <v>5.9090837699999996</v>
      </c>
      <c r="V241">
        <f t="shared" si="35"/>
        <v>6.2414117647058849E-2</v>
      </c>
      <c r="W241">
        <f t="shared" si="36"/>
        <v>0.246</v>
      </c>
      <c r="X241">
        <f t="shared" si="37"/>
        <v>0.73</v>
      </c>
      <c r="Y241">
        <v>153.88638570000001</v>
      </c>
      <c r="Z241">
        <v>0</v>
      </c>
      <c r="AA241">
        <v>454184</v>
      </c>
      <c r="AB241">
        <v>170596</v>
      </c>
      <c r="AC241">
        <v>6.5715274000000004E-2</v>
      </c>
      <c r="AD241">
        <v>0.72549415100000003</v>
      </c>
      <c r="AF241">
        <v>11.37826087</v>
      </c>
      <c r="AG241">
        <v>4.1000000000000002E-2</v>
      </c>
      <c r="AH241">
        <v>1.4999999999999999E-2</v>
      </c>
      <c r="AI241">
        <v>0.72899999999999998</v>
      </c>
      <c r="AJ241">
        <v>1.556470588</v>
      </c>
      <c r="AK241">
        <v>5.9090837699999996</v>
      </c>
      <c r="AL241">
        <v>0</v>
      </c>
      <c r="AM241">
        <v>0.246</v>
      </c>
      <c r="AN241">
        <v>0.73</v>
      </c>
    </row>
    <row r="242" spans="1:40">
      <c r="A242">
        <v>2310</v>
      </c>
      <c r="B242" t="s">
        <v>689</v>
      </c>
      <c r="C242" t="s">
        <v>687</v>
      </c>
      <c r="D242" t="s">
        <v>688</v>
      </c>
      <c r="E242">
        <v>270</v>
      </c>
      <c r="F242">
        <v>526</v>
      </c>
      <c r="G242">
        <v>43.128680029999998</v>
      </c>
      <c r="H242">
        <v>0</v>
      </c>
      <c r="I242">
        <v>6.7420068999999999E-2</v>
      </c>
      <c r="J242">
        <v>526</v>
      </c>
      <c r="K242">
        <v>7801.8312320000005</v>
      </c>
      <c r="L242">
        <v>0.76300000000000001</v>
      </c>
      <c r="M242">
        <v>0</v>
      </c>
      <c r="N242">
        <v>0</v>
      </c>
      <c r="O242" t="s">
        <v>620</v>
      </c>
      <c r="P242">
        <f t="shared" si="29"/>
        <v>11.404084510000001</v>
      </c>
      <c r="Q242">
        <f t="shared" si="30"/>
        <v>5.6000000000000001E-2</v>
      </c>
      <c r="R242">
        <f t="shared" si="31"/>
        <v>5.2999999999999999E-2</v>
      </c>
      <c r="S242">
        <f t="shared" si="32"/>
        <v>0.76300000000000001</v>
      </c>
      <c r="T242">
        <f t="shared" si="33"/>
        <v>2.3879999999999999</v>
      </c>
      <c r="U242">
        <f t="shared" si="34"/>
        <v>6.248035088</v>
      </c>
      <c r="V242">
        <f t="shared" si="35"/>
        <v>6.6000000000000003E-2</v>
      </c>
      <c r="W242">
        <f t="shared" si="36"/>
        <v>0.11</v>
      </c>
      <c r="X242">
        <f t="shared" si="37"/>
        <v>0.78</v>
      </c>
      <c r="Y242">
        <v>110.0740971</v>
      </c>
      <c r="Z242">
        <v>0</v>
      </c>
      <c r="AA242">
        <v>454184</v>
      </c>
      <c r="AB242">
        <v>170596</v>
      </c>
      <c r="AC242">
        <v>6.5715274000000004E-2</v>
      </c>
      <c r="AD242">
        <v>0.72549415100000003</v>
      </c>
      <c r="AF242">
        <v>11.404084510000001</v>
      </c>
      <c r="AG242">
        <v>5.6000000000000001E-2</v>
      </c>
      <c r="AH242">
        <v>5.2999999999999999E-2</v>
      </c>
      <c r="AI242">
        <v>0.76300000000000001</v>
      </c>
      <c r="AJ242">
        <v>2.3879999999999999</v>
      </c>
      <c r="AK242">
        <v>6.248035088</v>
      </c>
      <c r="AL242">
        <v>6.6000000000000003E-2</v>
      </c>
      <c r="AM242">
        <v>0.11</v>
      </c>
      <c r="AN242">
        <v>0.78</v>
      </c>
    </row>
    <row r="243" spans="1:40">
      <c r="A243">
        <v>2311</v>
      </c>
      <c r="B243" t="s">
        <v>701</v>
      </c>
      <c r="C243" t="s">
        <v>696</v>
      </c>
      <c r="D243" t="s">
        <v>697</v>
      </c>
      <c r="E243">
        <v>357</v>
      </c>
      <c r="F243">
        <v>1121</v>
      </c>
      <c r="G243">
        <v>37.639376980000002</v>
      </c>
      <c r="H243">
        <v>129</v>
      </c>
      <c r="I243">
        <v>5.8832555000000002E-2</v>
      </c>
      <c r="J243">
        <v>1250</v>
      </c>
      <c r="K243">
        <v>21246.740010000001</v>
      </c>
      <c r="L243">
        <v>0.79800000000000004</v>
      </c>
      <c r="M243">
        <v>0.26543209899999998</v>
      </c>
      <c r="N243">
        <v>0</v>
      </c>
      <c r="O243" t="s">
        <v>613</v>
      </c>
      <c r="P243">
        <f t="shared" si="29"/>
        <v>11.418723399999999</v>
      </c>
      <c r="Q243">
        <f t="shared" si="30"/>
        <v>4.2999999999999997E-2</v>
      </c>
      <c r="R243">
        <f t="shared" si="31"/>
        <v>1.2999999999999999E-2</v>
      </c>
      <c r="S243">
        <f t="shared" si="32"/>
        <v>0.79800000000000004</v>
      </c>
      <c r="T243">
        <f t="shared" si="33"/>
        <v>2.2730000000000001</v>
      </c>
      <c r="U243">
        <f t="shared" si="34"/>
        <v>6.0496546049999997</v>
      </c>
      <c r="V243">
        <f t="shared" si="35"/>
        <v>3.4000000000000002E-2</v>
      </c>
      <c r="W243">
        <f t="shared" si="36"/>
        <v>0.14299999999999999</v>
      </c>
      <c r="X243">
        <f t="shared" si="37"/>
        <v>0.79</v>
      </c>
      <c r="Y243">
        <v>96.081688850000006</v>
      </c>
      <c r="Z243">
        <v>0</v>
      </c>
      <c r="AA243">
        <v>22589</v>
      </c>
      <c r="AB243">
        <v>7233</v>
      </c>
      <c r="AC243">
        <v>3.8721845999999997E-2</v>
      </c>
      <c r="AD243">
        <v>0.78947076400000005</v>
      </c>
      <c r="AF243">
        <v>11.418723399999999</v>
      </c>
      <c r="AG243">
        <v>4.2999999999999997E-2</v>
      </c>
      <c r="AH243">
        <v>1.2999999999999999E-2</v>
      </c>
      <c r="AI243">
        <v>0.79800000000000004</v>
      </c>
      <c r="AJ243">
        <v>2.2730000000000001</v>
      </c>
      <c r="AK243">
        <v>6.0496546049999997</v>
      </c>
      <c r="AL243">
        <v>3.4000000000000002E-2</v>
      </c>
      <c r="AM243">
        <v>0.14299999999999999</v>
      </c>
      <c r="AN243">
        <v>0.79</v>
      </c>
    </row>
    <row r="244" spans="1:40">
      <c r="A244">
        <v>2312</v>
      </c>
      <c r="B244" t="s">
        <v>701</v>
      </c>
      <c r="C244" t="s">
        <v>696</v>
      </c>
      <c r="D244" t="s">
        <v>697</v>
      </c>
      <c r="E244">
        <v>701</v>
      </c>
      <c r="F244">
        <v>2205</v>
      </c>
      <c r="G244">
        <v>39.681073779999998</v>
      </c>
      <c r="H244">
        <v>108</v>
      </c>
      <c r="I244">
        <v>6.2027728999999997E-2</v>
      </c>
      <c r="J244">
        <v>2313</v>
      </c>
      <c r="K244">
        <v>37289.774060000003</v>
      </c>
      <c r="L244">
        <v>0.78</v>
      </c>
      <c r="M244">
        <v>0.13349814600000001</v>
      </c>
      <c r="N244">
        <v>0</v>
      </c>
      <c r="O244" t="s">
        <v>613</v>
      </c>
      <c r="P244">
        <f t="shared" si="29"/>
        <v>14.67845638</v>
      </c>
      <c r="Q244">
        <f t="shared" si="30"/>
        <v>2.5000000000000001E-2</v>
      </c>
      <c r="R244">
        <f t="shared" si="31"/>
        <v>2.4E-2</v>
      </c>
      <c r="S244">
        <f t="shared" si="32"/>
        <v>0.78</v>
      </c>
      <c r="T244">
        <f t="shared" si="33"/>
        <v>1.3934375000000001</v>
      </c>
      <c r="U244">
        <f t="shared" si="34"/>
        <v>6.6991641790000003</v>
      </c>
      <c r="V244">
        <f t="shared" si="35"/>
        <v>1.0999999999999999E-2</v>
      </c>
      <c r="W244">
        <f t="shared" si="36"/>
        <v>0.13400000000000001</v>
      </c>
      <c r="X244">
        <f t="shared" si="37"/>
        <v>0.83199999999999996</v>
      </c>
      <c r="Y244">
        <v>86.032395269999995</v>
      </c>
      <c r="Z244">
        <v>0</v>
      </c>
      <c r="AA244">
        <v>22589</v>
      </c>
      <c r="AB244">
        <v>7233</v>
      </c>
      <c r="AC244">
        <v>3.8721845999999997E-2</v>
      </c>
      <c r="AD244">
        <v>0.78947076400000005</v>
      </c>
      <c r="AF244">
        <v>14.67845638</v>
      </c>
      <c r="AG244">
        <v>2.5000000000000001E-2</v>
      </c>
      <c r="AH244">
        <v>2.4E-2</v>
      </c>
      <c r="AI244">
        <v>0.78</v>
      </c>
      <c r="AJ244">
        <v>1.3934375000000001</v>
      </c>
      <c r="AK244">
        <v>6.6991641790000003</v>
      </c>
      <c r="AL244">
        <v>1.0999999999999999E-2</v>
      </c>
      <c r="AM244">
        <v>0.13400000000000001</v>
      </c>
      <c r="AN244">
        <v>0.83199999999999996</v>
      </c>
    </row>
    <row r="245" spans="1:40">
      <c r="A245">
        <v>2313</v>
      </c>
      <c r="B245" t="s">
        <v>686</v>
      </c>
      <c r="C245" t="s">
        <v>687</v>
      </c>
      <c r="D245" t="s">
        <v>688</v>
      </c>
      <c r="E245">
        <v>422</v>
      </c>
      <c r="F245">
        <v>2114</v>
      </c>
      <c r="G245">
        <v>78.35922918</v>
      </c>
      <c r="H245">
        <v>9</v>
      </c>
      <c r="I245">
        <v>0.12248980600000001</v>
      </c>
      <c r="J245">
        <v>2123</v>
      </c>
      <c r="K245">
        <v>17332.054550000001</v>
      </c>
      <c r="L245">
        <v>0.54500000000000004</v>
      </c>
      <c r="M245">
        <v>2.0881671000000001E-2</v>
      </c>
      <c r="N245">
        <v>0</v>
      </c>
      <c r="O245" t="s">
        <v>613</v>
      </c>
      <c r="P245">
        <f t="shared" si="29"/>
        <v>7.2795402300000003</v>
      </c>
      <c r="Q245">
        <f t="shared" si="30"/>
        <v>6.0999999999999999E-2</v>
      </c>
      <c r="R245">
        <f t="shared" si="31"/>
        <v>5.2999999999999999E-2</v>
      </c>
      <c r="S245">
        <f t="shared" si="32"/>
        <v>0.54500000000000004</v>
      </c>
      <c r="T245">
        <f t="shared" si="33"/>
        <v>2.0436111110000001</v>
      </c>
      <c r="U245">
        <f t="shared" si="34"/>
        <v>4.8293156420000001</v>
      </c>
      <c r="V245">
        <f t="shared" si="35"/>
        <v>0.111</v>
      </c>
      <c r="W245">
        <f t="shared" si="36"/>
        <v>0.23100000000000001</v>
      </c>
      <c r="X245">
        <f t="shared" si="37"/>
        <v>0.437</v>
      </c>
      <c r="Y245">
        <v>471.12753650000002</v>
      </c>
      <c r="Z245">
        <v>1</v>
      </c>
      <c r="AA245">
        <v>140316</v>
      </c>
      <c r="AB245">
        <v>49638</v>
      </c>
      <c r="AC245">
        <v>9.1283894000000004E-2</v>
      </c>
      <c r="AD245">
        <v>0.60339869999999995</v>
      </c>
      <c r="AF245">
        <v>7.2795402300000003</v>
      </c>
      <c r="AG245">
        <v>6.0999999999999999E-2</v>
      </c>
      <c r="AH245">
        <v>5.2999999999999999E-2</v>
      </c>
      <c r="AI245">
        <v>0.54500000000000004</v>
      </c>
      <c r="AJ245">
        <v>2.0436111110000001</v>
      </c>
      <c r="AK245">
        <v>4.8293156420000001</v>
      </c>
      <c r="AL245">
        <v>0.111</v>
      </c>
      <c r="AM245">
        <v>0.23100000000000001</v>
      </c>
      <c r="AN245">
        <v>0.437</v>
      </c>
    </row>
    <row r="246" spans="1:40">
      <c r="A246">
        <v>2314</v>
      </c>
      <c r="B246" t="s">
        <v>690</v>
      </c>
      <c r="C246" t="s">
        <v>687</v>
      </c>
      <c r="D246" t="s">
        <v>688</v>
      </c>
      <c r="E246">
        <v>360</v>
      </c>
      <c r="F246">
        <v>847</v>
      </c>
      <c r="G246">
        <v>36.684357290000001</v>
      </c>
      <c r="H246">
        <v>411</v>
      </c>
      <c r="I246">
        <v>5.7342793000000003E-2</v>
      </c>
      <c r="J246">
        <v>1258</v>
      </c>
      <c r="K246">
        <v>21938.24078</v>
      </c>
      <c r="L246">
        <v>0.74299999999999999</v>
      </c>
      <c r="M246">
        <v>0.53307393000000003</v>
      </c>
      <c r="N246">
        <v>0</v>
      </c>
      <c r="O246" t="s">
        <v>613</v>
      </c>
      <c r="P246">
        <f t="shared" si="29"/>
        <v>13.38888889</v>
      </c>
      <c r="Q246">
        <f t="shared" si="30"/>
        <v>4.3999999999999997E-2</v>
      </c>
      <c r="R246">
        <f t="shared" si="31"/>
        <v>1.0999999999999999E-2</v>
      </c>
      <c r="S246">
        <f t="shared" si="32"/>
        <v>0.74299999999999999</v>
      </c>
      <c r="T246">
        <f t="shared" si="33"/>
        <v>2.6549999999999998</v>
      </c>
      <c r="U246">
        <f t="shared" si="34"/>
        <v>7.0640115159999999</v>
      </c>
      <c r="V246">
        <f t="shared" si="35"/>
        <v>4.2000000000000003E-2</v>
      </c>
      <c r="W246">
        <f t="shared" si="36"/>
        <v>0.154</v>
      </c>
      <c r="X246">
        <f t="shared" si="37"/>
        <v>0.755</v>
      </c>
      <c r="Y246">
        <v>185.97764129999999</v>
      </c>
      <c r="Z246">
        <v>0</v>
      </c>
      <c r="AA246">
        <v>82284</v>
      </c>
      <c r="AB246">
        <v>32030</v>
      </c>
      <c r="AC246">
        <v>4.7570397E-2</v>
      </c>
      <c r="AD246">
        <v>0.78974696300000002</v>
      </c>
      <c r="AF246">
        <v>13.38888889</v>
      </c>
      <c r="AG246">
        <v>4.3999999999999997E-2</v>
      </c>
      <c r="AH246">
        <v>1.0999999999999999E-2</v>
      </c>
      <c r="AI246">
        <v>0.74299999999999999</v>
      </c>
      <c r="AJ246">
        <v>2.6549999999999998</v>
      </c>
      <c r="AK246">
        <v>7.0640115159999999</v>
      </c>
      <c r="AL246">
        <v>4.2000000000000003E-2</v>
      </c>
      <c r="AM246">
        <v>0.154</v>
      </c>
      <c r="AN246">
        <v>0.755</v>
      </c>
    </row>
    <row r="247" spans="1:40">
      <c r="A247">
        <v>2315</v>
      </c>
      <c r="B247" t="s">
        <v>704</v>
      </c>
      <c r="C247" t="s">
        <v>687</v>
      </c>
      <c r="D247" t="s">
        <v>688</v>
      </c>
      <c r="E247">
        <v>563</v>
      </c>
      <c r="F247">
        <v>1629</v>
      </c>
      <c r="G247">
        <v>111.9806401</v>
      </c>
      <c r="H247">
        <v>0</v>
      </c>
      <c r="I247">
        <v>0.17504339799999999</v>
      </c>
      <c r="J247">
        <v>1629</v>
      </c>
      <c r="K247">
        <v>9306.2635819999996</v>
      </c>
      <c r="L247">
        <v>0.72299999999999998</v>
      </c>
      <c r="M247">
        <v>0</v>
      </c>
      <c r="N247">
        <v>0</v>
      </c>
      <c r="O247" t="s">
        <v>620</v>
      </c>
      <c r="P247">
        <f t="shared" si="29"/>
        <v>7.2137719300000001</v>
      </c>
      <c r="Q247">
        <f t="shared" si="30"/>
        <v>0.05</v>
      </c>
      <c r="R247">
        <f t="shared" si="31"/>
        <v>0.04</v>
      </c>
      <c r="S247">
        <f t="shared" si="32"/>
        <v>0.72299999999999998</v>
      </c>
      <c r="T247">
        <f t="shared" si="33"/>
        <v>2.651875</v>
      </c>
      <c r="U247">
        <f t="shared" si="34"/>
        <v>5.0528849559999998</v>
      </c>
      <c r="V247">
        <f t="shared" si="35"/>
        <v>8.6999999999999994E-2</v>
      </c>
      <c r="W247">
        <f t="shared" si="36"/>
        <v>0.193</v>
      </c>
      <c r="X247">
        <f t="shared" si="37"/>
        <v>0.70799999999999996</v>
      </c>
      <c r="Y247">
        <v>238.80205369999999</v>
      </c>
      <c r="Z247">
        <v>0</v>
      </c>
      <c r="AA247">
        <v>11276</v>
      </c>
      <c r="AB247">
        <v>3933</v>
      </c>
      <c r="AC247">
        <v>3.4575116000000003E-2</v>
      </c>
      <c r="AD247">
        <v>0.79388848300000003</v>
      </c>
      <c r="AF247">
        <v>7.2137719300000001</v>
      </c>
      <c r="AG247">
        <v>0.05</v>
      </c>
      <c r="AH247">
        <v>0.04</v>
      </c>
      <c r="AI247">
        <v>0.72299999999999998</v>
      </c>
      <c r="AJ247">
        <v>2.651875</v>
      </c>
      <c r="AK247">
        <v>5.0528849559999998</v>
      </c>
      <c r="AL247">
        <v>8.6999999999999994E-2</v>
      </c>
      <c r="AM247">
        <v>0.193</v>
      </c>
      <c r="AN247">
        <v>0.70799999999999996</v>
      </c>
    </row>
    <row r="248" spans="1:40">
      <c r="A248">
        <v>2316</v>
      </c>
      <c r="B248" t="s">
        <v>689</v>
      </c>
      <c r="C248" t="s">
        <v>687</v>
      </c>
      <c r="D248" t="s">
        <v>688</v>
      </c>
      <c r="E248">
        <v>325</v>
      </c>
      <c r="F248">
        <v>1139</v>
      </c>
      <c r="G248">
        <v>37.551741669999998</v>
      </c>
      <c r="H248">
        <v>51</v>
      </c>
      <c r="I248">
        <v>5.8692067000000001E-2</v>
      </c>
      <c r="J248">
        <v>1190</v>
      </c>
      <c r="K248">
        <v>20275.31251</v>
      </c>
      <c r="L248">
        <v>0.74099999999999999</v>
      </c>
      <c r="M248">
        <v>0.13563829799999999</v>
      </c>
      <c r="N248">
        <v>0</v>
      </c>
      <c r="O248" t="s">
        <v>613</v>
      </c>
      <c r="P248">
        <f t="shared" si="29"/>
        <v>11.259130430000001</v>
      </c>
      <c r="Q248">
        <f t="shared" si="30"/>
        <v>3.2000000000000001E-2</v>
      </c>
      <c r="R248">
        <f t="shared" si="31"/>
        <v>5.0000000000000001E-3</v>
      </c>
      <c r="S248">
        <f t="shared" si="32"/>
        <v>0.74099999999999999</v>
      </c>
      <c r="T248">
        <f t="shared" si="33"/>
        <v>2.0325000000000002</v>
      </c>
      <c r="U248">
        <f t="shared" si="34"/>
        <v>6.4714003939999998</v>
      </c>
      <c r="V248">
        <f t="shared" si="35"/>
        <v>8.9999999999999993E-3</v>
      </c>
      <c r="W248">
        <f t="shared" si="36"/>
        <v>5.7000000000000002E-2</v>
      </c>
      <c r="X248">
        <f t="shared" si="37"/>
        <v>0.86799999999999999</v>
      </c>
      <c r="Y248">
        <v>159.26092639999999</v>
      </c>
      <c r="Z248">
        <v>0</v>
      </c>
      <c r="AA248">
        <v>454184</v>
      </c>
      <c r="AB248">
        <v>170596</v>
      </c>
      <c r="AC248">
        <v>6.5715274000000004E-2</v>
      </c>
      <c r="AD248">
        <v>0.72549415100000003</v>
      </c>
      <c r="AF248">
        <v>11.259130430000001</v>
      </c>
      <c r="AG248">
        <v>3.2000000000000001E-2</v>
      </c>
      <c r="AH248">
        <v>5.0000000000000001E-3</v>
      </c>
      <c r="AI248">
        <v>0.74099999999999999</v>
      </c>
      <c r="AJ248">
        <v>2.0325000000000002</v>
      </c>
      <c r="AK248">
        <v>6.4714003939999998</v>
      </c>
      <c r="AL248">
        <v>8.9999999999999993E-3</v>
      </c>
      <c r="AM248">
        <v>5.7000000000000002E-2</v>
      </c>
      <c r="AN248">
        <v>0.86799999999999999</v>
      </c>
    </row>
    <row r="249" spans="1:40">
      <c r="A249">
        <v>2317</v>
      </c>
      <c r="B249" t="s">
        <v>689</v>
      </c>
      <c r="C249" t="s">
        <v>687</v>
      </c>
      <c r="D249" t="s">
        <v>688</v>
      </c>
      <c r="E249">
        <v>300</v>
      </c>
      <c r="F249">
        <v>791</v>
      </c>
      <c r="G249">
        <v>48.085144470000003</v>
      </c>
      <c r="H249">
        <v>194</v>
      </c>
      <c r="I249">
        <v>7.5163003000000006E-2</v>
      </c>
      <c r="J249">
        <v>985</v>
      </c>
      <c r="K249">
        <v>13104.8516</v>
      </c>
      <c r="L249">
        <v>0.78600000000000003</v>
      </c>
      <c r="M249">
        <v>0.39271255100000002</v>
      </c>
      <c r="N249">
        <v>0</v>
      </c>
      <c r="O249" t="s">
        <v>613</v>
      </c>
      <c r="P249">
        <f t="shared" si="29"/>
        <v>15.16505263</v>
      </c>
      <c r="Q249">
        <f t="shared" si="30"/>
        <v>2.9000000000000001E-2</v>
      </c>
      <c r="R249">
        <f t="shared" si="31"/>
        <v>0.02</v>
      </c>
      <c r="S249">
        <f t="shared" si="32"/>
        <v>0.78600000000000003</v>
      </c>
      <c r="T249">
        <f t="shared" si="33"/>
        <v>2.598125</v>
      </c>
      <c r="U249">
        <f t="shared" si="34"/>
        <v>7.0792678870000003</v>
      </c>
      <c r="V249">
        <f t="shared" si="35"/>
        <v>4.9000000000000002E-2</v>
      </c>
      <c r="W249">
        <f t="shared" si="36"/>
        <v>0.106</v>
      </c>
      <c r="X249">
        <f t="shared" si="37"/>
        <v>0.77200000000000002</v>
      </c>
      <c r="Y249">
        <v>97.625605280000002</v>
      </c>
      <c r="Z249">
        <v>0</v>
      </c>
      <c r="AA249">
        <v>454184</v>
      </c>
      <c r="AB249">
        <v>170596</v>
      </c>
      <c r="AC249">
        <v>6.5715274000000004E-2</v>
      </c>
      <c r="AD249">
        <v>0.72549415100000003</v>
      </c>
      <c r="AF249">
        <v>15.16505263</v>
      </c>
      <c r="AG249">
        <v>2.9000000000000001E-2</v>
      </c>
      <c r="AH249">
        <v>0.02</v>
      </c>
      <c r="AI249">
        <v>0.78600000000000003</v>
      </c>
      <c r="AJ249">
        <v>2.598125</v>
      </c>
      <c r="AK249">
        <v>7.0792678870000003</v>
      </c>
      <c r="AL249">
        <v>4.9000000000000002E-2</v>
      </c>
      <c r="AM249">
        <v>0.106</v>
      </c>
      <c r="AN249">
        <v>0.77200000000000002</v>
      </c>
    </row>
    <row r="250" spans="1:40">
      <c r="A250">
        <v>2318</v>
      </c>
      <c r="B250" t="s">
        <v>692</v>
      </c>
      <c r="C250" t="s">
        <v>693</v>
      </c>
      <c r="D250" t="s">
        <v>694</v>
      </c>
      <c r="E250">
        <v>323</v>
      </c>
      <c r="F250">
        <v>913</v>
      </c>
      <c r="G250">
        <v>116.6469754</v>
      </c>
      <c r="H250">
        <v>178</v>
      </c>
      <c r="I250">
        <v>0.18233213000000001</v>
      </c>
      <c r="J250">
        <v>1091</v>
      </c>
      <c r="K250">
        <v>5983.5861070000001</v>
      </c>
      <c r="L250">
        <v>0.80900000000000005</v>
      </c>
      <c r="M250">
        <v>0.35528942099999999</v>
      </c>
      <c r="N250">
        <v>0</v>
      </c>
      <c r="O250" t="s">
        <v>620</v>
      </c>
      <c r="P250">
        <f t="shared" si="29"/>
        <v>14.685044250000001</v>
      </c>
      <c r="Q250">
        <f t="shared" si="30"/>
        <v>7.0000000000000001E-3</v>
      </c>
      <c r="R250">
        <f t="shared" si="31"/>
        <v>1.2E-2</v>
      </c>
      <c r="S250">
        <f t="shared" si="32"/>
        <v>0.80900000000000005</v>
      </c>
      <c r="T250">
        <f t="shared" si="33"/>
        <v>2.3479999999999999</v>
      </c>
      <c r="U250">
        <f t="shared" si="34"/>
        <v>7.55934551</v>
      </c>
      <c r="V250">
        <f t="shared" si="35"/>
        <v>3.2000000000000001E-2</v>
      </c>
      <c r="W250">
        <f t="shared" si="36"/>
        <v>3.2000000000000001E-2</v>
      </c>
      <c r="X250">
        <f t="shared" si="37"/>
        <v>0.90400000000000003</v>
      </c>
      <c r="Y250">
        <v>124.5881981</v>
      </c>
      <c r="Z250">
        <v>0</v>
      </c>
      <c r="AA250">
        <v>77808</v>
      </c>
      <c r="AB250">
        <v>27489</v>
      </c>
      <c r="AC250">
        <v>1.1225541E-2</v>
      </c>
      <c r="AD250">
        <v>0.835708267</v>
      </c>
      <c r="AF250">
        <v>14.685044250000001</v>
      </c>
      <c r="AG250">
        <v>7.0000000000000001E-3</v>
      </c>
      <c r="AH250">
        <v>1.2E-2</v>
      </c>
      <c r="AI250">
        <v>0.80900000000000005</v>
      </c>
      <c r="AJ250">
        <v>2.3479999999999999</v>
      </c>
      <c r="AK250">
        <v>7.55934551</v>
      </c>
      <c r="AL250">
        <v>3.2000000000000001E-2</v>
      </c>
      <c r="AM250">
        <v>3.2000000000000001E-2</v>
      </c>
      <c r="AN250">
        <v>0.90400000000000003</v>
      </c>
    </row>
    <row r="251" spans="1:40">
      <c r="A251">
        <v>2319</v>
      </c>
      <c r="B251" t="s">
        <v>692</v>
      </c>
      <c r="C251" t="s">
        <v>693</v>
      </c>
      <c r="D251" t="s">
        <v>694</v>
      </c>
      <c r="E251">
        <v>284</v>
      </c>
      <c r="F251">
        <v>850</v>
      </c>
      <c r="G251">
        <v>72.820718790000001</v>
      </c>
      <c r="H251">
        <v>0</v>
      </c>
      <c r="I251">
        <v>0.113828028</v>
      </c>
      <c r="J251">
        <v>850</v>
      </c>
      <c r="K251">
        <v>7467.4051280000003</v>
      </c>
      <c r="L251">
        <v>0.79800000000000004</v>
      </c>
      <c r="M251">
        <v>0</v>
      </c>
      <c r="N251">
        <v>0</v>
      </c>
      <c r="O251" t="s">
        <v>620</v>
      </c>
      <c r="P251">
        <f t="shared" si="29"/>
        <v>15.269767440000001</v>
      </c>
      <c r="Q251">
        <f t="shared" si="30"/>
        <v>4.5999999999999999E-2</v>
      </c>
      <c r="R251">
        <f t="shared" si="31"/>
        <v>1.2E-2</v>
      </c>
      <c r="S251">
        <f t="shared" si="32"/>
        <v>0.79800000000000004</v>
      </c>
      <c r="T251">
        <f t="shared" si="33"/>
        <v>2.0716666670000001</v>
      </c>
      <c r="U251">
        <f t="shared" si="34"/>
        <v>6.0090529249999998</v>
      </c>
      <c r="V251">
        <f t="shared" si="35"/>
        <v>7.0999999999999994E-2</v>
      </c>
      <c r="W251">
        <f t="shared" si="36"/>
        <v>0.161</v>
      </c>
      <c r="X251">
        <f t="shared" si="37"/>
        <v>0.76800000000000002</v>
      </c>
      <c r="Y251">
        <v>131.77338359999999</v>
      </c>
      <c r="Z251">
        <v>0</v>
      </c>
      <c r="AA251">
        <v>77808</v>
      </c>
      <c r="AB251">
        <v>27489</v>
      </c>
      <c r="AC251">
        <v>1.1225541E-2</v>
      </c>
      <c r="AD251">
        <v>0.835708267</v>
      </c>
      <c r="AF251">
        <v>15.269767440000001</v>
      </c>
      <c r="AG251">
        <v>4.5999999999999999E-2</v>
      </c>
      <c r="AH251">
        <v>1.2E-2</v>
      </c>
      <c r="AI251">
        <v>0.79800000000000004</v>
      </c>
      <c r="AJ251">
        <v>2.0716666670000001</v>
      </c>
      <c r="AK251">
        <v>6.0090529249999998</v>
      </c>
      <c r="AL251">
        <v>7.0999999999999994E-2</v>
      </c>
      <c r="AM251">
        <v>0.161</v>
      </c>
      <c r="AN251">
        <v>0.76800000000000002</v>
      </c>
    </row>
    <row r="252" spans="1:40">
      <c r="A252">
        <v>2320</v>
      </c>
      <c r="B252" t="s">
        <v>683</v>
      </c>
      <c r="C252" t="s">
        <v>684</v>
      </c>
      <c r="D252" t="s">
        <v>685</v>
      </c>
      <c r="E252">
        <v>516</v>
      </c>
      <c r="F252">
        <v>2026</v>
      </c>
      <c r="G252">
        <v>476.7347638</v>
      </c>
      <c r="H252">
        <v>0</v>
      </c>
      <c r="I252">
        <v>0.74516886999999998</v>
      </c>
      <c r="J252">
        <v>2026</v>
      </c>
      <c r="K252">
        <v>2718.8468029999999</v>
      </c>
      <c r="L252">
        <v>0.90700000000000003</v>
      </c>
      <c r="M252">
        <v>0</v>
      </c>
      <c r="N252">
        <v>0</v>
      </c>
      <c r="O252" t="s">
        <v>625</v>
      </c>
      <c r="P252">
        <f t="shared" si="29"/>
        <v>14.93149425</v>
      </c>
      <c r="Q252">
        <f t="shared" si="30"/>
        <v>1.7000000000000001E-2</v>
      </c>
      <c r="R252">
        <f t="shared" si="31"/>
        <v>1.2E-2</v>
      </c>
      <c r="S252">
        <f t="shared" si="32"/>
        <v>0.90700000000000003</v>
      </c>
      <c r="T252">
        <f t="shared" si="33"/>
        <v>1.4225000000000001</v>
      </c>
      <c r="U252">
        <f t="shared" si="34"/>
        <v>8.2159207460000001</v>
      </c>
      <c r="V252">
        <f t="shared" si="35"/>
        <v>3.4119999999999984E-2</v>
      </c>
      <c r="W252">
        <f t="shared" si="36"/>
        <v>5.3999999999999999E-2</v>
      </c>
      <c r="X252">
        <f t="shared" si="37"/>
        <v>0.94599999999999995</v>
      </c>
      <c r="Y252">
        <v>51.486310039999999</v>
      </c>
      <c r="Z252">
        <v>0</v>
      </c>
      <c r="AA252">
        <v>75370</v>
      </c>
      <c r="AB252">
        <v>21403</v>
      </c>
      <c r="AC252">
        <v>2.4597187E-2</v>
      </c>
      <c r="AD252">
        <v>0.84342094400000001</v>
      </c>
      <c r="AF252">
        <v>14.93149425</v>
      </c>
      <c r="AG252">
        <v>1.7000000000000001E-2</v>
      </c>
      <c r="AH252">
        <v>1.2E-2</v>
      </c>
      <c r="AI252">
        <v>0.90700000000000003</v>
      </c>
      <c r="AJ252">
        <v>1.4225000000000001</v>
      </c>
      <c r="AK252">
        <v>8.2159207460000001</v>
      </c>
      <c r="AL252">
        <v>0</v>
      </c>
      <c r="AM252">
        <v>5.3999999999999999E-2</v>
      </c>
      <c r="AN252">
        <v>0.94599999999999995</v>
      </c>
    </row>
    <row r="253" spans="1:40">
      <c r="A253">
        <v>2321</v>
      </c>
      <c r="B253" t="s">
        <v>683</v>
      </c>
      <c r="C253" t="s">
        <v>684</v>
      </c>
      <c r="D253" t="s">
        <v>685</v>
      </c>
      <c r="E253">
        <v>610</v>
      </c>
      <c r="F253">
        <v>2382</v>
      </c>
      <c r="G253">
        <v>112.2056594</v>
      </c>
      <c r="H253">
        <v>5</v>
      </c>
      <c r="I253">
        <v>0.17538648600000001</v>
      </c>
      <c r="J253">
        <v>2387</v>
      </c>
      <c r="K253">
        <v>13609.94256</v>
      </c>
      <c r="L253">
        <v>0.88200000000000001</v>
      </c>
      <c r="M253">
        <v>8.1300810000000008E-3</v>
      </c>
      <c r="N253">
        <v>0</v>
      </c>
      <c r="O253" t="s">
        <v>620</v>
      </c>
      <c r="P253">
        <f t="shared" si="29"/>
        <v>15.53192308</v>
      </c>
      <c r="Q253">
        <f t="shared" si="30"/>
        <v>3.1E-2</v>
      </c>
      <c r="R253">
        <f t="shared" si="31"/>
        <v>0.01</v>
      </c>
      <c r="S253">
        <f t="shared" si="32"/>
        <v>0.88200000000000001</v>
      </c>
      <c r="T253">
        <f t="shared" si="33"/>
        <v>2.2761538460000001</v>
      </c>
      <c r="U253">
        <f t="shared" si="34"/>
        <v>7.4182108900000001</v>
      </c>
      <c r="V253">
        <f t="shared" si="35"/>
        <v>1.0999999999999999E-2</v>
      </c>
      <c r="W253">
        <f t="shared" si="36"/>
        <v>0.11600000000000001</v>
      </c>
      <c r="X253">
        <f t="shared" si="37"/>
        <v>0.86199999999999999</v>
      </c>
      <c r="Y253">
        <v>198.70850100000001</v>
      </c>
      <c r="Z253">
        <v>0</v>
      </c>
      <c r="AA253">
        <v>75370</v>
      </c>
      <c r="AB253">
        <v>21403</v>
      </c>
      <c r="AC253">
        <v>2.4597187E-2</v>
      </c>
      <c r="AD253">
        <v>0.84342094400000001</v>
      </c>
      <c r="AF253">
        <v>15.53192308</v>
      </c>
      <c r="AG253">
        <v>3.1E-2</v>
      </c>
      <c r="AH253">
        <v>0.01</v>
      </c>
      <c r="AI253">
        <v>0.88200000000000001</v>
      </c>
      <c r="AJ253">
        <v>2.2761538460000001</v>
      </c>
      <c r="AK253">
        <v>7.4182108900000001</v>
      </c>
      <c r="AL253">
        <v>1.0999999999999999E-2</v>
      </c>
      <c r="AM253">
        <v>0.11600000000000001</v>
      </c>
      <c r="AN253">
        <v>0.86199999999999999</v>
      </c>
    </row>
    <row r="254" spans="1:40">
      <c r="A254">
        <v>2322</v>
      </c>
      <c r="B254" t="s">
        <v>683</v>
      </c>
      <c r="C254" t="s">
        <v>684</v>
      </c>
      <c r="D254" t="s">
        <v>685</v>
      </c>
      <c r="E254">
        <v>730</v>
      </c>
      <c r="F254">
        <v>2868</v>
      </c>
      <c r="G254">
        <v>140.76449890000001</v>
      </c>
      <c r="H254">
        <v>40</v>
      </c>
      <c r="I254">
        <v>0.22003465699999999</v>
      </c>
      <c r="J254">
        <v>2908</v>
      </c>
      <c r="K254">
        <v>13216.09986</v>
      </c>
      <c r="L254">
        <v>0.86099999999999999</v>
      </c>
      <c r="M254">
        <v>5.1948052000000002E-2</v>
      </c>
      <c r="N254">
        <v>0</v>
      </c>
      <c r="O254" t="s">
        <v>620</v>
      </c>
      <c r="P254">
        <f t="shared" si="29"/>
        <v>13.92619433</v>
      </c>
      <c r="Q254">
        <f t="shared" si="30"/>
        <v>3.1E-2</v>
      </c>
      <c r="R254">
        <f t="shared" si="31"/>
        <v>2.5000000000000001E-2</v>
      </c>
      <c r="S254">
        <f t="shared" si="32"/>
        <v>0.86099999999999999</v>
      </c>
      <c r="T254">
        <f t="shared" si="33"/>
        <v>2.0229166670000001</v>
      </c>
      <c r="U254">
        <f t="shared" si="34"/>
        <v>7.8675994950000003</v>
      </c>
      <c r="V254">
        <f t="shared" si="35"/>
        <v>4.3999999999999997E-2</v>
      </c>
      <c r="W254">
        <f t="shared" si="36"/>
        <v>0.105</v>
      </c>
      <c r="X254">
        <f t="shared" si="37"/>
        <v>0.83399999999999996</v>
      </c>
      <c r="Y254">
        <v>135.04639259999999</v>
      </c>
      <c r="Z254">
        <v>0</v>
      </c>
      <c r="AA254">
        <v>75370</v>
      </c>
      <c r="AB254">
        <v>21403</v>
      </c>
      <c r="AC254">
        <v>2.4597187E-2</v>
      </c>
      <c r="AD254">
        <v>0.84342094400000001</v>
      </c>
      <c r="AF254">
        <v>13.92619433</v>
      </c>
      <c r="AG254">
        <v>3.1E-2</v>
      </c>
      <c r="AH254">
        <v>2.5000000000000001E-2</v>
      </c>
      <c r="AI254">
        <v>0.86099999999999999</v>
      </c>
      <c r="AJ254">
        <v>2.0229166670000001</v>
      </c>
      <c r="AK254">
        <v>7.8675994950000003</v>
      </c>
      <c r="AL254">
        <v>4.3999999999999997E-2</v>
      </c>
      <c r="AM254">
        <v>0.105</v>
      </c>
      <c r="AN254">
        <v>0.83399999999999996</v>
      </c>
    </row>
    <row r="255" spans="1:40">
      <c r="A255">
        <v>2323</v>
      </c>
      <c r="B255" t="s">
        <v>705</v>
      </c>
      <c r="C255" t="s">
        <v>696</v>
      </c>
      <c r="D255" t="s">
        <v>697</v>
      </c>
      <c r="E255">
        <v>181</v>
      </c>
      <c r="F255">
        <v>631</v>
      </c>
      <c r="G255">
        <v>47.763600449999998</v>
      </c>
      <c r="H255">
        <v>87</v>
      </c>
      <c r="I255">
        <v>7.4656286000000002E-2</v>
      </c>
      <c r="J255">
        <v>718</v>
      </c>
      <c r="K255">
        <v>9617.4085059999998</v>
      </c>
      <c r="L255">
        <v>0.86</v>
      </c>
      <c r="M255">
        <v>0.32462686600000001</v>
      </c>
      <c r="N255">
        <v>0</v>
      </c>
      <c r="O255" t="s">
        <v>620</v>
      </c>
      <c r="P255">
        <f t="shared" si="29"/>
        <v>11.04136986</v>
      </c>
      <c r="Q255">
        <f t="shared" si="30"/>
        <v>3.2000000000000001E-2</v>
      </c>
      <c r="R255">
        <f t="shared" si="31"/>
        <v>0.01</v>
      </c>
      <c r="S255">
        <f t="shared" si="32"/>
        <v>0.86</v>
      </c>
      <c r="T255">
        <f t="shared" si="33"/>
        <v>2.3525</v>
      </c>
      <c r="U255">
        <f t="shared" si="34"/>
        <v>6.6209609609999998</v>
      </c>
      <c r="V255">
        <f t="shared" si="35"/>
        <v>2.3E-2</v>
      </c>
      <c r="W255">
        <f t="shared" si="36"/>
        <v>9.1999999999999998E-2</v>
      </c>
      <c r="X255">
        <f t="shared" si="37"/>
        <v>0.83899999999999997</v>
      </c>
      <c r="Y255">
        <v>107.39834519999999</v>
      </c>
      <c r="Z255">
        <v>0</v>
      </c>
      <c r="AA255">
        <v>152832</v>
      </c>
      <c r="AB255">
        <v>45686</v>
      </c>
      <c r="AC255">
        <v>2.1596295000000001E-2</v>
      </c>
      <c r="AD255">
        <v>0.84212384500000004</v>
      </c>
      <c r="AF255">
        <v>11.04136986</v>
      </c>
      <c r="AG255">
        <v>3.2000000000000001E-2</v>
      </c>
      <c r="AH255">
        <v>0.01</v>
      </c>
      <c r="AI255">
        <v>0.86</v>
      </c>
      <c r="AJ255">
        <v>2.3525</v>
      </c>
      <c r="AK255">
        <v>6.6209609609999998</v>
      </c>
      <c r="AL255">
        <v>2.3E-2</v>
      </c>
      <c r="AM255">
        <v>9.1999999999999998E-2</v>
      </c>
      <c r="AN255">
        <v>0.83899999999999997</v>
      </c>
    </row>
    <row r="256" spans="1:40">
      <c r="A256">
        <v>2324</v>
      </c>
      <c r="B256" t="s">
        <v>705</v>
      </c>
      <c r="C256" t="s">
        <v>696</v>
      </c>
      <c r="D256" t="s">
        <v>697</v>
      </c>
      <c r="E256">
        <v>278</v>
      </c>
      <c r="F256">
        <v>979</v>
      </c>
      <c r="G256">
        <v>113.2241561</v>
      </c>
      <c r="H256">
        <v>25</v>
      </c>
      <c r="I256">
        <v>0.176973876</v>
      </c>
      <c r="J256">
        <v>1004</v>
      </c>
      <c r="K256">
        <v>5673.153703</v>
      </c>
      <c r="L256">
        <v>0.85299999999999998</v>
      </c>
      <c r="M256">
        <v>8.2508251000000005E-2</v>
      </c>
      <c r="N256">
        <v>0</v>
      </c>
      <c r="O256" t="s">
        <v>620</v>
      </c>
      <c r="P256">
        <f t="shared" si="29"/>
        <v>11.5019802</v>
      </c>
      <c r="Q256">
        <f t="shared" si="30"/>
        <v>1.4E-2</v>
      </c>
      <c r="R256">
        <f t="shared" si="31"/>
        <v>1.4999999999999999E-2</v>
      </c>
      <c r="S256">
        <f t="shared" si="32"/>
        <v>0.85299999999999998</v>
      </c>
      <c r="T256">
        <f t="shared" si="33"/>
        <v>1.8616666669999999</v>
      </c>
      <c r="U256">
        <f t="shared" si="34"/>
        <v>6.3019969040000001</v>
      </c>
      <c r="V256">
        <f t="shared" si="35"/>
        <v>3.5000000000000003E-2</v>
      </c>
      <c r="W256">
        <f t="shared" si="36"/>
        <v>3.5000000000000003E-2</v>
      </c>
      <c r="X256">
        <f t="shared" si="37"/>
        <v>0.878</v>
      </c>
      <c r="Y256">
        <v>167.44197779999999</v>
      </c>
      <c r="Z256">
        <v>0</v>
      </c>
      <c r="AA256">
        <v>152832</v>
      </c>
      <c r="AB256">
        <v>45686</v>
      </c>
      <c r="AC256">
        <v>2.1596295000000001E-2</v>
      </c>
      <c r="AD256">
        <v>0.84212384500000004</v>
      </c>
      <c r="AF256">
        <v>11.5019802</v>
      </c>
      <c r="AG256">
        <v>1.4E-2</v>
      </c>
      <c r="AH256">
        <v>1.4999999999999999E-2</v>
      </c>
      <c r="AI256">
        <v>0.85299999999999998</v>
      </c>
      <c r="AJ256">
        <v>1.8616666669999999</v>
      </c>
      <c r="AK256">
        <v>6.3019969040000001</v>
      </c>
      <c r="AL256">
        <v>3.5000000000000003E-2</v>
      </c>
      <c r="AM256">
        <v>3.5000000000000003E-2</v>
      </c>
      <c r="AN256">
        <v>0.878</v>
      </c>
    </row>
    <row r="257" spans="1:40">
      <c r="A257">
        <v>2325</v>
      </c>
      <c r="B257" t="s">
        <v>705</v>
      </c>
      <c r="C257" t="s">
        <v>696</v>
      </c>
      <c r="D257" t="s">
        <v>697</v>
      </c>
      <c r="E257">
        <v>600</v>
      </c>
      <c r="F257">
        <v>2446</v>
      </c>
      <c r="G257">
        <v>63.34451662</v>
      </c>
      <c r="H257">
        <v>228</v>
      </c>
      <c r="I257">
        <v>9.9014513999999998E-2</v>
      </c>
      <c r="J257">
        <v>2674</v>
      </c>
      <c r="K257">
        <v>27006.141749999999</v>
      </c>
      <c r="L257">
        <v>0.78100000000000003</v>
      </c>
      <c r="M257">
        <v>0.27536231900000002</v>
      </c>
      <c r="N257">
        <v>1</v>
      </c>
      <c r="O257" t="s">
        <v>620</v>
      </c>
      <c r="P257">
        <f t="shared" si="29"/>
        <v>12.93524324</v>
      </c>
      <c r="Q257">
        <f t="shared" si="30"/>
        <v>2.5000000000000001E-2</v>
      </c>
      <c r="R257">
        <f t="shared" si="31"/>
        <v>1.6E-2</v>
      </c>
      <c r="S257">
        <f t="shared" si="32"/>
        <v>0.78100000000000003</v>
      </c>
      <c r="T257">
        <f t="shared" si="33"/>
        <v>1.967857143</v>
      </c>
      <c r="U257">
        <f t="shared" si="34"/>
        <v>6.5952577320000003</v>
      </c>
      <c r="V257">
        <f t="shared" si="35"/>
        <v>8.9999999999999993E-3</v>
      </c>
      <c r="W257">
        <f t="shared" si="36"/>
        <v>8.7999999999999995E-2</v>
      </c>
      <c r="X257">
        <f t="shared" si="37"/>
        <v>0.85299999999999998</v>
      </c>
      <c r="Y257">
        <v>68.530794850000007</v>
      </c>
      <c r="Z257">
        <v>0</v>
      </c>
      <c r="AA257">
        <v>152832</v>
      </c>
      <c r="AB257">
        <v>45686</v>
      </c>
      <c r="AC257">
        <v>2.1596295000000001E-2</v>
      </c>
      <c r="AD257">
        <v>0.84212384500000004</v>
      </c>
      <c r="AF257">
        <v>12.93524324</v>
      </c>
      <c r="AG257">
        <v>2.5000000000000001E-2</v>
      </c>
      <c r="AH257">
        <v>1.6E-2</v>
      </c>
      <c r="AI257">
        <v>0.78100000000000003</v>
      </c>
      <c r="AJ257">
        <v>1.967857143</v>
      </c>
      <c r="AK257">
        <v>6.5952577320000003</v>
      </c>
      <c r="AL257">
        <v>8.9999999999999993E-3</v>
      </c>
      <c r="AM257">
        <v>8.7999999999999995E-2</v>
      </c>
      <c r="AN257">
        <v>0.85299999999999998</v>
      </c>
    </row>
    <row r="258" spans="1:40">
      <c r="A258">
        <v>2326</v>
      </c>
      <c r="B258" t="s">
        <v>702</v>
      </c>
      <c r="C258" t="s">
        <v>696</v>
      </c>
      <c r="D258" t="s">
        <v>697</v>
      </c>
      <c r="E258">
        <v>148</v>
      </c>
      <c r="F258">
        <v>431</v>
      </c>
      <c r="G258">
        <v>64.954818470000006</v>
      </c>
      <c r="H258">
        <v>22</v>
      </c>
      <c r="I258">
        <v>0.101535479</v>
      </c>
      <c r="J258">
        <v>453</v>
      </c>
      <c r="K258">
        <v>4461.494686</v>
      </c>
      <c r="L258">
        <v>0.91800000000000004</v>
      </c>
      <c r="M258">
        <v>0.12941176500000001</v>
      </c>
      <c r="N258">
        <v>0</v>
      </c>
      <c r="O258" t="s">
        <v>620</v>
      </c>
      <c r="P258">
        <f t="shared" si="29"/>
        <v>12.32291667</v>
      </c>
      <c r="Q258">
        <f t="shared" si="30"/>
        <v>0.02</v>
      </c>
      <c r="R258">
        <f t="shared" si="31"/>
        <v>0.02</v>
      </c>
      <c r="S258">
        <f t="shared" si="32"/>
        <v>0.91800000000000004</v>
      </c>
      <c r="T258">
        <f t="shared" si="33"/>
        <v>1.78</v>
      </c>
      <c r="U258">
        <f t="shared" si="34"/>
        <v>8.0321933090000002</v>
      </c>
      <c r="V258">
        <f t="shared" si="35"/>
        <v>4.2301204819277106E-2</v>
      </c>
      <c r="W258">
        <f t="shared" si="36"/>
        <v>0.111</v>
      </c>
      <c r="X258">
        <f t="shared" si="37"/>
        <v>0.88900000000000001</v>
      </c>
      <c r="Y258">
        <v>320.65433189999999</v>
      </c>
      <c r="Z258">
        <v>0</v>
      </c>
      <c r="AA258">
        <v>90778</v>
      </c>
      <c r="AB258">
        <v>31662</v>
      </c>
      <c r="AC258">
        <v>3.1753482E-2</v>
      </c>
      <c r="AD258">
        <v>0.82960131100000001</v>
      </c>
      <c r="AF258">
        <v>12.32291667</v>
      </c>
      <c r="AG258">
        <v>0.02</v>
      </c>
      <c r="AH258">
        <v>0.02</v>
      </c>
      <c r="AI258">
        <v>0.91800000000000004</v>
      </c>
      <c r="AJ258">
        <v>1.78</v>
      </c>
      <c r="AK258">
        <v>8.0321933090000002</v>
      </c>
      <c r="AL258">
        <v>0</v>
      </c>
      <c r="AM258">
        <v>0.111</v>
      </c>
      <c r="AN258">
        <v>0.88900000000000001</v>
      </c>
    </row>
    <row r="259" spans="1:40">
      <c r="A259">
        <v>2327</v>
      </c>
      <c r="B259" t="s">
        <v>708</v>
      </c>
      <c r="C259" t="s">
        <v>696</v>
      </c>
      <c r="D259" t="s">
        <v>697</v>
      </c>
      <c r="E259">
        <v>278</v>
      </c>
      <c r="F259">
        <v>943</v>
      </c>
      <c r="G259">
        <v>36.959240209999997</v>
      </c>
      <c r="H259">
        <v>0</v>
      </c>
      <c r="I259">
        <v>5.7771139999999999E-2</v>
      </c>
      <c r="J259">
        <v>943</v>
      </c>
      <c r="K259">
        <v>16323.029109999999</v>
      </c>
      <c r="L259">
        <v>0.76700000000000002</v>
      </c>
      <c r="M259">
        <v>0</v>
      </c>
      <c r="N259">
        <v>0</v>
      </c>
      <c r="O259" t="s">
        <v>620</v>
      </c>
      <c r="P259">
        <f t="shared" si="29"/>
        <v>16.745882349999999</v>
      </c>
      <c r="Q259">
        <f t="shared" si="30"/>
        <v>1.9E-2</v>
      </c>
      <c r="R259">
        <f t="shared" si="31"/>
        <v>2.8000000000000001E-2</v>
      </c>
      <c r="S259">
        <f t="shared" si="32"/>
        <v>0.76700000000000002</v>
      </c>
      <c r="T259">
        <f t="shared" si="33"/>
        <v>2.1166666670000001</v>
      </c>
      <c r="U259">
        <f t="shared" si="34"/>
        <v>6.688043478</v>
      </c>
      <c r="V259">
        <f t="shared" si="35"/>
        <v>7.5999999999999998E-2</v>
      </c>
      <c r="W259">
        <f t="shared" si="36"/>
        <v>9.0999999999999998E-2</v>
      </c>
      <c r="X259">
        <f t="shared" si="37"/>
        <v>0.77300000000000002</v>
      </c>
      <c r="Y259">
        <v>103.7245561</v>
      </c>
      <c r="Z259">
        <v>0</v>
      </c>
      <c r="AA259">
        <v>14998</v>
      </c>
      <c r="AB259">
        <v>4485</v>
      </c>
      <c r="AC259">
        <v>2.8516413000000001E-2</v>
      </c>
      <c r="AD259">
        <v>0.81835686799999996</v>
      </c>
      <c r="AF259">
        <v>16.745882349999999</v>
      </c>
      <c r="AG259">
        <v>1.9E-2</v>
      </c>
      <c r="AH259">
        <v>2.8000000000000001E-2</v>
      </c>
      <c r="AI259">
        <v>0.76700000000000002</v>
      </c>
      <c r="AJ259">
        <v>2.1166666670000001</v>
      </c>
      <c r="AK259">
        <v>6.688043478</v>
      </c>
      <c r="AL259">
        <v>7.5999999999999998E-2</v>
      </c>
      <c r="AM259">
        <v>9.0999999999999998E-2</v>
      </c>
      <c r="AN259">
        <v>0.77300000000000002</v>
      </c>
    </row>
    <row r="260" spans="1:40">
      <c r="A260">
        <v>2328</v>
      </c>
      <c r="B260" t="s">
        <v>689</v>
      </c>
      <c r="C260" t="s">
        <v>687</v>
      </c>
      <c r="D260" t="s">
        <v>688</v>
      </c>
      <c r="E260">
        <v>567</v>
      </c>
      <c r="F260">
        <v>1773</v>
      </c>
      <c r="G260">
        <v>120.4224346</v>
      </c>
      <c r="H260">
        <v>1795</v>
      </c>
      <c r="I260">
        <v>0.188239393</v>
      </c>
      <c r="J260">
        <v>3568</v>
      </c>
      <c r="K260">
        <v>18954.58726</v>
      </c>
      <c r="L260">
        <v>0.78600000000000003</v>
      </c>
      <c r="M260">
        <v>0.75994919599999999</v>
      </c>
      <c r="N260">
        <v>0</v>
      </c>
      <c r="O260" t="s">
        <v>606</v>
      </c>
      <c r="P260">
        <f t="shared" si="29"/>
        <v>9.9600330029999995</v>
      </c>
      <c r="Q260">
        <f t="shared" si="30"/>
        <v>6.0999999999999999E-2</v>
      </c>
      <c r="R260">
        <f t="shared" si="31"/>
        <v>2.7E-2</v>
      </c>
      <c r="S260">
        <f t="shared" si="32"/>
        <v>0.78600000000000003</v>
      </c>
      <c r="T260">
        <f t="shared" si="33"/>
        <v>1.992151899</v>
      </c>
      <c r="U260">
        <f t="shared" si="34"/>
        <v>5.9423611110000003</v>
      </c>
      <c r="V260">
        <f t="shared" si="35"/>
        <v>7.2999999999999995E-2</v>
      </c>
      <c r="W260">
        <f t="shared" si="36"/>
        <v>0.14599999999999999</v>
      </c>
      <c r="X260">
        <f t="shared" si="37"/>
        <v>0.73699999999999999</v>
      </c>
      <c r="Y260">
        <v>172.3492061</v>
      </c>
      <c r="Z260">
        <v>0</v>
      </c>
      <c r="AA260">
        <v>454184</v>
      </c>
      <c r="AB260">
        <v>170596</v>
      </c>
      <c r="AC260">
        <v>6.5715274000000004E-2</v>
      </c>
      <c r="AD260">
        <v>0.72549415100000003</v>
      </c>
      <c r="AF260">
        <v>9.9600330029999995</v>
      </c>
      <c r="AG260">
        <v>6.0999999999999999E-2</v>
      </c>
      <c r="AH260">
        <v>2.7E-2</v>
      </c>
      <c r="AI260">
        <v>0.78600000000000003</v>
      </c>
      <c r="AJ260">
        <v>1.992151899</v>
      </c>
      <c r="AK260">
        <v>5.9423611110000003</v>
      </c>
      <c r="AL260">
        <v>7.2999999999999995E-2</v>
      </c>
      <c r="AM260">
        <v>0.14599999999999999</v>
      </c>
      <c r="AN260">
        <v>0.73699999999999999</v>
      </c>
    </row>
    <row r="261" spans="1:40">
      <c r="A261">
        <v>2329</v>
      </c>
      <c r="B261" t="s">
        <v>704</v>
      </c>
      <c r="C261" t="s">
        <v>687</v>
      </c>
      <c r="D261" t="s">
        <v>688</v>
      </c>
      <c r="E261">
        <v>383</v>
      </c>
      <c r="F261">
        <v>1096</v>
      </c>
      <c r="G261">
        <v>118.95722000000001</v>
      </c>
      <c r="H261">
        <v>126</v>
      </c>
      <c r="I261">
        <v>0.18595314600000001</v>
      </c>
      <c r="J261">
        <v>1222</v>
      </c>
      <c r="K261">
        <v>6571.5478670000002</v>
      </c>
      <c r="L261">
        <v>0.83199999999999996</v>
      </c>
      <c r="M261">
        <v>0.24754420399999999</v>
      </c>
      <c r="N261">
        <v>0</v>
      </c>
      <c r="O261" t="s">
        <v>620</v>
      </c>
      <c r="P261">
        <f t="shared" si="29"/>
        <v>11.01536842</v>
      </c>
      <c r="Q261">
        <f t="shared" si="30"/>
        <v>3.1E-2</v>
      </c>
      <c r="R261">
        <f t="shared" si="31"/>
        <v>0.02</v>
      </c>
      <c r="S261">
        <f t="shared" si="32"/>
        <v>0.83199999999999996</v>
      </c>
      <c r="T261">
        <f t="shared" si="33"/>
        <v>2.0375000000000001</v>
      </c>
      <c r="U261">
        <f t="shared" si="34"/>
        <v>6.5144327730000002</v>
      </c>
      <c r="V261">
        <f t="shared" si="35"/>
        <v>1.7999999999999999E-2</v>
      </c>
      <c r="W261">
        <f t="shared" si="36"/>
        <v>0.126</v>
      </c>
      <c r="X261">
        <f t="shared" si="37"/>
        <v>0.85599999999999998</v>
      </c>
      <c r="Y261">
        <v>99.109664219999999</v>
      </c>
      <c r="Z261">
        <v>0</v>
      </c>
      <c r="AA261">
        <v>11276</v>
      </c>
      <c r="AB261">
        <v>3933</v>
      </c>
      <c r="AC261">
        <v>3.4575116000000003E-2</v>
      </c>
      <c r="AD261">
        <v>0.79388848300000003</v>
      </c>
      <c r="AF261">
        <v>11.01536842</v>
      </c>
      <c r="AG261">
        <v>3.1E-2</v>
      </c>
      <c r="AH261">
        <v>0.02</v>
      </c>
      <c r="AI261">
        <v>0.83199999999999996</v>
      </c>
      <c r="AJ261">
        <v>2.0375000000000001</v>
      </c>
      <c r="AK261">
        <v>6.5144327730000002</v>
      </c>
      <c r="AL261">
        <v>1.7999999999999999E-2</v>
      </c>
      <c r="AM261">
        <v>0.126</v>
      </c>
      <c r="AN261">
        <v>0.85599999999999998</v>
      </c>
    </row>
    <row r="262" spans="1:40">
      <c r="A262">
        <v>2330</v>
      </c>
      <c r="B262" t="s">
        <v>689</v>
      </c>
      <c r="C262" t="s">
        <v>687</v>
      </c>
      <c r="D262" t="s">
        <v>688</v>
      </c>
      <c r="E262">
        <v>826</v>
      </c>
      <c r="F262">
        <v>1487</v>
      </c>
      <c r="G262">
        <v>41.027284160000001</v>
      </c>
      <c r="H262">
        <v>94</v>
      </c>
      <c r="I262">
        <v>6.4126815000000004E-2</v>
      </c>
      <c r="J262">
        <v>1581</v>
      </c>
      <c r="K262">
        <v>24654.272939999999</v>
      </c>
      <c r="L262">
        <v>0.74399999999999999</v>
      </c>
      <c r="M262">
        <v>0.10217391300000001</v>
      </c>
      <c r="N262">
        <v>0</v>
      </c>
      <c r="O262" t="s">
        <v>613</v>
      </c>
      <c r="P262">
        <f t="shared" si="29"/>
        <v>9.4198726110000006</v>
      </c>
      <c r="Q262">
        <f t="shared" si="30"/>
        <v>2.3E-2</v>
      </c>
      <c r="R262">
        <f t="shared" si="31"/>
        <v>2.9000000000000001E-2</v>
      </c>
      <c r="S262">
        <f t="shared" si="32"/>
        <v>0.74399999999999999</v>
      </c>
      <c r="T262">
        <f t="shared" si="33"/>
        <v>1.8697058820000001</v>
      </c>
      <c r="U262">
        <f t="shared" si="34"/>
        <v>5.3167597090000003</v>
      </c>
      <c r="V262">
        <f t="shared" si="35"/>
        <v>0.05</v>
      </c>
      <c r="W262">
        <f t="shared" si="36"/>
        <v>8.5000000000000006E-2</v>
      </c>
      <c r="X262">
        <f t="shared" si="37"/>
        <v>0.78900000000000003</v>
      </c>
      <c r="Y262">
        <v>882.69318120000003</v>
      </c>
      <c r="Z262">
        <v>0</v>
      </c>
      <c r="AA262">
        <v>454184</v>
      </c>
      <c r="AB262">
        <v>170596</v>
      </c>
      <c r="AC262">
        <v>6.5715274000000004E-2</v>
      </c>
      <c r="AD262">
        <v>0.72549415100000003</v>
      </c>
      <c r="AF262">
        <v>9.4198726110000006</v>
      </c>
      <c r="AG262">
        <v>2.3E-2</v>
      </c>
      <c r="AH262">
        <v>2.9000000000000001E-2</v>
      </c>
      <c r="AI262">
        <v>0.74399999999999999</v>
      </c>
      <c r="AJ262">
        <v>1.8697058820000001</v>
      </c>
      <c r="AK262">
        <v>5.3167597090000003</v>
      </c>
      <c r="AL262">
        <v>0.05</v>
      </c>
      <c r="AM262">
        <v>8.5000000000000006E-2</v>
      </c>
      <c r="AN262">
        <v>0.78900000000000003</v>
      </c>
    </row>
    <row r="263" spans="1:40">
      <c r="A263">
        <v>2331</v>
      </c>
      <c r="B263" t="s">
        <v>705</v>
      </c>
      <c r="C263" t="s">
        <v>696</v>
      </c>
      <c r="D263" t="s">
        <v>697</v>
      </c>
      <c r="E263">
        <v>767</v>
      </c>
      <c r="F263">
        <v>3038</v>
      </c>
      <c r="G263">
        <v>244.5166261</v>
      </c>
      <c r="H263">
        <v>171</v>
      </c>
      <c r="I263">
        <v>0.38220473700000002</v>
      </c>
      <c r="J263">
        <v>3209</v>
      </c>
      <c r="K263">
        <v>8396.0236210000003</v>
      </c>
      <c r="L263">
        <v>0.84299999999999997</v>
      </c>
      <c r="M263">
        <v>0.182302772</v>
      </c>
      <c r="N263">
        <v>0</v>
      </c>
      <c r="O263" t="s">
        <v>620</v>
      </c>
      <c r="P263">
        <f t="shared" si="29"/>
        <v>12.715232070000001</v>
      </c>
      <c r="Q263">
        <f t="shared" si="30"/>
        <v>0.03</v>
      </c>
      <c r="R263">
        <f t="shared" si="31"/>
        <v>3.2000000000000001E-2</v>
      </c>
      <c r="S263">
        <f t="shared" si="32"/>
        <v>0.84299999999999997</v>
      </c>
      <c r="T263">
        <f t="shared" si="33"/>
        <v>2.0394999999999999</v>
      </c>
      <c r="U263">
        <f t="shared" si="34"/>
        <v>6.8994285709999996</v>
      </c>
      <c r="V263">
        <f t="shared" si="35"/>
        <v>2.5000000000000001E-2</v>
      </c>
      <c r="W263">
        <f t="shared" si="36"/>
        <v>0.11700000000000001</v>
      </c>
      <c r="X263">
        <f t="shared" si="37"/>
        <v>0.83699999999999997</v>
      </c>
      <c r="Y263">
        <v>139.19621960000001</v>
      </c>
      <c r="Z263">
        <v>0</v>
      </c>
      <c r="AA263">
        <v>152832</v>
      </c>
      <c r="AB263">
        <v>45686</v>
      </c>
      <c r="AC263">
        <v>2.1596295000000001E-2</v>
      </c>
      <c r="AD263">
        <v>0.84212384500000004</v>
      </c>
      <c r="AF263">
        <v>12.715232070000001</v>
      </c>
      <c r="AG263">
        <v>0.03</v>
      </c>
      <c r="AH263">
        <v>3.2000000000000001E-2</v>
      </c>
      <c r="AI263">
        <v>0.84299999999999997</v>
      </c>
      <c r="AJ263">
        <v>2.0394999999999999</v>
      </c>
      <c r="AK263">
        <v>6.8994285709999996</v>
      </c>
      <c r="AL263">
        <v>2.5000000000000001E-2</v>
      </c>
      <c r="AM263">
        <v>0.11700000000000001</v>
      </c>
      <c r="AN263">
        <v>0.83699999999999997</v>
      </c>
    </row>
    <row r="264" spans="1:40">
      <c r="A264">
        <v>2332</v>
      </c>
      <c r="B264" t="s">
        <v>691</v>
      </c>
      <c r="C264" t="s">
        <v>684</v>
      </c>
      <c r="D264" t="s">
        <v>685</v>
      </c>
      <c r="E264">
        <v>351</v>
      </c>
      <c r="F264">
        <v>1196</v>
      </c>
      <c r="G264">
        <v>171.393595</v>
      </c>
      <c r="H264">
        <v>174</v>
      </c>
      <c r="I264">
        <v>0.26790211600000002</v>
      </c>
      <c r="J264">
        <v>1370</v>
      </c>
      <c r="K264">
        <v>5113.8080600000003</v>
      </c>
      <c r="L264">
        <v>0.86899999999999999</v>
      </c>
      <c r="M264">
        <v>0.33142857100000001</v>
      </c>
      <c r="N264">
        <v>1</v>
      </c>
      <c r="O264" t="s">
        <v>620</v>
      </c>
      <c r="P264">
        <f t="shared" si="29"/>
        <v>15.05298077</v>
      </c>
      <c r="Q264">
        <f t="shared" si="30"/>
        <v>1.0999999999999999E-2</v>
      </c>
      <c r="R264">
        <f t="shared" si="31"/>
        <v>1.4999999999999999E-2</v>
      </c>
      <c r="S264">
        <f t="shared" si="32"/>
        <v>0.86899999999999999</v>
      </c>
      <c r="T264">
        <f t="shared" si="33"/>
        <v>2.2687499999999998</v>
      </c>
      <c r="U264">
        <f t="shared" si="34"/>
        <v>9.3714285709999992</v>
      </c>
      <c r="V264">
        <f t="shared" si="35"/>
        <v>8.9999999999999993E-3</v>
      </c>
      <c r="W264">
        <f t="shared" si="36"/>
        <v>3.5999999999999997E-2</v>
      </c>
      <c r="X264">
        <f t="shared" si="37"/>
        <v>0.94499999999999995</v>
      </c>
      <c r="Y264">
        <v>88.440316780000003</v>
      </c>
      <c r="Z264">
        <v>0</v>
      </c>
      <c r="AA264">
        <v>236250</v>
      </c>
      <c r="AB264">
        <v>76158</v>
      </c>
      <c r="AC264">
        <v>1.7652984E-2</v>
      </c>
      <c r="AD264">
        <v>0.84750225300000004</v>
      </c>
      <c r="AF264">
        <v>15.05298077</v>
      </c>
      <c r="AG264">
        <v>1.0999999999999999E-2</v>
      </c>
      <c r="AH264">
        <v>1.4999999999999999E-2</v>
      </c>
      <c r="AI264">
        <v>0.86899999999999999</v>
      </c>
      <c r="AJ264">
        <v>2.2687499999999998</v>
      </c>
      <c r="AK264">
        <v>9.3714285709999992</v>
      </c>
      <c r="AL264">
        <v>8.9999999999999993E-3</v>
      </c>
      <c r="AM264">
        <v>3.5999999999999997E-2</v>
      </c>
      <c r="AN264">
        <v>0.94499999999999995</v>
      </c>
    </row>
    <row r="265" spans="1:40">
      <c r="A265">
        <v>2333</v>
      </c>
      <c r="B265" t="s">
        <v>691</v>
      </c>
      <c r="C265" t="s">
        <v>684</v>
      </c>
      <c r="D265" t="s">
        <v>685</v>
      </c>
      <c r="E265">
        <v>413</v>
      </c>
      <c r="F265">
        <v>1267</v>
      </c>
      <c r="G265">
        <v>105.5350457</v>
      </c>
      <c r="H265">
        <v>254</v>
      </c>
      <c r="I265">
        <v>0.16495700099999999</v>
      </c>
      <c r="J265">
        <v>1521</v>
      </c>
      <c r="K265">
        <v>9220.5847030000004</v>
      </c>
      <c r="L265">
        <v>0.76600000000000001</v>
      </c>
      <c r="M265">
        <v>0.380809595</v>
      </c>
      <c r="N265">
        <v>0</v>
      </c>
      <c r="O265" t="s">
        <v>620</v>
      </c>
      <c r="P265">
        <f t="shared" si="29"/>
        <v>12.58</v>
      </c>
      <c r="Q265">
        <f t="shared" si="30"/>
        <v>2.3E-2</v>
      </c>
      <c r="R265">
        <f t="shared" si="31"/>
        <v>2.5000000000000001E-2</v>
      </c>
      <c r="S265">
        <f t="shared" si="32"/>
        <v>0.76600000000000001</v>
      </c>
      <c r="T265">
        <f t="shared" si="33"/>
        <v>1.598333333</v>
      </c>
      <c r="U265">
        <f t="shared" si="34"/>
        <v>6.8407282909999996</v>
      </c>
      <c r="V265">
        <f t="shared" si="35"/>
        <v>5.0999999999999997E-2</v>
      </c>
      <c r="W265">
        <f t="shared" si="36"/>
        <v>6.4000000000000001E-2</v>
      </c>
      <c r="X265">
        <f t="shared" si="37"/>
        <v>0.81499999999999995</v>
      </c>
      <c r="Y265">
        <v>99.277510960000001</v>
      </c>
      <c r="Z265">
        <v>0</v>
      </c>
      <c r="AA265">
        <v>236250</v>
      </c>
      <c r="AB265">
        <v>76158</v>
      </c>
      <c r="AC265">
        <v>1.7652984E-2</v>
      </c>
      <c r="AD265">
        <v>0.84750225300000004</v>
      </c>
      <c r="AF265">
        <v>12.58</v>
      </c>
      <c r="AG265">
        <v>2.3E-2</v>
      </c>
      <c r="AH265">
        <v>2.5000000000000001E-2</v>
      </c>
      <c r="AI265">
        <v>0.76600000000000001</v>
      </c>
      <c r="AJ265">
        <v>1.598333333</v>
      </c>
      <c r="AK265">
        <v>6.8407282909999996</v>
      </c>
      <c r="AL265">
        <v>5.0999999999999997E-2</v>
      </c>
      <c r="AM265">
        <v>6.4000000000000001E-2</v>
      </c>
      <c r="AN265">
        <v>0.81499999999999995</v>
      </c>
    </row>
    <row r="266" spans="1:40">
      <c r="A266">
        <v>2334</v>
      </c>
      <c r="B266" t="s">
        <v>691</v>
      </c>
      <c r="C266" t="s">
        <v>684</v>
      </c>
      <c r="D266" t="s">
        <v>685</v>
      </c>
      <c r="E266">
        <v>861</v>
      </c>
      <c r="F266">
        <v>2832</v>
      </c>
      <c r="G266">
        <v>2005.338528</v>
      </c>
      <c r="H266">
        <v>118</v>
      </c>
      <c r="I266" s="515">
        <v>3.134483243</v>
      </c>
      <c r="J266">
        <v>2950</v>
      </c>
      <c r="K266">
        <v>941.14396899999997</v>
      </c>
      <c r="L266">
        <v>0.90600000000000003</v>
      </c>
      <c r="M266">
        <v>0.120531154</v>
      </c>
      <c r="N266">
        <v>0</v>
      </c>
      <c r="O266" t="s">
        <v>625</v>
      </c>
      <c r="P266">
        <f t="shared" si="29"/>
        <v>14.064268289999999</v>
      </c>
      <c r="Q266">
        <f t="shared" si="30"/>
        <v>1.0999999999999999E-2</v>
      </c>
      <c r="R266">
        <f t="shared" si="31"/>
        <v>1.9E-2</v>
      </c>
      <c r="S266">
        <f t="shared" si="32"/>
        <v>0.90600000000000003</v>
      </c>
      <c r="T266">
        <f t="shared" si="33"/>
        <v>1.8665384620000001</v>
      </c>
      <c r="U266">
        <f t="shared" si="34"/>
        <v>9.6938691440000007</v>
      </c>
      <c r="V266">
        <f t="shared" si="35"/>
        <v>0.03</v>
      </c>
      <c r="W266">
        <f t="shared" si="36"/>
        <v>4.4999999999999998E-2</v>
      </c>
      <c r="X266">
        <f t="shared" si="37"/>
        <v>0.92500000000000004</v>
      </c>
      <c r="Y266">
        <v>16.513265879999999</v>
      </c>
      <c r="Z266">
        <v>0</v>
      </c>
      <c r="AA266">
        <v>236250</v>
      </c>
      <c r="AB266">
        <v>76158</v>
      </c>
      <c r="AC266">
        <v>1.7652984E-2</v>
      </c>
      <c r="AD266">
        <v>0.84750225300000004</v>
      </c>
      <c r="AF266">
        <v>14.064268289999999</v>
      </c>
      <c r="AG266">
        <v>1.0999999999999999E-2</v>
      </c>
      <c r="AH266">
        <v>1.9E-2</v>
      </c>
      <c r="AI266">
        <v>0.90600000000000003</v>
      </c>
      <c r="AJ266">
        <v>1.8665384620000001</v>
      </c>
      <c r="AK266">
        <v>9.6938691440000007</v>
      </c>
      <c r="AL266">
        <v>0.03</v>
      </c>
      <c r="AM266">
        <v>4.4999999999999998E-2</v>
      </c>
      <c r="AN266">
        <v>0.92500000000000004</v>
      </c>
    </row>
    <row r="267" spans="1:40">
      <c r="A267">
        <v>2335</v>
      </c>
      <c r="B267" t="s">
        <v>706</v>
      </c>
      <c r="C267" t="s">
        <v>684</v>
      </c>
      <c r="D267" t="s">
        <v>685</v>
      </c>
      <c r="E267">
        <v>823</v>
      </c>
      <c r="F267">
        <v>2881</v>
      </c>
      <c r="G267">
        <v>194.47086569999999</v>
      </c>
      <c r="H267">
        <v>1340</v>
      </c>
      <c r="I267">
        <v>0.30397098299999997</v>
      </c>
      <c r="J267">
        <v>4221</v>
      </c>
      <c r="K267">
        <v>13886.193869999999</v>
      </c>
      <c r="L267">
        <v>0.83899999999999997</v>
      </c>
      <c r="M267">
        <v>0.61950994000000004</v>
      </c>
      <c r="N267">
        <v>0</v>
      </c>
      <c r="O267" t="s">
        <v>620</v>
      </c>
      <c r="P267">
        <f t="shared" si="29"/>
        <v>12.449159160000001</v>
      </c>
      <c r="Q267">
        <f t="shared" si="30"/>
        <v>1.7999999999999999E-2</v>
      </c>
      <c r="R267">
        <f t="shared" si="31"/>
        <v>1.2E-2</v>
      </c>
      <c r="S267">
        <f t="shared" si="32"/>
        <v>0.83899999999999997</v>
      </c>
      <c r="T267">
        <f t="shared" si="33"/>
        <v>2.6812499999999999</v>
      </c>
      <c r="U267">
        <f t="shared" si="34"/>
        <v>7.0188321949999999</v>
      </c>
      <c r="V267">
        <f t="shared" si="35"/>
        <v>3.2000000000000001E-2</v>
      </c>
      <c r="W267">
        <f t="shared" si="36"/>
        <v>4.8000000000000001E-2</v>
      </c>
      <c r="X267">
        <f t="shared" si="37"/>
        <v>0.89500000000000002</v>
      </c>
      <c r="Y267">
        <v>84.480910129999998</v>
      </c>
      <c r="Z267">
        <v>0</v>
      </c>
      <c r="AA267">
        <v>47401</v>
      </c>
      <c r="AB267">
        <v>14616</v>
      </c>
      <c r="AC267">
        <v>1.1721782E-2</v>
      </c>
      <c r="AD267">
        <v>0.85588417900000002</v>
      </c>
      <c r="AF267">
        <v>12.449159160000001</v>
      </c>
      <c r="AG267">
        <v>1.7999999999999999E-2</v>
      </c>
      <c r="AH267">
        <v>1.2E-2</v>
      </c>
      <c r="AI267">
        <v>0.83899999999999997</v>
      </c>
      <c r="AJ267">
        <v>2.6812499999999999</v>
      </c>
      <c r="AK267">
        <v>7.0188321949999999</v>
      </c>
      <c r="AL267">
        <v>3.2000000000000001E-2</v>
      </c>
      <c r="AM267">
        <v>4.8000000000000001E-2</v>
      </c>
      <c r="AN267">
        <v>0.89500000000000002</v>
      </c>
    </row>
    <row r="268" spans="1:40">
      <c r="A268">
        <v>2336</v>
      </c>
      <c r="B268" t="s">
        <v>689</v>
      </c>
      <c r="C268" t="s">
        <v>687</v>
      </c>
      <c r="D268" t="s">
        <v>688</v>
      </c>
      <c r="E268">
        <v>430</v>
      </c>
      <c r="F268">
        <v>1196</v>
      </c>
      <c r="G268">
        <v>81.182541040000004</v>
      </c>
      <c r="H268">
        <v>130</v>
      </c>
      <c r="I268">
        <v>0.12689308999999999</v>
      </c>
      <c r="J268">
        <v>1326</v>
      </c>
      <c r="K268">
        <v>10449.74159</v>
      </c>
      <c r="L268">
        <v>0.72699999999999998</v>
      </c>
      <c r="M268">
        <v>0.23214285700000001</v>
      </c>
      <c r="N268">
        <v>0</v>
      </c>
      <c r="O268" t="s">
        <v>613</v>
      </c>
      <c r="P268">
        <f t="shared" ref="P268:P331" si="38">IF(OR(IFERROR(AF268=0,TRUE),ISERROR(AF268)),AVERAGEIFS(AF:AF,$B:$B,$B268,AF:AF,"&gt;0"),AF268)</f>
        <v>11.14050847</v>
      </c>
      <c r="Q268">
        <f t="shared" ref="Q268:Q331" si="39">IF(OR(IFERROR(AG268=0,TRUE),ISERROR(AG268)),AVERAGEIFS(AG:AG,$B:$B,$B268,AG:AG,"&gt;0"),AG268)</f>
        <v>4.2999999999999997E-2</v>
      </c>
      <c r="R268">
        <f t="shared" ref="R268:R331" si="40">IF(OR(IFERROR(AH268=0,TRUE),ISERROR(AH268)),AVERAGEIFS(AH:AH,$B:$B,$B268,AH:AH,"&gt;0"),AH268)</f>
        <v>2.7E-2</v>
      </c>
      <c r="S268">
        <f t="shared" ref="S268:S331" si="41">IF(OR(IFERROR(AI268=0,TRUE),ISERROR(AI268)),AVERAGEIFS(AI:AI,$B:$B,$B268,AI:AI,"&gt;0"),AI268)</f>
        <v>0.72699999999999998</v>
      </c>
      <c r="T268">
        <f t="shared" ref="T268:T331" si="42">IF(OR(IFERROR(AJ268=0,TRUE),ISERROR(AJ268)),AVERAGEIFS(AJ:AJ,$B:$B,$B268,AJ:AJ,"&gt;0"),AJ268)</f>
        <v>1.9076190479999999</v>
      </c>
      <c r="U268">
        <f t="shared" ref="U268:U331" si="43">IF(OR(IFERROR(AK268=0,TRUE),ISERROR(AK268)),AVERAGEIFS(AK:AK,$B:$B,$B268,AK:AK,"&gt;0"),AK268)</f>
        <v>7.1126086959999997</v>
      </c>
      <c r="V268">
        <f t="shared" ref="V268:V331" si="44">IF(OR(IFERROR(AL268=0,TRUE),ISERROR(AL268)),AVERAGEIFS(AL:AL,$B:$B,$B268,AL:AL,"&gt;0"),AL268)</f>
        <v>2.8000000000000001E-2</v>
      </c>
      <c r="W268">
        <f t="shared" ref="W268:W331" si="45">IF(OR(IFERROR(AM268=0,TRUE),ISERROR(AM268)),AVERAGEIFS(AM:AM,$B:$B,$B268,AM:AM,"&gt;0"),AM268)</f>
        <v>0.125</v>
      </c>
      <c r="X268">
        <f t="shared" ref="X268:X331" si="46">IF(OR(IFERROR(AN268=0,TRUE),ISERROR(AN268)),AVERAGEIFS(AN:AN,$B:$B,$B268,AN:AN,"&gt;0"),AN268)</f>
        <v>0.81899999999999995</v>
      </c>
      <c r="Y268">
        <v>168.04790829999999</v>
      </c>
      <c r="Z268">
        <v>0</v>
      </c>
      <c r="AA268">
        <v>454184</v>
      </c>
      <c r="AB268">
        <v>170596</v>
      </c>
      <c r="AC268">
        <v>6.5715274000000004E-2</v>
      </c>
      <c r="AD268">
        <v>0.72549415100000003</v>
      </c>
      <c r="AF268">
        <v>11.14050847</v>
      </c>
      <c r="AG268">
        <v>4.2999999999999997E-2</v>
      </c>
      <c r="AH268">
        <v>2.7E-2</v>
      </c>
      <c r="AI268">
        <v>0.72699999999999998</v>
      </c>
      <c r="AJ268">
        <v>1.9076190479999999</v>
      </c>
      <c r="AK268">
        <v>7.1126086959999997</v>
      </c>
      <c r="AL268">
        <v>2.8000000000000001E-2</v>
      </c>
      <c r="AM268">
        <v>0.125</v>
      </c>
      <c r="AN268">
        <v>0.81899999999999995</v>
      </c>
    </row>
    <row r="269" spans="1:40">
      <c r="A269">
        <v>2337</v>
      </c>
      <c r="B269" t="s">
        <v>683</v>
      </c>
      <c r="C269" t="s">
        <v>696</v>
      </c>
      <c r="D269" t="s">
        <v>697</v>
      </c>
      <c r="E269">
        <v>704</v>
      </c>
      <c r="F269">
        <v>2211</v>
      </c>
      <c r="G269">
        <v>513.62495130000002</v>
      </c>
      <c r="H269">
        <v>548</v>
      </c>
      <c r="I269">
        <v>0.80283671499999998</v>
      </c>
      <c r="J269">
        <v>2759</v>
      </c>
      <c r="K269">
        <v>3436.564308</v>
      </c>
      <c r="L269">
        <v>0.80400000000000005</v>
      </c>
      <c r="M269">
        <v>0.43769968100000001</v>
      </c>
      <c r="N269">
        <v>0</v>
      </c>
      <c r="O269" t="s">
        <v>620</v>
      </c>
      <c r="P269">
        <f t="shared" si="38"/>
        <v>13.214879030000001</v>
      </c>
      <c r="Q269">
        <f t="shared" si="39"/>
        <v>0.02</v>
      </c>
      <c r="R269">
        <f t="shared" si="40"/>
        <v>2.9000000000000001E-2</v>
      </c>
      <c r="S269">
        <f t="shared" si="41"/>
        <v>0.80400000000000005</v>
      </c>
      <c r="T269">
        <f t="shared" si="42"/>
        <v>2.203125</v>
      </c>
      <c r="U269">
        <f t="shared" si="43"/>
        <v>7.8689342399999997</v>
      </c>
      <c r="V269">
        <f t="shared" si="44"/>
        <v>5.0999999999999997E-2</v>
      </c>
      <c r="W269">
        <f t="shared" si="45"/>
        <v>7.8E-2</v>
      </c>
      <c r="X269">
        <f t="shared" si="46"/>
        <v>0.84099999999999997</v>
      </c>
      <c r="Y269">
        <v>44.248437879999997</v>
      </c>
      <c r="Z269">
        <v>0</v>
      </c>
      <c r="AA269">
        <v>75370</v>
      </c>
      <c r="AB269">
        <v>21403</v>
      </c>
      <c r="AC269">
        <v>2.4597187E-2</v>
      </c>
      <c r="AD269">
        <v>0.84342094400000001</v>
      </c>
      <c r="AF269">
        <v>13.214879030000001</v>
      </c>
      <c r="AG269">
        <v>0.02</v>
      </c>
      <c r="AH269">
        <v>2.9000000000000001E-2</v>
      </c>
      <c r="AI269">
        <v>0.80400000000000005</v>
      </c>
      <c r="AJ269">
        <v>2.203125</v>
      </c>
      <c r="AK269">
        <v>7.8689342399999997</v>
      </c>
      <c r="AL269">
        <v>5.0999999999999997E-2</v>
      </c>
      <c r="AM269">
        <v>7.8E-2</v>
      </c>
      <c r="AN269">
        <v>0.84099999999999997</v>
      </c>
    </row>
    <row r="270" spans="1:40">
      <c r="A270">
        <v>2338</v>
      </c>
      <c r="B270" t="s">
        <v>703</v>
      </c>
      <c r="C270" t="s">
        <v>696</v>
      </c>
      <c r="D270" t="s">
        <v>697</v>
      </c>
      <c r="E270">
        <v>757</v>
      </c>
      <c r="F270">
        <v>2672</v>
      </c>
      <c r="G270">
        <v>114.06593549999999</v>
      </c>
      <c r="H270">
        <v>549</v>
      </c>
      <c r="I270">
        <v>0.178297381</v>
      </c>
      <c r="J270">
        <v>3221</v>
      </c>
      <c r="K270">
        <v>18065.324250000001</v>
      </c>
      <c r="L270">
        <v>0.81899999999999995</v>
      </c>
      <c r="M270">
        <v>0.42036753399999999</v>
      </c>
      <c r="N270">
        <v>0</v>
      </c>
      <c r="O270" t="s">
        <v>613</v>
      </c>
      <c r="P270">
        <f t="shared" si="38"/>
        <v>12.03225589</v>
      </c>
      <c r="Q270">
        <f t="shared" si="39"/>
        <v>2.5000000000000001E-2</v>
      </c>
      <c r="R270">
        <f t="shared" si="40"/>
        <v>0.02</v>
      </c>
      <c r="S270">
        <f t="shared" si="41"/>
        <v>0.81899999999999995</v>
      </c>
      <c r="T270">
        <f t="shared" si="42"/>
        <v>2.3748</v>
      </c>
      <c r="U270">
        <f t="shared" si="43"/>
        <v>6.6640244519999996</v>
      </c>
      <c r="V270">
        <f t="shared" si="44"/>
        <v>3.7999999999999999E-2</v>
      </c>
      <c r="W270">
        <f t="shared" si="45"/>
        <v>0.104</v>
      </c>
      <c r="X270">
        <f t="shared" si="46"/>
        <v>0.81100000000000005</v>
      </c>
      <c r="Y270">
        <v>50.889146850000003</v>
      </c>
      <c r="Z270">
        <v>0</v>
      </c>
      <c r="AA270">
        <v>27567</v>
      </c>
      <c r="AB270">
        <v>8371</v>
      </c>
      <c r="AC270">
        <v>2.6639960000000001E-2</v>
      </c>
      <c r="AD270">
        <v>0.83875813700000001</v>
      </c>
      <c r="AF270">
        <v>12.03225589</v>
      </c>
      <c r="AG270">
        <v>2.5000000000000001E-2</v>
      </c>
      <c r="AH270">
        <v>0.02</v>
      </c>
      <c r="AI270">
        <v>0.81899999999999995</v>
      </c>
      <c r="AJ270">
        <v>2.3748</v>
      </c>
      <c r="AK270">
        <v>6.6640244519999996</v>
      </c>
      <c r="AL270">
        <v>3.7999999999999999E-2</v>
      </c>
      <c r="AM270">
        <v>0.104</v>
      </c>
      <c r="AN270">
        <v>0.81100000000000005</v>
      </c>
    </row>
    <row r="271" spans="1:40">
      <c r="A271">
        <v>2339</v>
      </c>
      <c r="B271" t="s">
        <v>690</v>
      </c>
      <c r="C271" t="s">
        <v>687</v>
      </c>
      <c r="D271" t="s">
        <v>688</v>
      </c>
      <c r="E271">
        <v>1408</v>
      </c>
      <c r="F271">
        <v>4262</v>
      </c>
      <c r="G271">
        <v>179.84890899999999</v>
      </c>
      <c r="H271">
        <v>65</v>
      </c>
      <c r="I271">
        <v>0.28113059400000001</v>
      </c>
      <c r="J271">
        <v>4327</v>
      </c>
      <c r="K271">
        <v>15391.42339</v>
      </c>
      <c r="L271">
        <v>0.81499999999999995</v>
      </c>
      <c r="M271">
        <v>4.4127631E-2</v>
      </c>
      <c r="N271">
        <v>0</v>
      </c>
      <c r="O271" t="s">
        <v>620</v>
      </c>
      <c r="P271">
        <f t="shared" si="38"/>
        <v>12.62449275</v>
      </c>
      <c r="Q271">
        <f t="shared" si="39"/>
        <v>4.3999999999999997E-2</v>
      </c>
      <c r="R271">
        <f t="shared" si="40"/>
        <v>1.4E-2</v>
      </c>
      <c r="S271">
        <f t="shared" si="41"/>
        <v>0.81499999999999995</v>
      </c>
      <c r="T271">
        <f t="shared" si="42"/>
        <v>1.9821428569999999</v>
      </c>
      <c r="U271">
        <f t="shared" si="43"/>
        <v>8.3319264890000007</v>
      </c>
      <c r="V271">
        <f t="shared" si="44"/>
        <v>2.3E-2</v>
      </c>
      <c r="W271">
        <f t="shared" si="45"/>
        <v>0.17799999999999999</v>
      </c>
      <c r="X271">
        <f t="shared" si="46"/>
        <v>0.79300000000000004</v>
      </c>
      <c r="Y271">
        <v>227.79213970000001</v>
      </c>
      <c r="Z271">
        <v>0</v>
      </c>
      <c r="AA271">
        <v>82284</v>
      </c>
      <c r="AB271">
        <v>32030</v>
      </c>
      <c r="AC271">
        <v>4.7570397E-2</v>
      </c>
      <c r="AD271">
        <v>0.78974696300000002</v>
      </c>
      <c r="AF271">
        <v>12.62449275</v>
      </c>
      <c r="AG271">
        <v>4.3999999999999997E-2</v>
      </c>
      <c r="AH271">
        <v>1.4E-2</v>
      </c>
      <c r="AI271">
        <v>0.81499999999999995</v>
      </c>
      <c r="AJ271">
        <v>1.9821428569999999</v>
      </c>
      <c r="AK271">
        <v>8.3319264890000007</v>
      </c>
      <c r="AL271">
        <v>2.3E-2</v>
      </c>
      <c r="AM271">
        <v>0.17799999999999999</v>
      </c>
      <c r="AN271">
        <v>0.79300000000000004</v>
      </c>
    </row>
    <row r="272" spans="1:40">
      <c r="A272">
        <v>2340</v>
      </c>
      <c r="B272" t="s">
        <v>690</v>
      </c>
      <c r="C272" t="s">
        <v>687</v>
      </c>
      <c r="D272" t="s">
        <v>688</v>
      </c>
      <c r="E272">
        <v>585</v>
      </c>
      <c r="F272">
        <v>1827</v>
      </c>
      <c r="G272">
        <v>210.85531449999999</v>
      </c>
      <c r="H272">
        <v>1002</v>
      </c>
      <c r="I272">
        <v>0.32959363800000002</v>
      </c>
      <c r="J272">
        <v>2829</v>
      </c>
      <c r="K272">
        <v>8583.2967439999993</v>
      </c>
      <c r="L272">
        <v>0.81100000000000005</v>
      </c>
      <c r="M272">
        <v>0.63137996200000002</v>
      </c>
      <c r="N272">
        <v>0</v>
      </c>
      <c r="O272" t="s">
        <v>620</v>
      </c>
      <c r="P272">
        <f t="shared" si="38"/>
        <v>14.313129249999999</v>
      </c>
      <c r="Q272">
        <f t="shared" si="39"/>
        <v>3.4000000000000002E-2</v>
      </c>
      <c r="R272">
        <f t="shared" si="40"/>
        <v>1.7000000000000001E-2</v>
      </c>
      <c r="S272">
        <f t="shared" si="41"/>
        <v>0.81100000000000005</v>
      </c>
      <c r="T272">
        <f t="shared" si="42"/>
        <v>2.402413793</v>
      </c>
      <c r="U272">
        <f t="shared" si="43"/>
        <v>8.8971182629999994</v>
      </c>
      <c r="V272">
        <f t="shared" si="44"/>
        <v>3.6999999999999998E-2</v>
      </c>
      <c r="W272">
        <f t="shared" si="45"/>
        <v>9.9000000000000005E-2</v>
      </c>
      <c r="X272">
        <f t="shared" si="46"/>
        <v>0.83499999999999996</v>
      </c>
      <c r="Y272">
        <v>384.9802583</v>
      </c>
      <c r="Z272">
        <v>0</v>
      </c>
      <c r="AA272">
        <v>82284</v>
      </c>
      <c r="AB272">
        <v>32030</v>
      </c>
      <c r="AC272">
        <v>4.7570397E-2</v>
      </c>
      <c r="AD272">
        <v>0.78974696300000002</v>
      </c>
      <c r="AF272">
        <v>14.313129249999999</v>
      </c>
      <c r="AG272">
        <v>3.4000000000000002E-2</v>
      </c>
      <c r="AH272">
        <v>1.7000000000000001E-2</v>
      </c>
      <c r="AI272">
        <v>0.81100000000000005</v>
      </c>
      <c r="AJ272">
        <v>2.402413793</v>
      </c>
      <c r="AK272">
        <v>8.8971182629999994</v>
      </c>
      <c r="AL272">
        <v>3.6999999999999998E-2</v>
      </c>
      <c r="AM272">
        <v>9.9000000000000005E-2</v>
      </c>
      <c r="AN272">
        <v>0.83499999999999996</v>
      </c>
    </row>
    <row r="273" spans="1:40">
      <c r="A273">
        <v>2341</v>
      </c>
      <c r="B273" t="s">
        <v>686</v>
      </c>
      <c r="C273" t="s">
        <v>687</v>
      </c>
      <c r="D273" t="s">
        <v>688</v>
      </c>
      <c r="E273">
        <v>767</v>
      </c>
      <c r="F273">
        <v>1473</v>
      </c>
      <c r="G273">
        <v>40.202165389999998</v>
      </c>
      <c r="H273">
        <v>532</v>
      </c>
      <c r="I273">
        <v>6.2841598999999998E-2</v>
      </c>
      <c r="J273">
        <v>2005</v>
      </c>
      <c r="K273">
        <v>31905.617170000001</v>
      </c>
      <c r="L273">
        <v>0.59799999999999998</v>
      </c>
      <c r="M273">
        <v>0.40954580400000001</v>
      </c>
      <c r="N273">
        <v>1</v>
      </c>
      <c r="O273" t="s">
        <v>606</v>
      </c>
      <c r="P273">
        <f t="shared" si="38"/>
        <v>12.516616539999999</v>
      </c>
      <c r="Q273">
        <f t="shared" si="39"/>
        <v>8.4000000000000005E-2</v>
      </c>
      <c r="R273">
        <f t="shared" si="40"/>
        <v>4.4999999999999998E-2</v>
      </c>
      <c r="S273">
        <f t="shared" si="41"/>
        <v>0.59799999999999998</v>
      </c>
      <c r="T273">
        <f t="shared" si="42"/>
        <v>1.6945454550000001</v>
      </c>
      <c r="U273">
        <f t="shared" si="43"/>
        <v>5.9754242419999999</v>
      </c>
      <c r="V273">
        <f t="shared" si="44"/>
        <v>8.3000000000000004E-2</v>
      </c>
      <c r="W273">
        <f t="shared" si="45"/>
        <v>0.26300000000000001</v>
      </c>
      <c r="X273">
        <f t="shared" si="46"/>
        <v>0.47799999999999998</v>
      </c>
      <c r="Y273">
        <v>85.663898040000007</v>
      </c>
      <c r="Z273">
        <v>1</v>
      </c>
      <c r="AA273">
        <v>140316</v>
      </c>
      <c r="AB273">
        <v>49638</v>
      </c>
      <c r="AC273">
        <v>9.1283894000000004E-2</v>
      </c>
      <c r="AD273">
        <v>0.60339869999999995</v>
      </c>
      <c r="AF273">
        <v>12.516616539999999</v>
      </c>
      <c r="AG273">
        <v>8.4000000000000005E-2</v>
      </c>
      <c r="AH273">
        <v>4.4999999999999998E-2</v>
      </c>
      <c r="AI273">
        <v>0.59799999999999998</v>
      </c>
      <c r="AJ273">
        <v>1.6945454550000001</v>
      </c>
      <c r="AK273">
        <v>5.9754242419999999</v>
      </c>
      <c r="AL273">
        <v>8.3000000000000004E-2</v>
      </c>
      <c r="AM273">
        <v>0.26300000000000001</v>
      </c>
      <c r="AN273">
        <v>0.47799999999999998</v>
      </c>
    </row>
    <row r="274" spans="1:40">
      <c r="A274">
        <v>2342</v>
      </c>
      <c r="B274" t="s">
        <v>686</v>
      </c>
      <c r="C274" t="s">
        <v>687</v>
      </c>
      <c r="D274" t="s">
        <v>688</v>
      </c>
      <c r="E274">
        <v>457</v>
      </c>
      <c r="F274">
        <v>869</v>
      </c>
      <c r="G274">
        <v>30.26864956</v>
      </c>
      <c r="H274">
        <v>1399</v>
      </c>
      <c r="I274">
        <v>4.7314905999999997E-2</v>
      </c>
      <c r="J274">
        <v>2268</v>
      </c>
      <c r="K274">
        <v>47934.154199999997</v>
      </c>
      <c r="L274">
        <v>0.58599999999999997</v>
      </c>
      <c r="M274">
        <v>0.75377155200000001</v>
      </c>
      <c r="N274">
        <v>1</v>
      </c>
      <c r="O274" t="s">
        <v>606</v>
      </c>
      <c r="P274">
        <f t="shared" si="38"/>
        <v>12.27651685</v>
      </c>
      <c r="Q274">
        <f t="shared" si="39"/>
        <v>0.105</v>
      </c>
      <c r="R274">
        <f t="shared" si="40"/>
        <v>4.1000000000000002E-2</v>
      </c>
      <c r="S274">
        <f t="shared" si="41"/>
        <v>0.58599999999999997</v>
      </c>
      <c r="T274">
        <f t="shared" si="42"/>
        <v>1.6990789470000001</v>
      </c>
      <c r="U274">
        <f t="shared" si="43"/>
        <v>7.0594952380000002</v>
      </c>
      <c r="V274">
        <f t="shared" si="44"/>
        <v>7.2999999999999995E-2</v>
      </c>
      <c r="W274">
        <f t="shared" si="45"/>
        <v>0.27400000000000002</v>
      </c>
      <c r="X274">
        <f t="shared" si="46"/>
        <v>0.51900000000000002</v>
      </c>
      <c r="Y274">
        <v>260.56926729999998</v>
      </c>
      <c r="Z274">
        <v>1</v>
      </c>
      <c r="AA274">
        <v>140316</v>
      </c>
      <c r="AB274">
        <v>49638</v>
      </c>
      <c r="AC274">
        <v>9.1283894000000004E-2</v>
      </c>
      <c r="AD274">
        <v>0.60339869999999995</v>
      </c>
      <c r="AF274">
        <v>12.27651685</v>
      </c>
      <c r="AG274">
        <v>0.105</v>
      </c>
      <c r="AH274">
        <v>4.1000000000000002E-2</v>
      </c>
      <c r="AI274">
        <v>0.58599999999999997</v>
      </c>
      <c r="AJ274">
        <v>1.6990789470000001</v>
      </c>
      <c r="AK274">
        <v>7.0594952380000002</v>
      </c>
      <c r="AL274">
        <v>7.2999999999999995E-2</v>
      </c>
      <c r="AM274">
        <v>0.27400000000000002</v>
      </c>
      <c r="AN274">
        <v>0.51900000000000002</v>
      </c>
    </row>
    <row r="275" spans="1:40">
      <c r="A275">
        <v>2343</v>
      </c>
      <c r="B275" t="s">
        <v>691</v>
      </c>
      <c r="C275" t="s">
        <v>684</v>
      </c>
      <c r="D275" t="s">
        <v>685</v>
      </c>
      <c r="E275">
        <v>440</v>
      </c>
      <c r="F275">
        <v>1499</v>
      </c>
      <c r="G275">
        <v>196.38479659999999</v>
      </c>
      <c r="H275">
        <v>35</v>
      </c>
      <c r="I275">
        <v>0.30696399899999999</v>
      </c>
      <c r="J275">
        <v>1534</v>
      </c>
      <c r="K275">
        <v>4997.3286930000004</v>
      </c>
      <c r="L275">
        <v>0.83399999999999996</v>
      </c>
      <c r="M275">
        <v>7.3684210999999999E-2</v>
      </c>
      <c r="N275">
        <v>0</v>
      </c>
      <c r="O275" t="s">
        <v>625</v>
      </c>
      <c r="P275">
        <f t="shared" si="38"/>
        <v>12.494850749999999</v>
      </c>
      <c r="Q275">
        <f t="shared" si="39"/>
        <v>2.3E-2</v>
      </c>
      <c r="R275">
        <f t="shared" si="40"/>
        <v>4.2000000000000003E-2</v>
      </c>
      <c r="S275">
        <f t="shared" si="41"/>
        <v>0.83399999999999996</v>
      </c>
      <c r="T275">
        <f t="shared" si="42"/>
        <v>1.2539285710000001</v>
      </c>
      <c r="U275">
        <f t="shared" si="43"/>
        <v>8.0869908259999992</v>
      </c>
      <c r="V275">
        <f t="shared" si="44"/>
        <v>2.8000000000000001E-2</v>
      </c>
      <c r="W275">
        <f t="shared" si="45"/>
        <v>2.8000000000000001E-2</v>
      </c>
      <c r="X275">
        <f t="shared" si="46"/>
        <v>0.94399999999999995</v>
      </c>
      <c r="Y275">
        <v>39.336051470000001</v>
      </c>
      <c r="Z275">
        <v>0</v>
      </c>
      <c r="AA275">
        <v>236250</v>
      </c>
      <c r="AB275">
        <v>76158</v>
      </c>
      <c r="AC275">
        <v>1.7652984E-2</v>
      </c>
      <c r="AD275">
        <v>0.84750225300000004</v>
      </c>
      <c r="AF275">
        <v>12.494850749999999</v>
      </c>
      <c r="AG275">
        <v>2.3E-2</v>
      </c>
      <c r="AH275">
        <v>4.2000000000000003E-2</v>
      </c>
      <c r="AI275">
        <v>0.83399999999999996</v>
      </c>
      <c r="AJ275">
        <v>1.2539285710000001</v>
      </c>
      <c r="AK275">
        <v>8.0869908259999992</v>
      </c>
      <c r="AL275">
        <v>2.8000000000000001E-2</v>
      </c>
      <c r="AM275">
        <v>2.8000000000000001E-2</v>
      </c>
      <c r="AN275">
        <v>0.94399999999999995</v>
      </c>
    </row>
    <row r="276" spans="1:40">
      <c r="A276">
        <v>2344</v>
      </c>
      <c r="B276" t="s">
        <v>706</v>
      </c>
      <c r="C276" t="s">
        <v>684</v>
      </c>
      <c r="D276" t="s">
        <v>685</v>
      </c>
      <c r="E276">
        <v>1333</v>
      </c>
      <c r="F276">
        <v>4165</v>
      </c>
      <c r="G276">
        <v>387.26885299999998</v>
      </c>
      <c r="H276">
        <v>444</v>
      </c>
      <c r="I276">
        <v>0.60533194499999998</v>
      </c>
      <c r="J276">
        <v>4609</v>
      </c>
      <c r="K276">
        <v>7614.0042469999999</v>
      </c>
      <c r="L276">
        <v>0.86899999999999999</v>
      </c>
      <c r="M276">
        <v>0.249859313</v>
      </c>
      <c r="N276">
        <v>0</v>
      </c>
      <c r="O276" t="s">
        <v>625</v>
      </c>
      <c r="P276">
        <f t="shared" si="38"/>
        <v>14.3535474</v>
      </c>
      <c r="Q276">
        <f t="shared" si="39"/>
        <v>1.4E-2</v>
      </c>
      <c r="R276">
        <f t="shared" si="40"/>
        <v>1.7000000000000001E-2</v>
      </c>
      <c r="S276">
        <f t="shared" si="41"/>
        <v>0.86899999999999999</v>
      </c>
      <c r="T276">
        <f t="shared" si="42"/>
        <v>2.3341071430000002</v>
      </c>
      <c r="U276">
        <f t="shared" si="43"/>
        <v>7.4495007080000004</v>
      </c>
      <c r="V276">
        <f t="shared" si="44"/>
        <v>3.7999999999999999E-2</v>
      </c>
      <c r="W276">
        <f t="shared" si="45"/>
        <v>5.5E-2</v>
      </c>
      <c r="X276">
        <f t="shared" si="46"/>
        <v>0.89600000000000002</v>
      </c>
      <c r="Y276">
        <v>126.605081</v>
      </c>
      <c r="Z276">
        <v>0</v>
      </c>
      <c r="AA276">
        <v>47401</v>
      </c>
      <c r="AB276">
        <v>14616</v>
      </c>
      <c r="AC276">
        <v>1.1721782E-2</v>
      </c>
      <c r="AD276">
        <v>0.85588417900000002</v>
      </c>
      <c r="AF276">
        <v>14.3535474</v>
      </c>
      <c r="AG276">
        <v>1.4E-2</v>
      </c>
      <c r="AH276">
        <v>1.7000000000000001E-2</v>
      </c>
      <c r="AI276">
        <v>0.86899999999999999</v>
      </c>
      <c r="AJ276">
        <v>2.3341071430000002</v>
      </c>
      <c r="AK276">
        <v>7.4495007080000004</v>
      </c>
      <c r="AL276">
        <v>3.7999999999999999E-2</v>
      </c>
      <c r="AM276">
        <v>5.5E-2</v>
      </c>
      <c r="AN276">
        <v>0.89600000000000002</v>
      </c>
    </row>
    <row r="277" spans="1:40">
      <c r="A277">
        <v>2345</v>
      </c>
      <c r="B277" t="s">
        <v>698</v>
      </c>
      <c r="C277" t="s">
        <v>693</v>
      </c>
      <c r="D277" t="s">
        <v>694</v>
      </c>
      <c r="E277">
        <v>583</v>
      </c>
      <c r="F277">
        <v>1703</v>
      </c>
      <c r="G277">
        <v>155.4463825</v>
      </c>
      <c r="H277">
        <v>150</v>
      </c>
      <c r="I277">
        <v>0.24298436300000001</v>
      </c>
      <c r="J277">
        <v>1853</v>
      </c>
      <c r="K277">
        <v>7626.0051350000003</v>
      </c>
      <c r="L277">
        <v>0.82499999999999996</v>
      </c>
      <c r="M277">
        <v>0.20463847199999999</v>
      </c>
      <c r="N277">
        <v>0</v>
      </c>
      <c r="O277" t="s">
        <v>620</v>
      </c>
      <c r="P277">
        <f t="shared" si="38"/>
        <v>18.354471149999998</v>
      </c>
      <c r="Q277">
        <f t="shared" si="39"/>
        <v>1.6E-2</v>
      </c>
      <c r="R277">
        <f t="shared" si="40"/>
        <v>0.01</v>
      </c>
      <c r="S277">
        <f t="shared" si="41"/>
        <v>0.82499999999999996</v>
      </c>
      <c r="T277">
        <f t="shared" si="42"/>
        <v>2.8279999999999998</v>
      </c>
      <c r="U277">
        <f t="shared" si="43"/>
        <v>8.4354031290000009</v>
      </c>
      <c r="V277">
        <f t="shared" si="44"/>
        <v>2.7E-2</v>
      </c>
      <c r="W277">
        <f t="shared" si="45"/>
        <v>3.5999999999999997E-2</v>
      </c>
      <c r="X277">
        <f t="shared" si="46"/>
        <v>0.92900000000000005</v>
      </c>
      <c r="Y277">
        <v>117.8196806</v>
      </c>
      <c r="Z277">
        <v>0</v>
      </c>
      <c r="AA277">
        <v>88250</v>
      </c>
      <c r="AB277">
        <v>31723</v>
      </c>
      <c r="AC277">
        <v>1.0795895999999999E-2</v>
      </c>
      <c r="AD277">
        <v>0.817760245</v>
      </c>
      <c r="AF277">
        <v>18.354471149999998</v>
      </c>
      <c r="AG277">
        <v>1.6E-2</v>
      </c>
      <c r="AH277">
        <v>0.01</v>
      </c>
      <c r="AI277">
        <v>0.82499999999999996</v>
      </c>
      <c r="AJ277">
        <v>2.8279999999999998</v>
      </c>
      <c r="AK277">
        <v>8.4354031290000009</v>
      </c>
      <c r="AL277">
        <v>2.7E-2</v>
      </c>
      <c r="AM277">
        <v>3.5999999999999997E-2</v>
      </c>
      <c r="AN277">
        <v>0.92900000000000005</v>
      </c>
    </row>
    <row r="278" spans="1:40">
      <c r="A278">
        <v>2346</v>
      </c>
      <c r="B278" t="s">
        <v>683</v>
      </c>
      <c r="C278" t="s">
        <v>684</v>
      </c>
      <c r="D278" t="s">
        <v>685</v>
      </c>
      <c r="E278">
        <v>709</v>
      </c>
      <c r="F278">
        <v>2653</v>
      </c>
      <c r="G278">
        <v>160.2528039</v>
      </c>
      <c r="H278">
        <v>0</v>
      </c>
      <c r="I278">
        <v>0.25048440300000002</v>
      </c>
      <c r="J278">
        <v>2653</v>
      </c>
      <c r="K278">
        <v>10591.47783</v>
      </c>
      <c r="L278">
        <v>0.86199999999999999</v>
      </c>
      <c r="M278">
        <v>0</v>
      </c>
      <c r="N278">
        <v>0</v>
      </c>
      <c r="O278" t="s">
        <v>620</v>
      </c>
      <c r="P278">
        <f t="shared" si="38"/>
        <v>14.061194029999999</v>
      </c>
      <c r="Q278">
        <f t="shared" si="39"/>
        <v>8.9999999999999993E-3</v>
      </c>
      <c r="R278">
        <f t="shared" si="40"/>
        <v>1.7000000000000001E-2</v>
      </c>
      <c r="S278">
        <f t="shared" si="41"/>
        <v>0.86199999999999999</v>
      </c>
      <c r="T278">
        <f t="shared" si="42"/>
        <v>2.6271428569999999</v>
      </c>
      <c r="U278">
        <f t="shared" si="43"/>
        <v>7.7171455050000004</v>
      </c>
      <c r="V278">
        <f t="shared" si="44"/>
        <v>0.01</v>
      </c>
      <c r="W278">
        <f t="shared" si="45"/>
        <v>1.9E-2</v>
      </c>
      <c r="X278">
        <f t="shared" si="46"/>
        <v>0.96199999999999997</v>
      </c>
      <c r="Y278">
        <v>59.918617660000002</v>
      </c>
      <c r="Z278">
        <v>0</v>
      </c>
      <c r="AA278">
        <v>75370</v>
      </c>
      <c r="AB278">
        <v>21403</v>
      </c>
      <c r="AC278">
        <v>2.4597187E-2</v>
      </c>
      <c r="AD278">
        <v>0.84342094400000001</v>
      </c>
      <c r="AF278">
        <v>14.061194029999999</v>
      </c>
      <c r="AG278">
        <v>8.9999999999999993E-3</v>
      </c>
      <c r="AH278">
        <v>1.7000000000000001E-2</v>
      </c>
      <c r="AI278">
        <v>0.86199999999999999</v>
      </c>
      <c r="AJ278">
        <v>2.6271428569999999</v>
      </c>
      <c r="AK278">
        <v>7.7171455050000004</v>
      </c>
      <c r="AL278">
        <v>0.01</v>
      </c>
      <c r="AM278">
        <v>1.9E-2</v>
      </c>
      <c r="AN278">
        <v>0.96199999999999997</v>
      </c>
    </row>
    <row r="279" spans="1:40">
      <c r="A279">
        <v>2347</v>
      </c>
      <c r="B279" t="s">
        <v>691</v>
      </c>
      <c r="C279" t="s">
        <v>684</v>
      </c>
      <c r="D279" t="s">
        <v>685</v>
      </c>
      <c r="E279">
        <v>584</v>
      </c>
      <c r="F279">
        <v>2109</v>
      </c>
      <c r="G279">
        <v>121.47828459999999</v>
      </c>
      <c r="H279">
        <v>31</v>
      </c>
      <c r="I279">
        <v>0.18987915599999999</v>
      </c>
      <c r="J279">
        <v>2140</v>
      </c>
      <c r="K279">
        <v>11270.326059999999</v>
      </c>
      <c r="L279">
        <v>0.89700000000000002</v>
      </c>
      <c r="M279">
        <v>5.0406503999999998E-2</v>
      </c>
      <c r="N279">
        <v>0</v>
      </c>
      <c r="O279" t="s">
        <v>620</v>
      </c>
      <c r="P279">
        <f t="shared" si="38"/>
        <v>13.9995092</v>
      </c>
      <c r="Q279">
        <f t="shared" si="39"/>
        <v>1.0999999999999999E-2</v>
      </c>
      <c r="R279">
        <f t="shared" si="40"/>
        <v>2.1000000000000001E-2</v>
      </c>
      <c r="S279">
        <f t="shared" si="41"/>
        <v>0.89700000000000002</v>
      </c>
      <c r="T279">
        <f t="shared" si="42"/>
        <v>2.9144000000000001</v>
      </c>
      <c r="U279">
        <f t="shared" si="43"/>
        <v>7.4591964290000004</v>
      </c>
      <c r="V279">
        <f t="shared" si="44"/>
        <v>5.0999999999999997E-2</v>
      </c>
      <c r="W279">
        <f t="shared" si="45"/>
        <v>3.4000000000000002E-2</v>
      </c>
      <c r="X279">
        <f t="shared" si="46"/>
        <v>0.91600000000000004</v>
      </c>
      <c r="Y279">
        <v>194.61264560000001</v>
      </c>
      <c r="Z279">
        <v>0</v>
      </c>
      <c r="AA279">
        <v>236250</v>
      </c>
      <c r="AB279">
        <v>76158</v>
      </c>
      <c r="AC279">
        <v>1.7652984E-2</v>
      </c>
      <c r="AD279">
        <v>0.84750225300000004</v>
      </c>
      <c r="AF279">
        <v>13.9995092</v>
      </c>
      <c r="AG279">
        <v>1.0999999999999999E-2</v>
      </c>
      <c r="AH279">
        <v>2.1000000000000001E-2</v>
      </c>
      <c r="AI279">
        <v>0.89700000000000002</v>
      </c>
      <c r="AJ279">
        <v>2.9144000000000001</v>
      </c>
      <c r="AK279">
        <v>7.4591964290000004</v>
      </c>
      <c r="AL279">
        <v>5.0999999999999997E-2</v>
      </c>
      <c r="AM279">
        <v>3.4000000000000002E-2</v>
      </c>
      <c r="AN279">
        <v>0.91600000000000004</v>
      </c>
    </row>
    <row r="280" spans="1:40">
      <c r="A280">
        <v>2348</v>
      </c>
      <c r="B280" t="s">
        <v>691</v>
      </c>
      <c r="C280" t="s">
        <v>684</v>
      </c>
      <c r="D280" t="s">
        <v>685</v>
      </c>
      <c r="E280">
        <v>573</v>
      </c>
      <c r="F280">
        <v>1779</v>
      </c>
      <c r="G280">
        <v>36.890059309999998</v>
      </c>
      <c r="H280">
        <v>0</v>
      </c>
      <c r="I280">
        <v>5.7658749000000002E-2</v>
      </c>
      <c r="J280">
        <v>1779</v>
      </c>
      <c r="K280">
        <v>30853.947250000001</v>
      </c>
      <c r="L280">
        <v>0.81499999999999995</v>
      </c>
      <c r="M280">
        <v>0</v>
      </c>
      <c r="N280">
        <v>0</v>
      </c>
      <c r="O280" t="s">
        <v>620</v>
      </c>
      <c r="P280">
        <f t="shared" si="38"/>
        <v>15.20846774</v>
      </c>
      <c r="Q280">
        <f t="shared" si="39"/>
        <v>8.0000000000000002E-3</v>
      </c>
      <c r="R280">
        <f t="shared" si="40"/>
        <v>2.7E-2</v>
      </c>
      <c r="S280">
        <f t="shared" si="41"/>
        <v>0.81499999999999995</v>
      </c>
      <c r="T280">
        <f t="shared" si="42"/>
        <v>1.8996153849999999</v>
      </c>
      <c r="U280">
        <f t="shared" si="43"/>
        <v>7.9419868420000004</v>
      </c>
      <c r="V280">
        <f t="shared" si="44"/>
        <v>1.4999999999999999E-2</v>
      </c>
      <c r="W280">
        <f t="shared" si="45"/>
        <v>3.1E-2</v>
      </c>
      <c r="X280">
        <f t="shared" si="46"/>
        <v>0.95399999999999996</v>
      </c>
      <c r="Y280">
        <v>358.75921970000002</v>
      </c>
      <c r="Z280">
        <v>0</v>
      </c>
      <c r="AA280">
        <v>236250</v>
      </c>
      <c r="AB280">
        <v>76158</v>
      </c>
      <c r="AC280">
        <v>1.7652984E-2</v>
      </c>
      <c r="AD280">
        <v>0.84750225300000004</v>
      </c>
      <c r="AF280">
        <v>15.20846774</v>
      </c>
      <c r="AG280">
        <v>8.0000000000000002E-3</v>
      </c>
      <c r="AH280">
        <v>2.7E-2</v>
      </c>
      <c r="AI280">
        <v>0.81499999999999995</v>
      </c>
      <c r="AJ280">
        <v>1.8996153849999999</v>
      </c>
      <c r="AK280">
        <v>7.9419868420000004</v>
      </c>
      <c r="AL280">
        <v>1.4999999999999999E-2</v>
      </c>
      <c r="AM280">
        <v>3.1E-2</v>
      </c>
      <c r="AN280">
        <v>0.95399999999999996</v>
      </c>
    </row>
    <row r="281" spans="1:40">
      <c r="A281">
        <v>2349</v>
      </c>
      <c r="B281" t="s">
        <v>691</v>
      </c>
      <c r="C281" t="s">
        <v>684</v>
      </c>
      <c r="D281" t="s">
        <v>685</v>
      </c>
      <c r="E281">
        <v>935</v>
      </c>
      <c r="F281">
        <v>2918</v>
      </c>
      <c r="G281">
        <v>35.25899107</v>
      </c>
      <c r="H281">
        <v>0</v>
      </c>
      <c r="I281">
        <v>5.5112115000000003E-2</v>
      </c>
      <c r="J281">
        <v>2918</v>
      </c>
      <c r="K281">
        <v>52946.616179999997</v>
      </c>
      <c r="L281">
        <v>0.81</v>
      </c>
      <c r="M281">
        <v>0</v>
      </c>
      <c r="N281">
        <v>0</v>
      </c>
      <c r="O281" t="s">
        <v>620</v>
      </c>
      <c r="P281">
        <f t="shared" si="38"/>
        <v>14.59266667</v>
      </c>
      <c r="Q281">
        <f t="shared" si="39"/>
        <v>7.0000000000000001E-3</v>
      </c>
      <c r="R281">
        <f t="shared" si="40"/>
        <v>1.0999999999999999E-2</v>
      </c>
      <c r="S281">
        <f t="shared" si="41"/>
        <v>0.81</v>
      </c>
      <c r="T281">
        <f t="shared" si="42"/>
        <v>2.0722222220000002</v>
      </c>
      <c r="U281">
        <f t="shared" si="43"/>
        <v>7.6785068909999996</v>
      </c>
      <c r="V281">
        <f t="shared" si="44"/>
        <v>0.01</v>
      </c>
      <c r="W281">
        <f t="shared" si="45"/>
        <v>5.2999999999999999E-2</v>
      </c>
      <c r="X281">
        <f t="shared" si="46"/>
        <v>0.93300000000000005</v>
      </c>
      <c r="Y281">
        <v>446.8222184</v>
      </c>
      <c r="Z281">
        <v>0</v>
      </c>
      <c r="AA281">
        <v>236250</v>
      </c>
      <c r="AB281">
        <v>76158</v>
      </c>
      <c r="AC281">
        <v>1.7652984E-2</v>
      </c>
      <c r="AD281">
        <v>0.84750225300000004</v>
      </c>
      <c r="AF281">
        <v>14.59266667</v>
      </c>
      <c r="AG281">
        <v>7.0000000000000001E-3</v>
      </c>
      <c r="AH281">
        <v>1.0999999999999999E-2</v>
      </c>
      <c r="AI281">
        <v>0.81</v>
      </c>
      <c r="AJ281">
        <v>2.0722222220000002</v>
      </c>
      <c r="AK281">
        <v>7.6785068909999996</v>
      </c>
      <c r="AL281">
        <v>0.01</v>
      </c>
      <c r="AM281">
        <v>5.2999999999999999E-2</v>
      </c>
      <c r="AN281">
        <v>0.93300000000000005</v>
      </c>
    </row>
    <row r="282" spans="1:40">
      <c r="A282">
        <v>2350</v>
      </c>
      <c r="B282" t="s">
        <v>691</v>
      </c>
      <c r="C282" t="s">
        <v>684</v>
      </c>
      <c r="D282" t="s">
        <v>685</v>
      </c>
      <c r="E282">
        <v>674</v>
      </c>
      <c r="F282">
        <v>2100</v>
      </c>
      <c r="G282">
        <v>43.315956440000001</v>
      </c>
      <c r="H282">
        <v>144</v>
      </c>
      <c r="I282">
        <v>6.7708485999999998E-2</v>
      </c>
      <c r="J282">
        <v>2244</v>
      </c>
      <c r="K282">
        <v>33142.079120000002</v>
      </c>
      <c r="L282">
        <v>0.84399999999999997</v>
      </c>
      <c r="M282">
        <v>0.17603911999999999</v>
      </c>
      <c r="N282">
        <v>0</v>
      </c>
      <c r="O282" t="s">
        <v>620</v>
      </c>
      <c r="P282">
        <f t="shared" si="38"/>
        <v>13.296256980000001</v>
      </c>
      <c r="Q282">
        <f t="shared" si="39"/>
        <v>8.9999999999999993E-3</v>
      </c>
      <c r="R282">
        <f t="shared" si="40"/>
        <v>1.7999999999999999E-2</v>
      </c>
      <c r="S282">
        <f t="shared" si="41"/>
        <v>0.84399999999999997</v>
      </c>
      <c r="T282">
        <f t="shared" si="42"/>
        <v>2.467619048</v>
      </c>
      <c r="U282">
        <f t="shared" si="43"/>
        <v>8.2178958550000001</v>
      </c>
      <c r="V282">
        <f t="shared" si="44"/>
        <v>2.1000000000000001E-2</v>
      </c>
      <c r="W282">
        <f t="shared" si="45"/>
        <v>2.1000000000000001E-2</v>
      </c>
      <c r="X282">
        <f t="shared" si="46"/>
        <v>0.95699999999999996</v>
      </c>
      <c r="Y282">
        <v>197.06408279999999</v>
      </c>
      <c r="Z282">
        <v>0</v>
      </c>
      <c r="AA282">
        <v>236250</v>
      </c>
      <c r="AB282">
        <v>76158</v>
      </c>
      <c r="AC282">
        <v>1.7652984E-2</v>
      </c>
      <c r="AD282">
        <v>0.84750225300000004</v>
      </c>
      <c r="AF282">
        <v>13.296256980000001</v>
      </c>
      <c r="AG282">
        <v>8.9999999999999993E-3</v>
      </c>
      <c r="AH282">
        <v>1.7999999999999999E-2</v>
      </c>
      <c r="AI282">
        <v>0.84399999999999997</v>
      </c>
      <c r="AJ282">
        <v>2.467619048</v>
      </c>
      <c r="AK282">
        <v>8.2178958550000001</v>
      </c>
      <c r="AL282">
        <v>2.1000000000000001E-2</v>
      </c>
      <c r="AM282">
        <v>2.1000000000000001E-2</v>
      </c>
      <c r="AN282">
        <v>0.95699999999999996</v>
      </c>
    </row>
    <row r="283" spans="1:40">
      <c r="A283">
        <v>2351</v>
      </c>
      <c r="B283" t="s">
        <v>691</v>
      </c>
      <c r="C283" t="s">
        <v>684</v>
      </c>
      <c r="D283" t="s">
        <v>685</v>
      </c>
      <c r="E283">
        <v>1099</v>
      </c>
      <c r="F283">
        <v>3427</v>
      </c>
      <c r="G283">
        <v>105.5543263</v>
      </c>
      <c r="H283">
        <v>249</v>
      </c>
      <c r="I283">
        <v>0.16499398800000001</v>
      </c>
      <c r="J283">
        <v>3676</v>
      </c>
      <c r="K283">
        <v>22279.59967</v>
      </c>
      <c r="L283">
        <v>0.83199999999999996</v>
      </c>
      <c r="M283">
        <v>0.184718101</v>
      </c>
      <c r="N283">
        <v>0</v>
      </c>
      <c r="O283" t="s">
        <v>620</v>
      </c>
      <c r="P283">
        <f t="shared" si="38"/>
        <v>12.59116667</v>
      </c>
      <c r="Q283">
        <f t="shared" si="39"/>
        <v>1.4E-2</v>
      </c>
      <c r="R283">
        <f t="shared" si="40"/>
        <v>2.5999999999999999E-2</v>
      </c>
      <c r="S283">
        <f t="shared" si="41"/>
        <v>0.83199999999999996</v>
      </c>
      <c r="T283">
        <f t="shared" si="42"/>
        <v>1.3903703700000001</v>
      </c>
      <c r="U283">
        <f t="shared" si="43"/>
        <v>8.0839764009999993</v>
      </c>
      <c r="V283">
        <f t="shared" si="44"/>
        <v>2.9000000000000001E-2</v>
      </c>
      <c r="W283">
        <f t="shared" si="45"/>
        <v>7.3999999999999996E-2</v>
      </c>
      <c r="X283">
        <f t="shared" si="46"/>
        <v>0.88200000000000001</v>
      </c>
      <c r="Y283">
        <v>219.54323640000001</v>
      </c>
      <c r="Z283">
        <v>0</v>
      </c>
      <c r="AA283">
        <v>236250</v>
      </c>
      <c r="AB283">
        <v>76158</v>
      </c>
      <c r="AC283">
        <v>1.7652984E-2</v>
      </c>
      <c r="AD283">
        <v>0.84750225300000004</v>
      </c>
      <c r="AF283">
        <v>12.59116667</v>
      </c>
      <c r="AG283">
        <v>1.4E-2</v>
      </c>
      <c r="AH283">
        <v>2.5999999999999999E-2</v>
      </c>
      <c r="AI283">
        <v>0.83199999999999996</v>
      </c>
      <c r="AJ283">
        <v>1.3903703700000001</v>
      </c>
      <c r="AK283">
        <v>8.0839764009999993</v>
      </c>
      <c r="AL283">
        <v>2.9000000000000001E-2</v>
      </c>
      <c r="AM283">
        <v>7.3999999999999996E-2</v>
      </c>
      <c r="AN283">
        <v>0.88200000000000001</v>
      </c>
    </row>
    <row r="284" spans="1:40">
      <c r="A284">
        <v>2352</v>
      </c>
      <c r="B284" t="s">
        <v>691</v>
      </c>
      <c r="C284" t="s">
        <v>684</v>
      </c>
      <c r="D284" t="s">
        <v>685</v>
      </c>
      <c r="E284">
        <v>699</v>
      </c>
      <c r="F284">
        <v>2085</v>
      </c>
      <c r="G284">
        <v>165.33421899999999</v>
      </c>
      <c r="H284">
        <v>562</v>
      </c>
      <c r="I284">
        <v>0.25843286700000001</v>
      </c>
      <c r="J284">
        <v>2647</v>
      </c>
      <c r="K284">
        <v>10242.50526</v>
      </c>
      <c r="L284">
        <v>0.78900000000000003</v>
      </c>
      <c r="M284">
        <v>0.44567803299999997</v>
      </c>
      <c r="N284">
        <v>1</v>
      </c>
      <c r="O284" t="s">
        <v>620</v>
      </c>
      <c r="P284">
        <f t="shared" si="38"/>
        <v>13.092523359999999</v>
      </c>
      <c r="Q284">
        <f t="shared" si="39"/>
        <v>1.2999999999999999E-2</v>
      </c>
      <c r="R284">
        <f t="shared" si="40"/>
        <v>1.7999999999999999E-2</v>
      </c>
      <c r="S284">
        <f t="shared" si="41"/>
        <v>0.78900000000000003</v>
      </c>
      <c r="T284">
        <f t="shared" si="42"/>
        <v>1.9463888890000001</v>
      </c>
      <c r="U284">
        <f t="shared" si="43"/>
        <v>6.528391794</v>
      </c>
      <c r="V284">
        <f t="shared" si="44"/>
        <v>3.3000000000000002E-2</v>
      </c>
      <c r="W284">
        <f t="shared" si="45"/>
        <v>4.1000000000000002E-2</v>
      </c>
      <c r="X284">
        <f t="shared" si="46"/>
        <v>0.87</v>
      </c>
      <c r="Y284">
        <v>121.63877859999999</v>
      </c>
      <c r="Z284">
        <v>0</v>
      </c>
      <c r="AA284">
        <v>236250</v>
      </c>
      <c r="AB284">
        <v>76158</v>
      </c>
      <c r="AC284">
        <v>1.7652984E-2</v>
      </c>
      <c r="AD284">
        <v>0.84750225300000004</v>
      </c>
      <c r="AF284">
        <v>13.092523359999999</v>
      </c>
      <c r="AG284">
        <v>1.2999999999999999E-2</v>
      </c>
      <c r="AH284">
        <v>1.7999999999999999E-2</v>
      </c>
      <c r="AI284">
        <v>0.78900000000000003</v>
      </c>
      <c r="AJ284">
        <v>1.9463888890000001</v>
      </c>
      <c r="AK284">
        <v>6.528391794</v>
      </c>
      <c r="AL284">
        <v>3.3000000000000002E-2</v>
      </c>
      <c r="AM284">
        <v>4.1000000000000002E-2</v>
      </c>
      <c r="AN284">
        <v>0.87</v>
      </c>
    </row>
    <row r="285" spans="1:40">
      <c r="A285">
        <v>2353</v>
      </c>
      <c r="B285" t="s">
        <v>691</v>
      </c>
      <c r="C285" t="s">
        <v>684</v>
      </c>
      <c r="D285" t="s">
        <v>685</v>
      </c>
      <c r="E285">
        <v>6</v>
      </c>
      <c r="F285">
        <v>33</v>
      </c>
      <c r="G285">
        <v>292.09008829999999</v>
      </c>
      <c r="H285">
        <v>200</v>
      </c>
      <c r="I285">
        <v>0.45654747800000001</v>
      </c>
      <c r="J285">
        <v>233</v>
      </c>
      <c r="K285">
        <v>510.35217849999998</v>
      </c>
      <c r="L285">
        <v>0.93700000000000006</v>
      </c>
      <c r="M285">
        <v>0.97087378599999996</v>
      </c>
      <c r="N285">
        <v>0</v>
      </c>
      <c r="O285" t="s">
        <v>620</v>
      </c>
      <c r="P285">
        <f t="shared" si="38"/>
        <v>12.06206897</v>
      </c>
      <c r="Q285">
        <f t="shared" si="39"/>
        <v>1.2999999999999999E-2</v>
      </c>
      <c r="R285">
        <f t="shared" si="40"/>
        <v>1.2999999999999999E-2</v>
      </c>
      <c r="S285">
        <f t="shared" si="41"/>
        <v>0.93700000000000006</v>
      </c>
      <c r="T285">
        <f t="shared" si="42"/>
        <v>2.77</v>
      </c>
      <c r="U285">
        <f t="shared" si="43"/>
        <v>7.9986805560000001</v>
      </c>
      <c r="V285">
        <f t="shared" si="44"/>
        <v>6.0999999999999999E-2</v>
      </c>
      <c r="W285">
        <f t="shared" si="45"/>
        <v>6.0999999999999999E-2</v>
      </c>
      <c r="X285">
        <f t="shared" si="46"/>
        <v>0.879</v>
      </c>
      <c r="Y285">
        <v>73.929302660000005</v>
      </c>
      <c r="Z285">
        <v>0</v>
      </c>
      <c r="AA285">
        <v>236250</v>
      </c>
      <c r="AB285">
        <v>76158</v>
      </c>
      <c r="AC285">
        <v>1.7652984E-2</v>
      </c>
      <c r="AD285">
        <v>0.84750225300000004</v>
      </c>
      <c r="AF285">
        <v>12.06206897</v>
      </c>
      <c r="AG285">
        <v>1.2999999999999999E-2</v>
      </c>
      <c r="AH285">
        <v>1.2999999999999999E-2</v>
      </c>
      <c r="AI285">
        <v>0.93700000000000006</v>
      </c>
      <c r="AJ285">
        <v>2.77</v>
      </c>
      <c r="AK285">
        <v>7.9986805560000001</v>
      </c>
      <c r="AL285">
        <v>6.0999999999999999E-2</v>
      </c>
      <c r="AM285">
        <v>6.0999999999999999E-2</v>
      </c>
      <c r="AN285">
        <v>0.879</v>
      </c>
    </row>
    <row r="286" spans="1:40">
      <c r="A286">
        <v>2354</v>
      </c>
      <c r="B286" t="s">
        <v>691</v>
      </c>
      <c r="C286" t="s">
        <v>684</v>
      </c>
      <c r="D286" t="s">
        <v>685</v>
      </c>
      <c r="E286">
        <v>837</v>
      </c>
      <c r="F286">
        <v>2655</v>
      </c>
      <c r="G286">
        <v>225.12736849999999</v>
      </c>
      <c r="H286">
        <v>161</v>
      </c>
      <c r="I286">
        <v>0.35189188999999998</v>
      </c>
      <c r="J286">
        <v>2816</v>
      </c>
      <c r="K286">
        <v>8002.4578000000001</v>
      </c>
      <c r="L286">
        <v>0.84299999999999997</v>
      </c>
      <c r="M286">
        <v>0.16132264499999999</v>
      </c>
      <c r="N286">
        <v>0</v>
      </c>
      <c r="O286" t="s">
        <v>620</v>
      </c>
      <c r="P286">
        <f t="shared" si="38"/>
        <v>13.435371180000001</v>
      </c>
      <c r="Q286">
        <f t="shared" si="39"/>
        <v>0.01</v>
      </c>
      <c r="R286">
        <f t="shared" si="40"/>
        <v>1.4999999999999999E-2</v>
      </c>
      <c r="S286">
        <f t="shared" si="41"/>
        <v>0.84299999999999997</v>
      </c>
      <c r="T286">
        <f t="shared" si="42"/>
        <v>2.2746153850000002</v>
      </c>
      <c r="U286">
        <f t="shared" si="43"/>
        <v>6.7232401089999998</v>
      </c>
      <c r="V286">
        <f t="shared" si="44"/>
        <v>8.0000000000000002E-3</v>
      </c>
      <c r="W286">
        <f t="shared" si="45"/>
        <v>0.04</v>
      </c>
      <c r="X286">
        <f t="shared" si="46"/>
        <v>0.92700000000000005</v>
      </c>
      <c r="Y286">
        <v>121.2726333</v>
      </c>
      <c r="Z286">
        <v>0</v>
      </c>
      <c r="AA286">
        <v>236250</v>
      </c>
      <c r="AB286">
        <v>76158</v>
      </c>
      <c r="AC286">
        <v>1.7652984E-2</v>
      </c>
      <c r="AD286">
        <v>0.84750225300000004</v>
      </c>
      <c r="AF286">
        <v>13.435371180000001</v>
      </c>
      <c r="AG286">
        <v>0.01</v>
      </c>
      <c r="AH286">
        <v>1.4999999999999999E-2</v>
      </c>
      <c r="AI286">
        <v>0.84299999999999997</v>
      </c>
      <c r="AJ286">
        <v>2.2746153850000002</v>
      </c>
      <c r="AK286">
        <v>6.7232401089999998</v>
      </c>
      <c r="AL286">
        <v>8.0000000000000002E-3</v>
      </c>
      <c r="AM286">
        <v>0.04</v>
      </c>
      <c r="AN286">
        <v>0.92700000000000005</v>
      </c>
    </row>
    <row r="287" spans="1:40">
      <c r="A287">
        <v>2355</v>
      </c>
      <c r="B287" t="s">
        <v>691</v>
      </c>
      <c r="C287" t="s">
        <v>684</v>
      </c>
      <c r="D287" t="s">
        <v>685</v>
      </c>
      <c r="E287">
        <v>681</v>
      </c>
      <c r="F287">
        <v>2268</v>
      </c>
      <c r="G287">
        <v>387.78593669999998</v>
      </c>
      <c r="H287">
        <v>358</v>
      </c>
      <c r="I287">
        <v>0.606132907</v>
      </c>
      <c r="J287">
        <v>2626</v>
      </c>
      <c r="K287">
        <v>4332.3831620000001</v>
      </c>
      <c r="L287">
        <v>0.82</v>
      </c>
      <c r="M287">
        <v>0.34456207900000002</v>
      </c>
      <c r="N287">
        <v>0</v>
      </c>
      <c r="O287" t="s">
        <v>625</v>
      </c>
      <c r="P287">
        <f t="shared" si="38"/>
        <v>13.20049296</v>
      </c>
      <c r="Q287">
        <f t="shared" si="39"/>
        <v>0.02</v>
      </c>
      <c r="R287">
        <f t="shared" si="40"/>
        <v>0.03</v>
      </c>
      <c r="S287">
        <f t="shared" si="41"/>
        <v>0.82</v>
      </c>
      <c r="T287">
        <f t="shared" si="42"/>
        <v>1.7065384619999999</v>
      </c>
      <c r="U287">
        <f t="shared" si="43"/>
        <v>8.3566690490000006</v>
      </c>
      <c r="V287">
        <f t="shared" si="44"/>
        <v>2.8000000000000001E-2</v>
      </c>
      <c r="W287">
        <f t="shared" si="45"/>
        <v>7.5999999999999998E-2</v>
      </c>
      <c r="X287">
        <f t="shared" si="46"/>
        <v>0.89600000000000002</v>
      </c>
      <c r="Y287">
        <v>97.232112310000005</v>
      </c>
      <c r="Z287">
        <v>0</v>
      </c>
      <c r="AA287">
        <v>236250</v>
      </c>
      <c r="AB287">
        <v>76158</v>
      </c>
      <c r="AC287">
        <v>1.7652984E-2</v>
      </c>
      <c r="AD287">
        <v>0.84750225300000004</v>
      </c>
      <c r="AF287">
        <v>13.20049296</v>
      </c>
      <c r="AG287">
        <v>0.02</v>
      </c>
      <c r="AH287">
        <v>0.03</v>
      </c>
      <c r="AI287">
        <v>0.82</v>
      </c>
      <c r="AJ287">
        <v>1.7065384619999999</v>
      </c>
      <c r="AK287">
        <v>8.3566690490000006</v>
      </c>
      <c r="AL287">
        <v>2.8000000000000001E-2</v>
      </c>
      <c r="AM287">
        <v>7.5999999999999998E-2</v>
      </c>
      <c r="AN287">
        <v>0.89600000000000002</v>
      </c>
    </row>
    <row r="288" spans="1:40">
      <c r="A288">
        <v>2356</v>
      </c>
      <c r="B288" t="s">
        <v>705</v>
      </c>
      <c r="C288" t="s">
        <v>696</v>
      </c>
      <c r="D288" t="s">
        <v>697</v>
      </c>
      <c r="E288">
        <v>545</v>
      </c>
      <c r="F288">
        <v>1746</v>
      </c>
      <c r="G288">
        <v>85.786635509999996</v>
      </c>
      <c r="H288">
        <v>103</v>
      </c>
      <c r="I288">
        <v>0.134095926</v>
      </c>
      <c r="J288">
        <v>1849</v>
      </c>
      <c r="K288">
        <v>13788.63665</v>
      </c>
      <c r="L288">
        <v>0.83499999999999996</v>
      </c>
      <c r="M288">
        <v>0.15895061699999999</v>
      </c>
      <c r="N288">
        <v>1</v>
      </c>
      <c r="O288" t="s">
        <v>620</v>
      </c>
      <c r="P288">
        <f t="shared" si="38"/>
        <v>14.186833330000001</v>
      </c>
      <c r="Q288">
        <f t="shared" si="39"/>
        <v>2.1000000000000001E-2</v>
      </c>
      <c r="R288">
        <f t="shared" si="40"/>
        <v>1.9E-2</v>
      </c>
      <c r="S288">
        <f t="shared" si="41"/>
        <v>0.83499999999999996</v>
      </c>
      <c r="T288">
        <f t="shared" si="42"/>
        <v>2.2522727269999998</v>
      </c>
      <c r="U288">
        <f t="shared" si="43"/>
        <v>6.8627909479999998</v>
      </c>
      <c r="V288">
        <f t="shared" si="44"/>
        <v>7.0000000000000001E-3</v>
      </c>
      <c r="W288">
        <f t="shared" si="45"/>
        <v>7.3999999999999996E-2</v>
      </c>
      <c r="X288">
        <f t="shared" si="46"/>
        <v>0.88200000000000001</v>
      </c>
      <c r="Y288">
        <v>183.6984918</v>
      </c>
      <c r="Z288">
        <v>0</v>
      </c>
      <c r="AA288">
        <v>152832</v>
      </c>
      <c r="AB288">
        <v>45686</v>
      </c>
      <c r="AC288">
        <v>2.1596295000000001E-2</v>
      </c>
      <c r="AD288">
        <v>0.84212384500000004</v>
      </c>
      <c r="AF288">
        <v>14.186833330000001</v>
      </c>
      <c r="AG288">
        <v>2.1000000000000001E-2</v>
      </c>
      <c r="AH288">
        <v>1.9E-2</v>
      </c>
      <c r="AI288">
        <v>0.83499999999999996</v>
      </c>
      <c r="AJ288">
        <v>2.2522727269999998</v>
      </c>
      <c r="AK288">
        <v>6.8627909479999998</v>
      </c>
      <c r="AL288">
        <v>7.0000000000000001E-3</v>
      </c>
      <c r="AM288">
        <v>7.3999999999999996E-2</v>
      </c>
      <c r="AN288">
        <v>0.88200000000000001</v>
      </c>
    </row>
    <row r="289" spans="1:40">
      <c r="A289">
        <v>2357</v>
      </c>
      <c r="B289" t="s">
        <v>689</v>
      </c>
      <c r="C289" t="s">
        <v>687</v>
      </c>
      <c r="D289" t="s">
        <v>688</v>
      </c>
      <c r="E289">
        <v>247</v>
      </c>
      <c r="F289">
        <v>913</v>
      </c>
      <c r="G289">
        <v>27.856812609999999</v>
      </c>
      <c r="H289">
        <v>313</v>
      </c>
      <c r="I289">
        <v>4.3543683E-2</v>
      </c>
      <c r="J289">
        <v>1226</v>
      </c>
      <c r="K289">
        <v>28155.633959999999</v>
      </c>
      <c r="L289">
        <v>0.69699999999999995</v>
      </c>
      <c r="M289">
        <v>0.55892857100000004</v>
      </c>
      <c r="N289">
        <v>0</v>
      </c>
      <c r="O289" t="s">
        <v>613</v>
      </c>
      <c r="P289">
        <f t="shared" si="38"/>
        <v>10.5792</v>
      </c>
      <c r="Q289">
        <f t="shared" si="39"/>
        <v>4.3999999999999997E-2</v>
      </c>
      <c r="R289">
        <f t="shared" si="40"/>
        <v>2.8000000000000001E-2</v>
      </c>
      <c r="S289">
        <f t="shared" si="41"/>
        <v>0.69699999999999995</v>
      </c>
      <c r="T289">
        <f t="shared" si="42"/>
        <v>2.1535714289999999</v>
      </c>
      <c r="U289">
        <f t="shared" si="43"/>
        <v>5.5007216489999999</v>
      </c>
      <c r="V289">
        <f t="shared" si="44"/>
        <v>5.0999999999999997E-2</v>
      </c>
      <c r="W289">
        <f t="shared" si="45"/>
        <v>0.23699999999999999</v>
      </c>
      <c r="X289">
        <f t="shared" si="46"/>
        <v>0.63600000000000001</v>
      </c>
      <c r="Y289">
        <v>410.13567260000002</v>
      </c>
      <c r="Z289">
        <v>0</v>
      </c>
      <c r="AA289">
        <v>454184</v>
      </c>
      <c r="AB289">
        <v>170596</v>
      </c>
      <c r="AC289">
        <v>6.5715274000000004E-2</v>
      </c>
      <c r="AD289">
        <v>0.72549415100000003</v>
      </c>
      <c r="AF289">
        <v>10.5792</v>
      </c>
      <c r="AG289">
        <v>4.3999999999999997E-2</v>
      </c>
      <c r="AH289">
        <v>2.8000000000000001E-2</v>
      </c>
      <c r="AI289">
        <v>0.69699999999999995</v>
      </c>
      <c r="AJ289">
        <v>2.1535714289999999</v>
      </c>
      <c r="AK289">
        <v>5.5007216489999999</v>
      </c>
      <c r="AL289">
        <v>5.0999999999999997E-2</v>
      </c>
      <c r="AM289">
        <v>0.23699999999999999</v>
      </c>
      <c r="AN289">
        <v>0.63600000000000001</v>
      </c>
    </row>
    <row r="290" spans="1:40">
      <c r="A290">
        <v>2358</v>
      </c>
      <c r="B290" t="s">
        <v>690</v>
      </c>
      <c r="C290" t="s">
        <v>687</v>
      </c>
      <c r="D290" t="s">
        <v>688</v>
      </c>
      <c r="E290">
        <v>379</v>
      </c>
      <c r="F290">
        <v>924</v>
      </c>
      <c r="G290">
        <v>46.252855410000002</v>
      </c>
      <c r="H290">
        <v>786</v>
      </c>
      <c r="I290">
        <v>7.2305708999999996E-2</v>
      </c>
      <c r="J290">
        <v>1710</v>
      </c>
      <c r="K290">
        <v>23649.584849999999</v>
      </c>
      <c r="L290">
        <v>0.78700000000000003</v>
      </c>
      <c r="M290">
        <v>0.67467811200000005</v>
      </c>
      <c r="N290">
        <v>0</v>
      </c>
      <c r="O290" t="s">
        <v>613</v>
      </c>
      <c r="P290">
        <f t="shared" si="38"/>
        <v>11.959479999999999</v>
      </c>
      <c r="Q290">
        <f t="shared" si="39"/>
        <v>3.9E-2</v>
      </c>
      <c r="R290">
        <f t="shared" si="40"/>
        <v>0.02</v>
      </c>
      <c r="S290">
        <f t="shared" si="41"/>
        <v>0.78700000000000003</v>
      </c>
      <c r="T290">
        <f t="shared" si="42"/>
        <v>2.1973076919999999</v>
      </c>
      <c r="U290">
        <f t="shared" si="43"/>
        <v>6.8275659820000003</v>
      </c>
      <c r="V290">
        <f t="shared" si="44"/>
        <v>2.9000000000000001E-2</v>
      </c>
      <c r="W290">
        <f t="shared" si="45"/>
        <v>7.4999999999999997E-2</v>
      </c>
      <c r="X290">
        <f t="shared" si="46"/>
        <v>0.81200000000000006</v>
      </c>
      <c r="Y290">
        <v>249.15783999999999</v>
      </c>
      <c r="Z290">
        <v>0</v>
      </c>
      <c r="AA290">
        <v>82284</v>
      </c>
      <c r="AB290">
        <v>32030</v>
      </c>
      <c r="AC290">
        <v>4.7570397E-2</v>
      </c>
      <c r="AD290">
        <v>0.78974696300000002</v>
      </c>
      <c r="AF290">
        <v>11.959479999999999</v>
      </c>
      <c r="AG290">
        <v>3.9E-2</v>
      </c>
      <c r="AH290">
        <v>0.02</v>
      </c>
      <c r="AI290">
        <v>0.78700000000000003</v>
      </c>
      <c r="AJ290">
        <v>2.1973076919999999</v>
      </c>
      <c r="AK290">
        <v>6.8275659820000003</v>
      </c>
      <c r="AL290">
        <v>2.9000000000000001E-2</v>
      </c>
      <c r="AM290">
        <v>7.4999999999999997E-2</v>
      </c>
      <c r="AN290">
        <v>0.81200000000000006</v>
      </c>
    </row>
    <row r="291" spans="1:40">
      <c r="A291">
        <v>2359</v>
      </c>
      <c r="B291" t="s">
        <v>707</v>
      </c>
      <c r="C291" t="s">
        <v>696</v>
      </c>
      <c r="D291" t="s">
        <v>697</v>
      </c>
      <c r="E291">
        <v>777</v>
      </c>
      <c r="F291">
        <v>2456</v>
      </c>
      <c r="G291">
        <v>319.02800710000002</v>
      </c>
      <c r="H291">
        <v>69</v>
      </c>
      <c r="I291">
        <v>0.49868088300000002</v>
      </c>
      <c r="J291">
        <v>2525</v>
      </c>
      <c r="K291">
        <v>5063.3583239999998</v>
      </c>
      <c r="L291">
        <v>0.84699999999999998</v>
      </c>
      <c r="M291">
        <v>8.1560283999999997E-2</v>
      </c>
      <c r="N291">
        <v>0</v>
      </c>
      <c r="O291" t="s">
        <v>625</v>
      </c>
      <c r="P291">
        <f t="shared" si="38"/>
        <v>15.41985577</v>
      </c>
      <c r="Q291">
        <f t="shared" si="39"/>
        <v>4.2000000000000003E-2</v>
      </c>
      <c r="R291">
        <f t="shared" si="40"/>
        <v>3.5000000000000003E-2</v>
      </c>
      <c r="S291">
        <f t="shared" si="41"/>
        <v>0.84699999999999998</v>
      </c>
      <c r="T291">
        <f t="shared" si="42"/>
        <v>1.4372222219999999</v>
      </c>
      <c r="U291">
        <f t="shared" si="43"/>
        <v>8.4365690870000005</v>
      </c>
      <c r="V291">
        <f t="shared" si="44"/>
        <v>2.4E-2</v>
      </c>
      <c r="W291">
        <f t="shared" si="45"/>
        <v>0.114</v>
      </c>
      <c r="X291">
        <f t="shared" si="46"/>
        <v>0.84899999999999998</v>
      </c>
      <c r="Y291">
        <v>49.389306269999999</v>
      </c>
      <c r="Z291">
        <v>0</v>
      </c>
      <c r="AA291">
        <v>21149</v>
      </c>
      <c r="AB291">
        <v>6968</v>
      </c>
      <c r="AC291">
        <v>1.6645858999999999E-2</v>
      </c>
      <c r="AD291">
        <v>0.89069218999999999</v>
      </c>
      <c r="AF291">
        <v>15.41985577</v>
      </c>
      <c r="AG291">
        <v>4.2000000000000003E-2</v>
      </c>
      <c r="AH291">
        <v>3.5000000000000003E-2</v>
      </c>
      <c r="AI291">
        <v>0.84699999999999998</v>
      </c>
      <c r="AJ291">
        <v>1.4372222219999999</v>
      </c>
      <c r="AK291">
        <v>8.4365690870000005</v>
      </c>
      <c r="AL291">
        <v>2.4E-2</v>
      </c>
      <c r="AM291">
        <v>0.114</v>
      </c>
      <c r="AN291">
        <v>0.84899999999999998</v>
      </c>
    </row>
    <row r="292" spans="1:40">
      <c r="A292">
        <v>2360</v>
      </c>
      <c r="B292" t="s">
        <v>690</v>
      </c>
      <c r="C292" t="s">
        <v>687</v>
      </c>
      <c r="D292" t="s">
        <v>688</v>
      </c>
      <c r="E292">
        <v>579</v>
      </c>
      <c r="F292">
        <v>1442</v>
      </c>
      <c r="G292">
        <v>49.909069129999999</v>
      </c>
      <c r="H292">
        <v>351</v>
      </c>
      <c r="I292">
        <v>7.8011317999999996E-2</v>
      </c>
      <c r="J292">
        <v>1793</v>
      </c>
      <c r="K292">
        <v>22983.84447</v>
      </c>
      <c r="L292">
        <v>0.752</v>
      </c>
      <c r="M292">
        <v>0.37741935500000001</v>
      </c>
      <c r="N292">
        <v>0</v>
      </c>
      <c r="O292" t="s">
        <v>613</v>
      </c>
      <c r="P292">
        <f t="shared" si="38"/>
        <v>11.141806450000001</v>
      </c>
      <c r="Q292">
        <f t="shared" si="39"/>
        <v>4.5999999999999999E-2</v>
      </c>
      <c r="R292">
        <f t="shared" si="40"/>
        <v>2.5999999999999999E-2</v>
      </c>
      <c r="S292">
        <f t="shared" si="41"/>
        <v>0.752</v>
      </c>
      <c r="T292">
        <f t="shared" si="42"/>
        <v>1.2918750000000001</v>
      </c>
      <c r="U292">
        <f t="shared" si="43"/>
        <v>6.0938932149999996</v>
      </c>
      <c r="V292">
        <f t="shared" si="44"/>
        <v>0.02</v>
      </c>
      <c r="W292">
        <f t="shared" si="45"/>
        <v>0.14499999999999999</v>
      </c>
      <c r="X292">
        <f t="shared" si="46"/>
        <v>0.77500000000000002</v>
      </c>
      <c r="Y292">
        <v>182.20390599999999</v>
      </c>
      <c r="Z292">
        <v>0</v>
      </c>
      <c r="AA292">
        <v>82284</v>
      </c>
      <c r="AB292">
        <v>32030</v>
      </c>
      <c r="AC292">
        <v>4.7570397E-2</v>
      </c>
      <c r="AD292">
        <v>0.78974696300000002</v>
      </c>
      <c r="AF292">
        <v>11.141806450000001</v>
      </c>
      <c r="AG292">
        <v>4.5999999999999999E-2</v>
      </c>
      <c r="AH292">
        <v>2.5999999999999999E-2</v>
      </c>
      <c r="AI292">
        <v>0.752</v>
      </c>
      <c r="AJ292">
        <v>1.2918750000000001</v>
      </c>
      <c r="AK292">
        <v>6.0938932149999996</v>
      </c>
      <c r="AL292">
        <v>0.02</v>
      </c>
      <c r="AM292">
        <v>0.14499999999999999</v>
      </c>
      <c r="AN292">
        <v>0.77500000000000002</v>
      </c>
    </row>
    <row r="293" spans="1:40">
      <c r="A293">
        <v>2361</v>
      </c>
      <c r="B293" t="s">
        <v>691</v>
      </c>
      <c r="C293" t="s">
        <v>684</v>
      </c>
      <c r="D293" t="s">
        <v>685</v>
      </c>
      <c r="E293">
        <v>818</v>
      </c>
      <c r="F293">
        <v>2622</v>
      </c>
      <c r="G293">
        <v>148.44464310000001</v>
      </c>
      <c r="H293">
        <v>76</v>
      </c>
      <c r="I293">
        <v>0.23203338900000001</v>
      </c>
      <c r="J293">
        <v>2698</v>
      </c>
      <c r="K293">
        <v>11627.636920000001</v>
      </c>
      <c r="L293">
        <v>0.86599999999999999</v>
      </c>
      <c r="M293">
        <v>8.5011186000000002E-2</v>
      </c>
      <c r="N293">
        <v>0</v>
      </c>
      <c r="O293" t="s">
        <v>620</v>
      </c>
      <c r="P293">
        <f t="shared" si="38"/>
        <v>13.959726030000001</v>
      </c>
      <c r="Q293">
        <f t="shared" si="39"/>
        <v>1.4E-2</v>
      </c>
      <c r="R293">
        <f t="shared" si="40"/>
        <v>2.1999999999999999E-2</v>
      </c>
      <c r="S293">
        <f t="shared" si="41"/>
        <v>0.86599999999999999</v>
      </c>
      <c r="T293">
        <f t="shared" si="42"/>
        <v>2.4733333329999998</v>
      </c>
      <c r="U293">
        <f t="shared" si="43"/>
        <v>7.1401588699999996</v>
      </c>
      <c r="V293">
        <f t="shared" si="44"/>
        <v>2.9000000000000001E-2</v>
      </c>
      <c r="W293">
        <f t="shared" si="45"/>
        <v>6.2E-2</v>
      </c>
      <c r="X293">
        <f t="shared" si="46"/>
        <v>0.90100000000000002</v>
      </c>
      <c r="Y293">
        <v>216.82178709999999</v>
      </c>
      <c r="Z293">
        <v>0</v>
      </c>
      <c r="AA293">
        <v>236250</v>
      </c>
      <c r="AB293">
        <v>76158</v>
      </c>
      <c r="AC293">
        <v>1.7652984E-2</v>
      </c>
      <c r="AD293">
        <v>0.84750225300000004</v>
      </c>
      <c r="AF293">
        <v>13.959726030000001</v>
      </c>
      <c r="AG293">
        <v>1.4E-2</v>
      </c>
      <c r="AH293">
        <v>2.1999999999999999E-2</v>
      </c>
      <c r="AI293">
        <v>0.86599999999999999</v>
      </c>
      <c r="AJ293">
        <v>2.4733333329999998</v>
      </c>
      <c r="AK293">
        <v>7.1401588699999996</v>
      </c>
      <c r="AL293">
        <v>2.9000000000000001E-2</v>
      </c>
      <c r="AM293">
        <v>6.2E-2</v>
      </c>
      <c r="AN293">
        <v>0.90100000000000002</v>
      </c>
    </row>
    <row r="294" spans="1:40">
      <c r="A294">
        <v>2362</v>
      </c>
      <c r="B294" t="s">
        <v>691</v>
      </c>
      <c r="C294" t="s">
        <v>684</v>
      </c>
      <c r="D294" t="s">
        <v>685</v>
      </c>
      <c r="E294">
        <v>475</v>
      </c>
      <c r="F294">
        <v>1534</v>
      </c>
      <c r="G294">
        <v>99.146761249999997</v>
      </c>
      <c r="H294">
        <v>23</v>
      </c>
      <c r="I294">
        <v>0.15497066900000001</v>
      </c>
      <c r="J294">
        <v>1557</v>
      </c>
      <c r="K294">
        <v>10047.062519999999</v>
      </c>
      <c r="L294">
        <v>0.84099999999999997</v>
      </c>
      <c r="M294">
        <v>4.6184739000000002E-2</v>
      </c>
      <c r="N294">
        <v>0</v>
      </c>
      <c r="O294" t="s">
        <v>620</v>
      </c>
      <c r="P294">
        <f t="shared" si="38"/>
        <v>13.970258060000001</v>
      </c>
      <c r="Q294">
        <f t="shared" si="39"/>
        <v>3.1E-2</v>
      </c>
      <c r="R294">
        <f t="shared" si="40"/>
        <v>6.0000000000000001E-3</v>
      </c>
      <c r="S294">
        <f t="shared" si="41"/>
        <v>0.84099999999999997</v>
      </c>
      <c r="T294">
        <f t="shared" si="42"/>
        <v>2.141666667</v>
      </c>
      <c r="U294">
        <f t="shared" si="43"/>
        <v>7.1696454770000004</v>
      </c>
      <c r="V294">
        <f t="shared" si="44"/>
        <v>3.5151315789473656E-2</v>
      </c>
      <c r="W294">
        <f t="shared" si="45"/>
        <v>7.6999999999999999E-2</v>
      </c>
      <c r="X294">
        <f t="shared" si="46"/>
        <v>0.91700000000000004</v>
      </c>
      <c r="Y294">
        <v>104.0172805</v>
      </c>
      <c r="Z294">
        <v>0</v>
      </c>
      <c r="AA294">
        <v>236250</v>
      </c>
      <c r="AB294">
        <v>76158</v>
      </c>
      <c r="AC294">
        <v>1.7652984E-2</v>
      </c>
      <c r="AD294">
        <v>0.84750225300000004</v>
      </c>
      <c r="AF294">
        <v>13.970258060000001</v>
      </c>
      <c r="AG294">
        <v>3.1E-2</v>
      </c>
      <c r="AH294">
        <v>6.0000000000000001E-3</v>
      </c>
      <c r="AI294">
        <v>0.84099999999999997</v>
      </c>
      <c r="AJ294">
        <v>2.141666667</v>
      </c>
      <c r="AK294">
        <v>7.1696454770000004</v>
      </c>
      <c r="AL294">
        <v>0</v>
      </c>
      <c r="AM294">
        <v>7.6999999999999999E-2</v>
      </c>
      <c r="AN294">
        <v>0.91700000000000004</v>
      </c>
    </row>
    <row r="295" spans="1:40">
      <c r="A295">
        <v>2363</v>
      </c>
      <c r="B295" t="s">
        <v>695</v>
      </c>
      <c r="C295" t="s">
        <v>696</v>
      </c>
      <c r="D295" t="s">
        <v>697</v>
      </c>
      <c r="E295">
        <v>380</v>
      </c>
      <c r="F295">
        <v>1078</v>
      </c>
      <c r="G295">
        <v>497.93369319999999</v>
      </c>
      <c r="H295">
        <v>242</v>
      </c>
      <c r="I295">
        <v>0.77832810500000005</v>
      </c>
      <c r="J295">
        <v>1320</v>
      </c>
      <c r="K295">
        <v>1695.9428700000001</v>
      </c>
      <c r="L295">
        <v>0.94499999999999995</v>
      </c>
      <c r="M295">
        <v>0.389067524</v>
      </c>
      <c r="N295">
        <v>0</v>
      </c>
      <c r="O295" t="s">
        <v>625</v>
      </c>
      <c r="P295">
        <f t="shared" si="38"/>
        <v>14.73027027</v>
      </c>
      <c r="Q295">
        <f t="shared" si="39"/>
        <v>7.0000000000000001E-3</v>
      </c>
      <c r="R295">
        <f t="shared" si="40"/>
        <v>1.4E-2</v>
      </c>
      <c r="S295">
        <f t="shared" si="41"/>
        <v>0.94499999999999995</v>
      </c>
      <c r="T295">
        <f t="shared" si="42"/>
        <v>3.2174999999999998</v>
      </c>
      <c r="U295">
        <f t="shared" si="43"/>
        <v>9.6825849060000007</v>
      </c>
      <c r="V295">
        <f t="shared" si="44"/>
        <v>4.15609756097561E-2</v>
      </c>
      <c r="W295">
        <f t="shared" si="45"/>
        <v>2.5999999999999999E-2</v>
      </c>
      <c r="X295">
        <f t="shared" si="46"/>
        <v>0.94899999999999995</v>
      </c>
      <c r="Y295">
        <v>38.421634230000002</v>
      </c>
      <c r="Z295">
        <v>0</v>
      </c>
      <c r="AA295">
        <v>62139</v>
      </c>
      <c r="AB295">
        <v>22178</v>
      </c>
      <c r="AC295">
        <v>2.5956119999999999E-2</v>
      </c>
      <c r="AD295">
        <v>0.81129361</v>
      </c>
      <c r="AF295">
        <v>14.73027027</v>
      </c>
      <c r="AG295">
        <v>7.0000000000000001E-3</v>
      </c>
      <c r="AH295">
        <v>1.4E-2</v>
      </c>
      <c r="AI295">
        <v>0.94499999999999995</v>
      </c>
      <c r="AJ295">
        <v>3.2174999999999998</v>
      </c>
      <c r="AK295">
        <v>9.6825849060000007</v>
      </c>
      <c r="AL295">
        <v>0</v>
      </c>
      <c r="AM295">
        <v>2.5999999999999999E-2</v>
      </c>
      <c r="AN295">
        <v>0.94899999999999995</v>
      </c>
    </row>
    <row r="296" spans="1:40">
      <c r="A296">
        <v>2364</v>
      </c>
      <c r="B296" t="s">
        <v>689</v>
      </c>
      <c r="C296" t="s">
        <v>687</v>
      </c>
      <c r="D296" t="s">
        <v>688</v>
      </c>
      <c r="E296">
        <v>283</v>
      </c>
      <c r="F296">
        <v>872</v>
      </c>
      <c r="G296">
        <v>38.45931582</v>
      </c>
      <c r="H296">
        <v>115</v>
      </c>
      <c r="I296">
        <v>6.0120133999999999E-2</v>
      </c>
      <c r="J296">
        <v>987</v>
      </c>
      <c r="K296">
        <v>16417.129079999999</v>
      </c>
      <c r="L296">
        <v>0.79600000000000004</v>
      </c>
      <c r="M296">
        <v>0.28894472399999999</v>
      </c>
      <c r="N296">
        <v>0</v>
      </c>
      <c r="O296" t="s">
        <v>620</v>
      </c>
      <c r="P296">
        <f t="shared" si="38"/>
        <v>17.930350879999999</v>
      </c>
      <c r="Q296">
        <f t="shared" si="39"/>
        <v>2.7E-2</v>
      </c>
      <c r="R296">
        <f t="shared" si="40"/>
        <v>1.4E-2</v>
      </c>
      <c r="S296">
        <f t="shared" si="41"/>
        <v>0.79600000000000004</v>
      </c>
      <c r="T296">
        <f t="shared" si="42"/>
        <v>1.4575</v>
      </c>
      <c r="U296">
        <f t="shared" si="43"/>
        <v>6.907114967</v>
      </c>
      <c r="V296">
        <f t="shared" si="44"/>
        <v>6.2414117647058849E-2</v>
      </c>
      <c r="W296">
        <f t="shared" si="45"/>
        <v>0.123</v>
      </c>
      <c r="X296">
        <f t="shared" si="46"/>
        <v>0.877</v>
      </c>
      <c r="Y296">
        <v>226.95628830000001</v>
      </c>
      <c r="Z296">
        <v>0</v>
      </c>
      <c r="AA296">
        <v>454184</v>
      </c>
      <c r="AB296">
        <v>170596</v>
      </c>
      <c r="AC296">
        <v>6.5715274000000004E-2</v>
      </c>
      <c r="AD296">
        <v>0.72549415100000003</v>
      </c>
      <c r="AF296">
        <v>17.930350879999999</v>
      </c>
      <c r="AG296">
        <v>2.7E-2</v>
      </c>
      <c r="AH296">
        <v>1.4E-2</v>
      </c>
      <c r="AI296">
        <v>0.79600000000000004</v>
      </c>
      <c r="AJ296">
        <v>1.4575</v>
      </c>
      <c r="AK296">
        <v>6.907114967</v>
      </c>
      <c r="AL296">
        <v>0</v>
      </c>
      <c r="AM296">
        <v>0.123</v>
      </c>
      <c r="AN296">
        <v>0.877</v>
      </c>
    </row>
    <row r="297" spans="1:40">
      <c r="A297">
        <v>2365</v>
      </c>
      <c r="B297" t="s">
        <v>692</v>
      </c>
      <c r="C297" t="s">
        <v>693</v>
      </c>
      <c r="D297" t="s">
        <v>694</v>
      </c>
      <c r="E297">
        <v>770</v>
      </c>
      <c r="F297">
        <v>2366</v>
      </c>
      <c r="G297">
        <v>158.821877</v>
      </c>
      <c r="H297">
        <v>127</v>
      </c>
      <c r="I297">
        <v>0.248257325</v>
      </c>
      <c r="J297">
        <v>2493</v>
      </c>
      <c r="K297">
        <v>10041.99977</v>
      </c>
      <c r="L297">
        <v>0.84599999999999997</v>
      </c>
      <c r="M297">
        <v>0.14158305500000001</v>
      </c>
      <c r="N297">
        <v>0</v>
      </c>
      <c r="O297" t="s">
        <v>620</v>
      </c>
      <c r="P297">
        <f t="shared" si="38"/>
        <v>16.286363640000001</v>
      </c>
      <c r="Q297">
        <f t="shared" si="39"/>
        <v>8.9999999999999993E-3</v>
      </c>
      <c r="R297">
        <f t="shared" si="40"/>
        <v>3.1E-2</v>
      </c>
      <c r="S297">
        <f t="shared" si="41"/>
        <v>0.84599999999999997</v>
      </c>
      <c r="T297">
        <f t="shared" si="42"/>
        <v>2.73</v>
      </c>
      <c r="U297">
        <f t="shared" si="43"/>
        <v>7.666020305</v>
      </c>
      <c r="V297">
        <f t="shared" si="44"/>
        <v>3.3000000000000002E-2</v>
      </c>
      <c r="W297">
        <f t="shared" si="45"/>
        <v>3.6999999999999998E-2</v>
      </c>
      <c r="X297">
        <f t="shared" si="46"/>
        <v>0.92100000000000004</v>
      </c>
      <c r="Y297">
        <v>236.15313080000001</v>
      </c>
      <c r="Z297">
        <v>0</v>
      </c>
      <c r="AA297">
        <v>77808</v>
      </c>
      <c r="AB297">
        <v>27489</v>
      </c>
      <c r="AC297">
        <v>1.1225541E-2</v>
      </c>
      <c r="AD297">
        <v>0.835708267</v>
      </c>
      <c r="AF297">
        <v>16.286363640000001</v>
      </c>
      <c r="AG297">
        <v>8.9999999999999993E-3</v>
      </c>
      <c r="AH297">
        <v>3.1E-2</v>
      </c>
      <c r="AI297">
        <v>0.84599999999999997</v>
      </c>
      <c r="AJ297">
        <v>2.73</v>
      </c>
      <c r="AK297">
        <v>7.666020305</v>
      </c>
      <c r="AL297">
        <v>3.3000000000000002E-2</v>
      </c>
      <c r="AM297">
        <v>3.6999999999999998E-2</v>
      </c>
      <c r="AN297">
        <v>0.92100000000000004</v>
      </c>
    </row>
    <row r="298" spans="1:40">
      <c r="A298">
        <v>2366</v>
      </c>
      <c r="B298" t="s">
        <v>692</v>
      </c>
      <c r="C298" t="s">
        <v>693</v>
      </c>
      <c r="D298" t="s">
        <v>694</v>
      </c>
      <c r="E298">
        <v>836</v>
      </c>
      <c r="F298">
        <v>2568</v>
      </c>
      <c r="G298">
        <v>194.44156520000001</v>
      </c>
      <c r="H298">
        <v>16</v>
      </c>
      <c r="I298">
        <v>0.30392801600000002</v>
      </c>
      <c r="J298">
        <v>2584</v>
      </c>
      <c r="K298">
        <v>8502.0131870000005</v>
      </c>
      <c r="L298">
        <v>0.80100000000000005</v>
      </c>
      <c r="M298">
        <v>1.8779343E-2</v>
      </c>
      <c r="N298">
        <v>0</v>
      </c>
      <c r="O298" t="s">
        <v>620</v>
      </c>
      <c r="P298">
        <f t="shared" si="38"/>
        <v>15.582575110000001</v>
      </c>
      <c r="Q298">
        <f t="shared" si="39"/>
        <v>7.0000000000000001E-3</v>
      </c>
      <c r="R298">
        <f t="shared" si="40"/>
        <v>2.5000000000000001E-2</v>
      </c>
      <c r="S298">
        <f t="shared" si="41"/>
        <v>0.80100000000000005</v>
      </c>
      <c r="T298">
        <f t="shared" si="42"/>
        <v>1.6458536589999999</v>
      </c>
      <c r="U298">
        <f t="shared" si="43"/>
        <v>6.9383611529999998</v>
      </c>
      <c r="V298">
        <f t="shared" si="44"/>
        <v>4.7E-2</v>
      </c>
      <c r="W298">
        <f t="shared" si="45"/>
        <v>8.0000000000000002E-3</v>
      </c>
      <c r="X298">
        <f t="shared" si="46"/>
        <v>0.90700000000000003</v>
      </c>
      <c r="Y298">
        <v>136.98117930000001</v>
      </c>
      <c r="Z298">
        <v>0</v>
      </c>
      <c r="AA298">
        <v>77808</v>
      </c>
      <c r="AB298">
        <v>27489</v>
      </c>
      <c r="AC298">
        <v>1.1225541E-2</v>
      </c>
      <c r="AD298">
        <v>0.835708267</v>
      </c>
      <c r="AF298">
        <v>15.582575110000001</v>
      </c>
      <c r="AG298">
        <v>7.0000000000000001E-3</v>
      </c>
      <c r="AH298">
        <v>2.5000000000000001E-2</v>
      </c>
      <c r="AI298">
        <v>0.80100000000000005</v>
      </c>
      <c r="AJ298">
        <v>1.6458536589999999</v>
      </c>
      <c r="AK298">
        <v>6.9383611529999998</v>
      </c>
      <c r="AL298">
        <v>4.7E-2</v>
      </c>
      <c r="AM298">
        <v>8.0000000000000002E-3</v>
      </c>
      <c r="AN298">
        <v>0.90700000000000003</v>
      </c>
    </row>
    <row r="299" spans="1:40">
      <c r="A299">
        <v>2367</v>
      </c>
      <c r="B299" t="s">
        <v>689</v>
      </c>
      <c r="C299" t="s">
        <v>687</v>
      </c>
      <c r="D299" t="s">
        <v>688</v>
      </c>
      <c r="E299">
        <v>672</v>
      </c>
      <c r="F299">
        <v>2095</v>
      </c>
      <c r="G299">
        <v>344.48022090000001</v>
      </c>
      <c r="H299">
        <v>828</v>
      </c>
      <c r="I299">
        <v>0.53847033</v>
      </c>
      <c r="J299">
        <v>2923</v>
      </c>
      <c r="K299">
        <v>5428.3399419999996</v>
      </c>
      <c r="L299">
        <v>0.83499999999999996</v>
      </c>
      <c r="M299">
        <v>0.55200000000000005</v>
      </c>
      <c r="N299">
        <v>0</v>
      </c>
      <c r="O299" t="s">
        <v>620</v>
      </c>
      <c r="P299">
        <f t="shared" si="38"/>
        <v>12.77679878</v>
      </c>
      <c r="Q299">
        <f t="shared" si="39"/>
        <v>3.4000000000000002E-2</v>
      </c>
      <c r="R299">
        <f t="shared" si="40"/>
        <v>3.2000000000000001E-2</v>
      </c>
      <c r="S299">
        <f t="shared" si="41"/>
        <v>0.83499999999999996</v>
      </c>
      <c r="T299">
        <f t="shared" si="42"/>
        <v>2.3585294120000002</v>
      </c>
      <c r="U299">
        <f t="shared" si="43"/>
        <v>8.3564746539999994</v>
      </c>
      <c r="V299">
        <f t="shared" si="44"/>
        <v>4.4999999999999998E-2</v>
      </c>
      <c r="W299">
        <f t="shared" si="45"/>
        <v>0.113</v>
      </c>
      <c r="X299">
        <f t="shared" si="46"/>
        <v>0.82199999999999995</v>
      </c>
      <c r="Y299">
        <v>107.9019795</v>
      </c>
      <c r="Z299">
        <v>0</v>
      </c>
      <c r="AA299">
        <v>454184</v>
      </c>
      <c r="AB299">
        <v>170596</v>
      </c>
      <c r="AC299">
        <v>6.5715274000000004E-2</v>
      </c>
      <c r="AD299">
        <v>0.72549415100000003</v>
      </c>
      <c r="AF299">
        <v>12.77679878</v>
      </c>
      <c r="AG299">
        <v>3.4000000000000002E-2</v>
      </c>
      <c r="AH299">
        <v>3.2000000000000001E-2</v>
      </c>
      <c r="AI299">
        <v>0.83499999999999996</v>
      </c>
      <c r="AJ299">
        <v>2.3585294120000002</v>
      </c>
      <c r="AK299">
        <v>8.3564746539999994</v>
      </c>
      <c r="AL299">
        <v>4.4999999999999998E-2</v>
      </c>
      <c r="AM299">
        <v>0.113</v>
      </c>
      <c r="AN299">
        <v>0.82199999999999995</v>
      </c>
    </row>
    <row r="300" spans="1:40">
      <c r="A300">
        <v>2368</v>
      </c>
      <c r="B300" t="s">
        <v>689</v>
      </c>
      <c r="C300" t="s">
        <v>687</v>
      </c>
      <c r="D300" t="s">
        <v>688</v>
      </c>
      <c r="E300">
        <v>256</v>
      </c>
      <c r="F300">
        <v>713</v>
      </c>
      <c r="G300">
        <v>27.817121109999999</v>
      </c>
      <c r="H300">
        <v>274</v>
      </c>
      <c r="I300">
        <v>4.3482616000000002E-2</v>
      </c>
      <c r="J300">
        <v>987</v>
      </c>
      <c r="K300">
        <v>22698.726309999998</v>
      </c>
      <c r="L300">
        <v>0.71</v>
      </c>
      <c r="M300">
        <v>0.51698113199999995</v>
      </c>
      <c r="N300">
        <v>1</v>
      </c>
      <c r="O300" t="s">
        <v>606</v>
      </c>
      <c r="P300">
        <f t="shared" si="38"/>
        <v>12.283552630000001</v>
      </c>
      <c r="Q300">
        <f t="shared" si="39"/>
        <v>0.107</v>
      </c>
      <c r="R300">
        <f t="shared" si="40"/>
        <v>1.7000000000000001E-2</v>
      </c>
      <c r="S300">
        <f t="shared" si="41"/>
        <v>0.71</v>
      </c>
      <c r="T300">
        <f t="shared" si="42"/>
        <v>2.7509999999999999</v>
      </c>
      <c r="U300">
        <f t="shared" si="43"/>
        <v>7.1269629630000004</v>
      </c>
      <c r="V300">
        <f t="shared" si="44"/>
        <v>6.5000000000000002E-2</v>
      </c>
      <c r="W300">
        <f t="shared" si="45"/>
        <v>0.19600000000000001</v>
      </c>
      <c r="X300">
        <f t="shared" si="46"/>
        <v>0.71</v>
      </c>
      <c r="Y300">
        <v>146.30431379999999</v>
      </c>
      <c r="Z300">
        <v>0</v>
      </c>
      <c r="AA300">
        <v>454184</v>
      </c>
      <c r="AB300">
        <v>170596</v>
      </c>
      <c r="AC300">
        <v>6.5715274000000004E-2</v>
      </c>
      <c r="AD300">
        <v>0.72549415100000003</v>
      </c>
      <c r="AF300">
        <v>12.283552630000001</v>
      </c>
      <c r="AG300">
        <v>0.107</v>
      </c>
      <c r="AH300">
        <v>1.7000000000000001E-2</v>
      </c>
      <c r="AI300">
        <v>0.71</v>
      </c>
      <c r="AJ300">
        <v>2.7509999999999999</v>
      </c>
      <c r="AK300">
        <v>7.1269629630000004</v>
      </c>
      <c r="AL300">
        <v>6.5000000000000002E-2</v>
      </c>
      <c r="AM300">
        <v>0.19600000000000001</v>
      </c>
      <c r="AN300">
        <v>0.71</v>
      </c>
    </row>
    <row r="301" spans="1:40">
      <c r="A301">
        <v>2369</v>
      </c>
      <c r="B301" t="s">
        <v>703</v>
      </c>
      <c r="C301" t="s">
        <v>696</v>
      </c>
      <c r="D301" t="s">
        <v>697</v>
      </c>
      <c r="E301">
        <v>411</v>
      </c>
      <c r="F301">
        <v>1357</v>
      </c>
      <c r="G301">
        <v>69.702783769999996</v>
      </c>
      <c r="H301">
        <v>8</v>
      </c>
      <c r="I301">
        <v>0.108955943</v>
      </c>
      <c r="J301">
        <v>1365</v>
      </c>
      <c r="K301">
        <v>12527.99951</v>
      </c>
      <c r="L301">
        <v>0.81799999999999995</v>
      </c>
      <c r="M301">
        <v>1.9093078999999999E-2</v>
      </c>
      <c r="N301">
        <v>0</v>
      </c>
      <c r="O301" t="s">
        <v>620</v>
      </c>
      <c r="P301">
        <f t="shared" si="38"/>
        <v>13.91958333</v>
      </c>
      <c r="Q301">
        <f t="shared" si="39"/>
        <v>3.1E-2</v>
      </c>
      <c r="R301">
        <f t="shared" si="40"/>
        <v>3.3000000000000002E-2</v>
      </c>
      <c r="S301">
        <f t="shared" si="41"/>
        <v>0.81799999999999995</v>
      </c>
      <c r="T301">
        <f t="shared" si="42"/>
        <v>2.5886363640000001</v>
      </c>
      <c r="U301">
        <f t="shared" si="43"/>
        <v>6.7589629630000001</v>
      </c>
      <c r="V301">
        <f t="shared" si="44"/>
        <v>0.05</v>
      </c>
      <c r="W301">
        <f t="shared" si="45"/>
        <v>0.13400000000000001</v>
      </c>
      <c r="X301">
        <f t="shared" si="46"/>
        <v>0.80700000000000005</v>
      </c>
      <c r="Y301">
        <v>119.2667762</v>
      </c>
      <c r="Z301">
        <v>0</v>
      </c>
      <c r="AA301">
        <v>27567</v>
      </c>
      <c r="AB301">
        <v>8371</v>
      </c>
      <c r="AC301">
        <v>2.6639960000000001E-2</v>
      </c>
      <c r="AD301">
        <v>0.83875813700000001</v>
      </c>
      <c r="AF301">
        <v>13.91958333</v>
      </c>
      <c r="AG301">
        <v>3.1E-2</v>
      </c>
      <c r="AH301">
        <v>3.3000000000000002E-2</v>
      </c>
      <c r="AI301">
        <v>0.81799999999999995</v>
      </c>
      <c r="AJ301">
        <v>2.5886363640000001</v>
      </c>
      <c r="AK301">
        <v>6.7589629630000001</v>
      </c>
      <c r="AL301">
        <v>0.05</v>
      </c>
      <c r="AM301">
        <v>0.13400000000000001</v>
      </c>
      <c r="AN301">
        <v>0.80700000000000005</v>
      </c>
    </row>
    <row r="302" spans="1:40">
      <c r="A302">
        <v>2370</v>
      </c>
      <c r="B302" t="s">
        <v>703</v>
      </c>
      <c r="C302" t="s">
        <v>696</v>
      </c>
      <c r="D302" t="s">
        <v>697</v>
      </c>
      <c r="E302">
        <v>307</v>
      </c>
      <c r="F302">
        <v>962</v>
      </c>
      <c r="G302">
        <v>87.486812060000005</v>
      </c>
      <c r="H302">
        <v>147</v>
      </c>
      <c r="I302">
        <v>0.13675045199999999</v>
      </c>
      <c r="J302">
        <v>1109</v>
      </c>
      <c r="K302">
        <v>8109.6624089999996</v>
      </c>
      <c r="L302">
        <v>0.872</v>
      </c>
      <c r="M302">
        <v>0.32378854600000001</v>
      </c>
      <c r="N302">
        <v>0</v>
      </c>
      <c r="O302" t="s">
        <v>620</v>
      </c>
      <c r="P302">
        <f t="shared" si="38"/>
        <v>12.188584909999999</v>
      </c>
      <c r="Q302">
        <f t="shared" si="39"/>
        <v>4.2999999999999997E-2</v>
      </c>
      <c r="R302">
        <f t="shared" si="40"/>
        <v>1.2E-2</v>
      </c>
      <c r="S302">
        <f t="shared" si="41"/>
        <v>0.872</v>
      </c>
      <c r="T302">
        <f t="shared" si="42"/>
        <v>4.0175000000000001</v>
      </c>
      <c r="U302">
        <f t="shared" si="43"/>
        <v>7.349426523</v>
      </c>
      <c r="V302">
        <f t="shared" si="44"/>
        <v>4.3999999999999997E-2</v>
      </c>
      <c r="W302">
        <f t="shared" si="45"/>
        <v>0.14699999999999999</v>
      </c>
      <c r="X302">
        <f t="shared" si="46"/>
        <v>0.77900000000000003</v>
      </c>
      <c r="Y302">
        <v>37.9494215</v>
      </c>
      <c r="Z302">
        <v>0</v>
      </c>
      <c r="AA302">
        <v>27567</v>
      </c>
      <c r="AB302">
        <v>8371</v>
      </c>
      <c r="AC302">
        <v>2.6639960000000001E-2</v>
      </c>
      <c r="AD302">
        <v>0.83875813700000001</v>
      </c>
      <c r="AF302">
        <v>12.188584909999999</v>
      </c>
      <c r="AG302">
        <v>4.2999999999999997E-2</v>
      </c>
      <c r="AH302">
        <v>1.2E-2</v>
      </c>
      <c r="AI302">
        <v>0.872</v>
      </c>
      <c r="AJ302">
        <v>4.0175000000000001</v>
      </c>
      <c r="AK302">
        <v>7.349426523</v>
      </c>
      <c r="AL302">
        <v>4.3999999999999997E-2</v>
      </c>
      <c r="AM302">
        <v>0.14699999999999999</v>
      </c>
      <c r="AN302">
        <v>0.77900000000000003</v>
      </c>
    </row>
    <row r="303" spans="1:40">
      <c r="A303">
        <v>2371</v>
      </c>
      <c r="B303" t="s">
        <v>705</v>
      </c>
      <c r="C303" t="s">
        <v>696</v>
      </c>
      <c r="D303" t="s">
        <v>697</v>
      </c>
      <c r="E303">
        <v>297</v>
      </c>
      <c r="F303">
        <v>1137</v>
      </c>
      <c r="G303">
        <v>78.840205549999993</v>
      </c>
      <c r="H303">
        <v>159</v>
      </c>
      <c r="I303">
        <v>0.123235856</v>
      </c>
      <c r="J303">
        <v>1296</v>
      </c>
      <c r="K303">
        <v>10516.419830000001</v>
      </c>
      <c r="L303">
        <v>0.81200000000000006</v>
      </c>
      <c r="M303">
        <v>0.34868421100000002</v>
      </c>
      <c r="N303">
        <v>0</v>
      </c>
      <c r="O303" t="s">
        <v>620</v>
      </c>
      <c r="P303">
        <f t="shared" si="38"/>
        <v>10.11213592</v>
      </c>
      <c r="Q303">
        <f t="shared" si="39"/>
        <v>3.7999999999999999E-2</v>
      </c>
      <c r="R303">
        <f t="shared" si="40"/>
        <v>1.9E-2</v>
      </c>
      <c r="S303">
        <f t="shared" si="41"/>
        <v>0.81200000000000006</v>
      </c>
      <c r="T303">
        <f t="shared" si="42"/>
        <v>2.4894444440000001</v>
      </c>
      <c r="U303">
        <f t="shared" si="43"/>
        <v>5.5327100270000003</v>
      </c>
      <c r="V303">
        <f t="shared" si="44"/>
        <v>4.2999999999999997E-2</v>
      </c>
      <c r="W303">
        <f t="shared" si="45"/>
        <v>0.14499999999999999</v>
      </c>
      <c r="X303">
        <f t="shared" si="46"/>
        <v>0.746</v>
      </c>
      <c r="Y303">
        <v>162.0039936</v>
      </c>
      <c r="Z303">
        <v>0</v>
      </c>
      <c r="AA303">
        <v>152832</v>
      </c>
      <c r="AB303">
        <v>45686</v>
      </c>
      <c r="AC303">
        <v>2.1596295000000001E-2</v>
      </c>
      <c r="AD303">
        <v>0.84212384500000004</v>
      </c>
      <c r="AF303">
        <v>10.11213592</v>
      </c>
      <c r="AG303">
        <v>3.7999999999999999E-2</v>
      </c>
      <c r="AH303">
        <v>1.9E-2</v>
      </c>
      <c r="AI303">
        <v>0.81200000000000006</v>
      </c>
      <c r="AJ303">
        <v>2.4894444440000001</v>
      </c>
      <c r="AK303">
        <v>5.5327100270000003</v>
      </c>
      <c r="AL303">
        <v>4.2999999999999997E-2</v>
      </c>
      <c r="AM303">
        <v>0.14499999999999999</v>
      </c>
      <c r="AN303">
        <v>0.746</v>
      </c>
    </row>
    <row r="304" spans="1:40">
      <c r="A304">
        <v>2372</v>
      </c>
      <c r="B304" t="s">
        <v>703</v>
      </c>
      <c r="C304" t="s">
        <v>696</v>
      </c>
      <c r="D304" t="s">
        <v>697</v>
      </c>
      <c r="E304">
        <v>380</v>
      </c>
      <c r="F304">
        <v>1314</v>
      </c>
      <c r="G304">
        <v>74.297900209999995</v>
      </c>
      <c r="H304">
        <v>160</v>
      </c>
      <c r="I304">
        <v>0.11613838999999999</v>
      </c>
      <c r="J304">
        <v>1474</v>
      </c>
      <c r="K304">
        <v>12691.755069999999</v>
      </c>
      <c r="L304">
        <v>0.83699999999999997</v>
      </c>
      <c r="M304">
        <v>0.29629629600000001</v>
      </c>
      <c r="N304">
        <v>0</v>
      </c>
      <c r="O304" t="s">
        <v>620</v>
      </c>
      <c r="P304">
        <f t="shared" si="38"/>
        <v>12.320902780000001</v>
      </c>
      <c r="Q304">
        <f t="shared" si="39"/>
        <v>1.9E-2</v>
      </c>
      <c r="R304">
        <f t="shared" si="40"/>
        <v>2.5000000000000001E-2</v>
      </c>
      <c r="S304">
        <f t="shared" si="41"/>
        <v>0.83699999999999997</v>
      </c>
      <c r="T304">
        <f t="shared" si="42"/>
        <v>2.1749999999999998</v>
      </c>
      <c r="U304">
        <f t="shared" si="43"/>
        <v>6.4129878720000004</v>
      </c>
      <c r="V304">
        <f t="shared" si="44"/>
        <v>7.0000000000000007E-2</v>
      </c>
      <c r="W304">
        <f t="shared" si="45"/>
        <v>8.1000000000000003E-2</v>
      </c>
      <c r="X304">
        <f t="shared" si="46"/>
        <v>0.83699999999999997</v>
      </c>
      <c r="Y304">
        <v>73.913257779999995</v>
      </c>
      <c r="Z304">
        <v>0</v>
      </c>
      <c r="AA304">
        <v>27567</v>
      </c>
      <c r="AB304">
        <v>8371</v>
      </c>
      <c r="AC304">
        <v>2.6639960000000001E-2</v>
      </c>
      <c r="AD304">
        <v>0.83875813700000001</v>
      </c>
      <c r="AF304">
        <v>12.320902780000001</v>
      </c>
      <c r="AG304">
        <v>1.9E-2</v>
      </c>
      <c r="AH304">
        <v>2.5000000000000001E-2</v>
      </c>
      <c r="AI304">
        <v>0.83699999999999997</v>
      </c>
      <c r="AJ304">
        <v>2.1749999999999998</v>
      </c>
      <c r="AK304">
        <v>6.4129878720000004</v>
      </c>
      <c r="AL304">
        <v>7.0000000000000007E-2</v>
      </c>
      <c r="AM304">
        <v>8.1000000000000003E-2</v>
      </c>
      <c r="AN304">
        <v>0.83699999999999997</v>
      </c>
    </row>
    <row r="305" spans="1:40">
      <c r="A305">
        <v>2373</v>
      </c>
      <c r="B305" t="s">
        <v>703</v>
      </c>
      <c r="C305" t="s">
        <v>696</v>
      </c>
      <c r="D305" t="s">
        <v>697</v>
      </c>
      <c r="E305">
        <v>386</v>
      </c>
      <c r="F305">
        <v>1326</v>
      </c>
      <c r="G305">
        <v>77.363748790000002</v>
      </c>
      <c r="H305">
        <v>197</v>
      </c>
      <c r="I305">
        <v>0.120927386</v>
      </c>
      <c r="J305">
        <v>1523</v>
      </c>
      <c r="K305">
        <v>12594.334919999999</v>
      </c>
      <c r="L305">
        <v>0.85399999999999998</v>
      </c>
      <c r="M305">
        <v>0.33790737599999998</v>
      </c>
      <c r="N305">
        <v>0</v>
      </c>
      <c r="O305" t="s">
        <v>620</v>
      </c>
      <c r="P305">
        <f t="shared" si="38"/>
        <v>12.38986207</v>
      </c>
      <c r="Q305">
        <f t="shared" si="39"/>
        <v>2.8000000000000001E-2</v>
      </c>
      <c r="R305">
        <f t="shared" si="40"/>
        <v>1.0999999999999999E-2</v>
      </c>
      <c r="S305">
        <f t="shared" si="41"/>
        <v>0.85399999999999998</v>
      </c>
      <c r="T305">
        <f t="shared" si="42"/>
        <v>1.9358333329999999</v>
      </c>
      <c r="U305">
        <f t="shared" si="43"/>
        <v>6.588940397</v>
      </c>
      <c r="V305">
        <f t="shared" si="44"/>
        <v>1.7999999999999999E-2</v>
      </c>
      <c r="W305">
        <f t="shared" si="45"/>
        <v>0.114</v>
      </c>
      <c r="X305">
        <f t="shared" si="46"/>
        <v>0.86799999999999999</v>
      </c>
      <c r="Y305">
        <v>60.516600279999999</v>
      </c>
      <c r="Z305">
        <v>0</v>
      </c>
      <c r="AA305">
        <v>27567</v>
      </c>
      <c r="AB305">
        <v>8371</v>
      </c>
      <c r="AC305">
        <v>2.6639960000000001E-2</v>
      </c>
      <c r="AD305">
        <v>0.83875813700000001</v>
      </c>
      <c r="AF305">
        <v>12.38986207</v>
      </c>
      <c r="AG305">
        <v>2.8000000000000001E-2</v>
      </c>
      <c r="AH305">
        <v>1.0999999999999999E-2</v>
      </c>
      <c r="AI305">
        <v>0.85399999999999998</v>
      </c>
      <c r="AJ305">
        <v>1.9358333329999999</v>
      </c>
      <c r="AK305">
        <v>6.588940397</v>
      </c>
      <c r="AL305">
        <v>1.7999999999999999E-2</v>
      </c>
      <c r="AM305">
        <v>0.114</v>
      </c>
      <c r="AN305">
        <v>0.86799999999999999</v>
      </c>
    </row>
    <row r="306" spans="1:40">
      <c r="A306">
        <v>2374</v>
      </c>
      <c r="B306" t="s">
        <v>705</v>
      </c>
      <c r="C306" t="s">
        <v>696</v>
      </c>
      <c r="D306" t="s">
        <v>697</v>
      </c>
      <c r="E306">
        <v>649</v>
      </c>
      <c r="F306">
        <v>2484</v>
      </c>
      <c r="G306">
        <v>97.598800130000001</v>
      </c>
      <c r="H306">
        <v>257</v>
      </c>
      <c r="I306">
        <v>0.15255971600000001</v>
      </c>
      <c r="J306">
        <v>2741</v>
      </c>
      <c r="K306">
        <v>17966.735069999999</v>
      </c>
      <c r="L306">
        <v>0.82199999999999995</v>
      </c>
      <c r="M306">
        <v>0.28366445899999998</v>
      </c>
      <c r="N306">
        <v>0</v>
      </c>
      <c r="O306" t="s">
        <v>613</v>
      </c>
      <c r="P306">
        <f t="shared" si="38"/>
        <v>11.09661017</v>
      </c>
      <c r="Q306">
        <f t="shared" si="39"/>
        <v>1.7999999999999999E-2</v>
      </c>
      <c r="R306">
        <f t="shared" si="40"/>
        <v>3.1E-2</v>
      </c>
      <c r="S306">
        <f t="shared" si="41"/>
        <v>0.82199999999999995</v>
      </c>
      <c r="T306">
        <f t="shared" si="42"/>
        <v>1.8851851850000001</v>
      </c>
      <c r="U306">
        <f t="shared" si="43"/>
        <v>6.2825127460000001</v>
      </c>
      <c r="V306">
        <f t="shared" si="44"/>
        <v>0.05</v>
      </c>
      <c r="W306">
        <f t="shared" si="45"/>
        <v>6.5000000000000002E-2</v>
      </c>
      <c r="X306">
        <f t="shared" si="46"/>
        <v>0.84899999999999998</v>
      </c>
      <c r="Y306">
        <v>198.3316289</v>
      </c>
      <c r="Z306">
        <v>0</v>
      </c>
      <c r="AA306">
        <v>152832</v>
      </c>
      <c r="AB306">
        <v>45686</v>
      </c>
      <c r="AC306">
        <v>2.1596295000000001E-2</v>
      </c>
      <c r="AD306">
        <v>0.84212384500000004</v>
      </c>
      <c r="AF306">
        <v>11.09661017</v>
      </c>
      <c r="AG306">
        <v>1.7999999999999999E-2</v>
      </c>
      <c r="AH306">
        <v>3.1E-2</v>
      </c>
      <c r="AI306">
        <v>0.82199999999999995</v>
      </c>
      <c r="AJ306">
        <v>1.8851851850000001</v>
      </c>
      <c r="AK306">
        <v>6.2825127460000001</v>
      </c>
      <c r="AL306">
        <v>0.05</v>
      </c>
      <c r="AM306">
        <v>6.5000000000000002E-2</v>
      </c>
      <c r="AN306">
        <v>0.84899999999999998</v>
      </c>
    </row>
    <row r="307" spans="1:40">
      <c r="A307">
        <v>2375</v>
      </c>
      <c r="B307" t="s">
        <v>691</v>
      </c>
      <c r="C307" t="s">
        <v>684</v>
      </c>
      <c r="D307" t="s">
        <v>685</v>
      </c>
      <c r="E307">
        <v>336</v>
      </c>
      <c r="F307">
        <v>1025</v>
      </c>
      <c r="G307">
        <v>73.880481560000007</v>
      </c>
      <c r="H307">
        <v>54</v>
      </c>
      <c r="I307">
        <v>0.115483672</v>
      </c>
      <c r="J307">
        <v>1079</v>
      </c>
      <c r="K307">
        <v>9343.3121869999995</v>
      </c>
      <c r="L307">
        <v>0.83699999999999997</v>
      </c>
      <c r="M307">
        <v>0.138461538</v>
      </c>
      <c r="N307">
        <v>0</v>
      </c>
      <c r="O307" t="s">
        <v>620</v>
      </c>
      <c r="P307">
        <f t="shared" si="38"/>
        <v>12.34617647</v>
      </c>
      <c r="Q307">
        <f t="shared" si="39"/>
        <v>6.0000000000000001E-3</v>
      </c>
      <c r="R307">
        <f t="shared" si="40"/>
        <v>2.1999999999999999E-2</v>
      </c>
      <c r="S307">
        <f t="shared" si="41"/>
        <v>0.83699999999999997</v>
      </c>
      <c r="T307">
        <f t="shared" si="42"/>
        <v>2.397142857</v>
      </c>
      <c r="U307">
        <f t="shared" si="43"/>
        <v>6.2885214009999997</v>
      </c>
      <c r="V307">
        <f t="shared" si="44"/>
        <v>7.2999999999999995E-2</v>
      </c>
      <c r="W307">
        <f t="shared" si="45"/>
        <v>2.4E-2</v>
      </c>
      <c r="X307">
        <f t="shared" si="46"/>
        <v>0.82899999999999996</v>
      </c>
      <c r="Y307">
        <v>118.2658459</v>
      </c>
      <c r="Z307">
        <v>0</v>
      </c>
      <c r="AA307">
        <v>236250</v>
      </c>
      <c r="AB307">
        <v>76158</v>
      </c>
      <c r="AC307">
        <v>1.7652984E-2</v>
      </c>
      <c r="AD307">
        <v>0.84750225300000004</v>
      </c>
      <c r="AF307">
        <v>12.34617647</v>
      </c>
      <c r="AG307">
        <v>6.0000000000000001E-3</v>
      </c>
      <c r="AH307">
        <v>2.1999999999999999E-2</v>
      </c>
      <c r="AI307">
        <v>0.83699999999999997</v>
      </c>
      <c r="AJ307">
        <v>2.397142857</v>
      </c>
      <c r="AK307">
        <v>6.2885214009999997</v>
      </c>
      <c r="AL307">
        <v>7.2999999999999995E-2</v>
      </c>
      <c r="AM307">
        <v>2.4E-2</v>
      </c>
      <c r="AN307">
        <v>0.82899999999999996</v>
      </c>
    </row>
    <row r="308" spans="1:40">
      <c r="A308">
        <v>2376</v>
      </c>
      <c r="B308" t="s">
        <v>691</v>
      </c>
      <c r="C308" t="s">
        <v>684</v>
      </c>
      <c r="D308" t="s">
        <v>685</v>
      </c>
      <c r="E308">
        <v>315</v>
      </c>
      <c r="F308">
        <v>723</v>
      </c>
      <c r="G308">
        <v>86.417900900000006</v>
      </c>
      <c r="H308">
        <v>1051</v>
      </c>
      <c r="I308">
        <v>0.13507809800000001</v>
      </c>
      <c r="J308">
        <v>1774</v>
      </c>
      <c r="K308">
        <v>13133.143169999999</v>
      </c>
      <c r="L308">
        <v>0.79600000000000004</v>
      </c>
      <c r="M308">
        <v>0.76939970700000004</v>
      </c>
      <c r="N308">
        <v>1</v>
      </c>
      <c r="O308" t="s">
        <v>613</v>
      </c>
      <c r="P308">
        <f t="shared" si="38"/>
        <v>14.579400919999999</v>
      </c>
      <c r="Q308">
        <f t="shared" si="39"/>
        <v>0.03</v>
      </c>
      <c r="R308">
        <f t="shared" si="40"/>
        <v>0.01</v>
      </c>
      <c r="S308">
        <f t="shared" si="41"/>
        <v>0.79600000000000004</v>
      </c>
      <c r="T308">
        <f t="shared" si="42"/>
        <v>2.0878571429999999</v>
      </c>
      <c r="U308">
        <f t="shared" si="43"/>
        <v>7.9793637989999997</v>
      </c>
      <c r="V308">
        <f t="shared" si="44"/>
        <v>1.4999999999999999E-2</v>
      </c>
      <c r="W308">
        <f t="shared" si="45"/>
        <v>0.115</v>
      </c>
      <c r="X308">
        <f t="shared" si="46"/>
        <v>0.80400000000000005</v>
      </c>
      <c r="Y308">
        <v>192.30221779999999</v>
      </c>
      <c r="Z308">
        <v>0</v>
      </c>
      <c r="AA308">
        <v>236250</v>
      </c>
      <c r="AB308">
        <v>76158</v>
      </c>
      <c r="AC308">
        <v>1.7652984E-2</v>
      </c>
      <c r="AD308">
        <v>0.84750225300000004</v>
      </c>
      <c r="AF308">
        <v>14.579400919999999</v>
      </c>
      <c r="AG308">
        <v>0.03</v>
      </c>
      <c r="AH308">
        <v>0.01</v>
      </c>
      <c r="AI308">
        <v>0.79600000000000004</v>
      </c>
      <c r="AJ308">
        <v>2.0878571429999999</v>
      </c>
      <c r="AK308">
        <v>7.9793637989999997</v>
      </c>
      <c r="AL308">
        <v>1.4999999999999999E-2</v>
      </c>
      <c r="AM308">
        <v>0.115</v>
      </c>
      <c r="AN308">
        <v>0.80400000000000005</v>
      </c>
    </row>
    <row r="309" spans="1:40">
      <c r="A309">
        <v>2377</v>
      </c>
      <c r="B309" t="s">
        <v>691</v>
      </c>
      <c r="C309" t="s">
        <v>684</v>
      </c>
      <c r="D309" t="s">
        <v>685</v>
      </c>
      <c r="E309">
        <v>1297</v>
      </c>
      <c r="F309">
        <v>3389</v>
      </c>
      <c r="G309">
        <v>137.14724570000001</v>
      </c>
      <c r="H309">
        <v>411</v>
      </c>
      <c r="I309">
        <v>0.21437888799999999</v>
      </c>
      <c r="J309">
        <v>3800</v>
      </c>
      <c r="K309">
        <v>17725.626039999999</v>
      </c>
      <c r="L309">
        <v>0.82899999999999996</v>
      </c>
      <c r="M309">
        <v>0.24063231900000001</v>
      </c>
      <c r="N309">
        <v>0</v>
      </c>
      <c r="O309" t="s">
        <v>620</v>
      </c>
      <c r="P309">
        <f t="shared" si="38"/>
        <v>12.92129121</v>
      </c>
      <c r="Q309">
        <f t="shared" si="39"/>
        <v>3.5000000000000003E-2</v>
      </c>
      <c r="R309">
        <f t="shared" si="40"/>
        <v>2.1000000000000001E-2</v>
      </c>
      <c r="S309">
        <f t="shared" si="41"/>
        <v>0.82899999999999996</v>
      </c>
      <c r="T309">
        <f t="shared" si="42"/>
        <v>2.562142857</v>
      </c>
      <c r="U309">
        <f t="shared" si="43"/>
        <v>7.5988017289999998</v>
      </c>
      <c r="V309">
        <f t="shared" si="44"/>
        <v>0.04</v>
      </c>
      <c r="W309">
        <f t="shared" si="45"/>
        <v>8.7999999999999995E-2</v>
      </c>
      <c r="X309">
        <f t="shared" si="46"/>
        <v>0.84699999999999998</v>
      </c>
      <c r="Y309">
        <v>99.685659099999995</v>
      </c>
      <c r="Z309">
        <v>0</v>
      </c>
      <c r="AA309">
        <v>236250</v>
      </c>
      <c r="AB309">
        <v>76158</v>
      </c>
      <c r="AC309">
        <v>1.7652984E-2</v>
      </c>
      <c r="AD309">
        <v>0.84750225300000004</v>
      </c>
      <c r="AF309">
        <v>12.92129121</v>
      </c>
      <c r="AG309">
        <v>3.5000000000000003E-2</v>
      </c>
      <c r="AH309">
        <v>2.1000000000000001E-2</v>
      </c>
      <c r="AI309">
        <v>0.82899999999999996</v>
      </c>
      <c r="AJ309">
        <v>2.562142857</v>
      </c>
      <c r="AK309">
        <v>7.5988017289999998</v>
      </c>
      <c r="AL309">
        <v>0.04</v>
      </c>
      <c r="AM309">
        <v>8.7999999999999995E-2</v>
      </c>
      <c r="AN309">
        <v>0.84699999999999998</v>
      </c>
    </row>
    <row r="310" spans="1:40">
      <c r="A310">
        <v>2378</v>
      </c>
      <c r="B310" t="s">
        <v>691</v>
      </c>
      <c r="C310" t="s">
        <v>684</v>
      </c>
      <c r="D310" t="s">
        <v>685</v>
      </c>
      <c r="E310">
        <v>699</v>
      </c>
      <c r="F310">
        <v>1823</v>
      </c>
      <c r="G310">
        <v>161.0291355</v>
      </c>
      <c r="H310">
        <v>797</v>
      </c>
      <c r="I310">
        <v>0.25169229300000001</v>
      </c>
      <c r="J310">
        <v>2620</v>
      </c>
      <c r="K310">
        <v>10409.53606</v>
      </c>
      <c r="L310">
        <v>0.84299999999999997</v>
      </c>
      <c r="M310">
        <v>0.53275401099999997</v>
      </c>
      <c r="N310">
        <v>1</v>
      </c>
      <c r="O310" t="s">
        <v>613</v>
      </c>
      <c r="P310">
        <f t="shared" si="38"/>
        <v>12.997217389999999</v>
      </c>
      <c r="Q310">
        <f t="shared" si="39"/>
        <v>2.4E-2</v>
      </c>
      <c r="R310">
        <f t="shared" si="40"/>
        <v>1.0999999999999999E-2</v>
      </c>
      <c r="S310">
        <f t="shared" si="41"/>
        <v>0.84299999999999997</v>
      </c>
      <c r="T310">
        <f t="shared" si="42"/>
        <v>2.4612500000000002</v>
      </c>
      <c r="U310">
        <f t="shared" si="43"/>
        <v>7.2157663000000003</v>
      </c>
      <c r="V310">
        <f t="shared" si="44"/>
        <v>0.03</v>
      </c>
      <c r="W310">
        <f t="shared" si="45"/>
        <v>4.3999999999999997E-2</v>
      </c>
      <c r="X310">
        <f t="shared" si="46"/>
        <v>0.85199999999999998</v>
      </c>
      <c r="Y310">
        <v>63.922830619999999</v>
      </c>
      <c r="Z310">
        <v>0</v>
      </c>
      <c r="AA310">
        <v>236250</v>
      </c>
      <c r="AB310">
        <v>76158</v>
      </c>
      <c r="AC310">
        <v>1.7652984E-2</v>
      </c>
      <c r="AD310">
        <v>0.84750225300000004</v>
      </c>
      <c r="AF310">
        <v>12.997217389999999</v>
      </c>
      <c r="AG310">
        <v>2.4E-2</v>
      </c>
      <c r="AH310">
        <v>1.0999999999999999E-2</v>
      </c>
      <c r="AI310">
        <v>0.84299999999999997</v>
      </c>
      <c r="AJ310">
        <v>2.4612500000000002</v>
      </c>
      <c r="AK310">
        <v>7.2157663000000003</v>
      </c>
      <c r="AL310">
        <v>0.03</v>
      </c>
      <c r="AM310">
        <v>4.3999999999999997E-2</v>
      </c>
      <c r="AN310">
        <v>0.85199999999999998</v>
      </c>
    </row>
    <row r="311" spans="1:40">
      <c r="A311">
        <v>2379</v>
      </c>
      <c r="B311" t="s">
        <v>705</v>
      </c>
      <c r="C311" t="s">
        <v>696</v>
      </c>
      <c r="D311" t="s">
        <v>697</v>
      </c>
      <c r="E311">
        <v>390</v>
      </c>
      <c r="F311">
        <v>1581</v>
      </c>
      <c r="G311">
        <v>27.61343012</v>
      </c>
      <c r="H311">
        <v>0</v>
      </c>
      <c r="I311">
        <v>4.3156329E-2</v>
      </c>
      <c r="J311">
        <v>1581</v>
      </c>
      <c r="K311">
        <v>36634.25589</v>
      </c>
      <c r="L311">
        <v>0.76400000000000001</v>
      </c>
      <c r="M311">
        <v>0</v>
      </c>
      <c r="N311">
        <v>0</v>
      </c>
      <c r="O311" t="s">
        <v>620</v>
      </c>
      <c r="P311">
        <f t="shared" si="38"/>
        <v>13.23957143</v>
      </c>
      <c r="Q311">
        <f t="shared" si="39"/>
        <v>1.7999999999999999E-2</v>
      </c>
      <c r="R311">
        <f t="shared" si="40"/>
        <v>3.1E-2</v>
      </c>
      <c r="S311">
        <f t="shared" si="41"/>
        <v>0.76400000000000001</v>
      </c>
      <c r="T311">
        <f t="shared" si="42"/>
        <v>1.7055172409999999</v>
      </c>
      <c r="U311">
        <f t="shared" si="43"/>
        <v>5.9552272730000002</v>
      </c>
      <c r="V311">
        <f t="shared" si="44"/>
        <v>0.04</v>
      </c>
      <c r="W311">
        <f t="shared" si="45"/>
        <v>2.7E-2</v>
      </c>
      <c r="X311">
        <f t="shared" si="46"/>
        <v>0.93300000000000005</v>
      </c>
      <c r="Y311">
        <v>0.74923204499999996</v>
      </c>
      <c r="Z311">
        <v>0</v>
      </c>
      <c r="AA311">
        <v>152832</v>
      </c>
      <c r="AB311">
        <v>45686</v>
      </c>
      <c r="AC311">
        <v>2.1596295000000001E-2</v>
      </c>
      <c r="AD311">
        <v>0.84212384500000004</v>
      </c>
      <c r="AF311">
        <v>13.23957143</v>
      </c>
      <c r="AG311">
        <v>1.7999999999999999E-2</v>
      </c>
      <c r="AH311">
        <v>3.1E-2</v>
      </c>
      <c r="AI311">
        <v>0.76400000000000001</v>
      </c>
      <c r="AJ311">
        <v>1.7055172409999999</v>
      </c>
      <c r="AK311">
        <v>5.9552272730000002</v>
      </c>
      <c r="AL311">
        <v>0.04</v>
      </c>
      <c r="AM311">
        <v>2.7E-2</v>
      </c>
      <c r="AN311">
        <v>0.93300000000000005</v>
      </c>
    </row>
    <row r="312" spans="1:40">
      <c r="A312">
        <v>2380</v>
      </c>
      <c r="B312" t="s">
        <v>683</v>
      </c>
      <c r="C312" t="s">
        <v>684</v>
      </c>
      <c r="D312" t="s">
        <v>685</v>
      </c>
      <c r="E312">
        <v>432</v>
      </c>
      <c r="F312">
        <v>1365</v>
      </c>
      <c r="G312">
        <v>97.772845950000004</v>
      </c>
      <c r="H312">
        <v>123</v>
      </c>
      <c r="I312">
        <v>0.15282452699999999</v>
      </c>
      <c r="J312">
        <v>1488</v>
      </c>
      <c r="K312">
        <v>9736.6569959999997</v>
      </c>
      <c r="L312">
        <v>0.76100000000000001</v>
      </c>
      <c r="M312">
        <v>0.22162162199999999</v>
      </c>
      <c r="N312">
        <v>0</v>
      </c>
      <c r="O312" t="s">
        <v>620</v>
      </c>
      <c r="P312">
        <f t="shared" si="38"/>
        <v>12.065087719999999</v>
      </c>
      <c r="Q312">
        <f t="shared" si="39"/>
        <v>3.2000000000000001E-2</v>
      </c>
      <c r="R312">
        <f t="shared" si="40"/>
        <v>1.0999999999999999E-2</v>
      </c>
      <c r="S312">
        <f t="shared" si="41"/>
        <v>0.76100000000000001</v>
      </c>
      <c r="T312">
        <f t="shared" si="42"/>
        <v>0.937857143</v>
      </c>
      <c r="U312">
        <f t="shared" si="43"/>
        <v>5.8649183899999997</v>
      </c>
      <c r="V312">
        <f t="shared" si="44"/>
        <v>0.03</v>
      </c>
      <c r="W312">
        <f t="shared" si="45"/>
        <v>8.8999999999999996E-2</v>
      </c>
      <c r="X312">
        <f t="shared" si="46"/>
        <v>0.84399999999999997</v>
      </c>
      <c r="Y312">
        <v>127.1898334</v>
      </c>
      <c r="Z312">
        <v>0</v>
      </c>
      <c r="AA312">
        <v>75370</v>
      </c>
      <c r="AB312">
        <v>21403</v>
      </c>
      <c r="AC312">
        <v>2.4597187E-2</v>
      </c>
      <c r="AD312">
        <v>0.84342094400000001</v>
      </c>
      <c r="AF312">
        <v>12.065087719999999</v>
      </c>
      <c r="AG312">
        <v>3.2000000000000001E-2</v>
      </c>
      <c r="AH312">
        <v>1.0999999999999999E-2</v>
      </c>
      <c r="AI312">
        <v>0.76100000000000001</v>
      </c>
      <c r="AJ312">
        <v>0.937857143</v>
      </c>
      <c r="AK312">
        <v>5.8649183899999997</v>
      </c>
      <c r="AL312">
        <v>0.03</v>
      </c>
      <c r="AM312">
        <v>8.8999999999999996E-2</v>
      </c>
      <c r="AN312">
        <v>0.84399999999999997</v>
      </c>
    </row>
    <row r="313" spans="1:40">
      <c r="A313">
        <v>2381</v>
      </c>
      <c r="B313" t="s">
        <v>689</v>
      </c>
      <c r="C313" t="s">
        <v>687</v>
      </c>
      <c r="D313" t="s">
        <v>688</v>
      </c>
      <c r="E313">
        <v>652</v>
      </c>
      <c r="F313">
        <v>1349</v>
      </c>
      <c r="G313">
        <v>73.892737690000004</v>
      </c>
      <c r="H313">
        <v>617</v>
      </c>
      <c r="I313">
        <v>0.11550374400000001</v>
      </c>
      <c r="J313">
        <v>1966</v>
      </c>
      <c r="K313">
        <v>17021.093270000001</v>
      </c>
      <c r="L313">
        <v>0.75800000000000001</v>
      </c>
      <c r="M313">
        <v>0.48620961400000001</v>
      </c>
      <c r="N313">
        <v>1</v>
      </c>
      <c r="O313" t="s">
        <v>613</v>
      </c>
      <c r="P313">
        <f t="shared" si="38"/>
        <v>10.628580250000001</v>
      </c>
      <c r="Q313">
        <f t="shared" si="39"/>
        <v>5.1999999999999998E-2</v>
      </c>
      <c r="R313">
        <f t="shared" si="40"/>
        <v>4.8000000000000001E-2</v>
      </c>
      <c r="S313">
        <f t="shared" si="41"/>
        <v>0.75800000000000001</v>
      </c>
      <c r="T313">
        <f t="shared" si="42"/>
        <v>1.6716249999999999</v>
      </c>
      <c r="U313">
        <f t="shared" si="43"/>
        <v>6.3510074940000001</v>
      </c>
      <c r="V313">
        <f t="shared" si="44"/>
        <v>0.113</v>
      </c>
      <c r="W313">
        <f t="shared" si="45"/>
        <v>0.16800000000000001</v>
      </c>
      <c r="X313">
        <f t="shared" si="46"/>
        <v>0.68100000000000005</v>
      </c>
      <c r="Y313">
        <v>228.26760469999999</v>
      </c>
      <c r="Z313">
        <v>0</v>
      </c>
      <c r="AA313">
        <v>454184</v>
      </c>
      <c r="AB313">
        <v>170596</v>
      </c>
      <c r="AC313">
        <v>6.5715274000000004E-2</v>
      </c>
      <c r="AD313">
        <v>0.72549415100000003</v>
      </c>
      <c r="AF313">
        <v>10.628580250000001</v>
      </c>
      <c r="AG313">
        <v>5.1999999999999998E-2</v>
      </c>
      <c r="AH313">
        <v>4.8000000000000001E-2</v>
      </c>
      <c r="AI313">
        <v>0.75800000000000001</v>
      </c>
      <c r="AJ313">
        <v>1.6716249999999999</v>
      </c>
      <c r="AK313">
        <v>6.3510074940000001</v>
      </c>
      <c r="AL313">
        <v>0.113</v>
      </c>
      <c r="AM313">
        <v>0.16800000000000001</v>
      </c>
      <c r="AN313">
        <v>0.68100000000000005</v>
      </c>
    </row>
    <row r="314" spans="1:40">
      <c r="A314">
        <v>2382</v>
      </c>
      <c r="B314" t="s">
        <v>704</v>
      </c>
      <c r="C314" t="s">
        <v>687</v>
      </c>
      <c r="D314" t="s">
        <v>688</v>
      </c>
      <c r="E314">
        <v>432</v>
      </c>
      <c r="F314">
        <v>1232</v>
      </c>
      <c r="G314">
        <v>114.2703975</v>
      </c>
      <c r="H314">
        <v>61</v>
      </c>
      <c r="I314">
        <v>0.17862387499999999</v>
      </c>
      <c r="J314">
        <v>1293</v>
      </c>
      <c r="K314">
        <v>7238.6740010000003</v>
      </c>
      <c r="L314">
        <v>0.80700000000000005</v>
      </c>
      <c r="M314">
        <v>0.123732252</v>
      </c>
      <c r="N314">
        <v>0</v>
      </c>
      <c r="O314" t="s">
        <v>620</v>
      </c>
      <c r="P314">
        <f t="shared" si="38"/>
        <v>11.2984375</v>
      </c>
      <c r="Q314">
        <f t="shared" si="39"/>
        <v>2.8000000000000001E-2</v>
      </c>
      <c r="R314">
        <f t="shared" si="40"/>
        <v>0.05</v>
      </c>
      <c r="S314">
        <f t="shared" si="41"/>
        <v>0.80700000000000005</v>
      </c>
      <c r="T314">
        <f t="shared" si="42"/>
        <v>2.278666667</v>
      </c>
      <c r="U314">
        <f t="shared" si="43"/>
        <v>7.0035268820000001</v>
      </c>
      <c r="V314">
        <f t="shared" si="44"/>
        <v>2.7E-2</v>
      </c>
      <c r="W314">
        <f t="shared" si="45"/>
        <v>8.2000000000000003E-2</v>
      </c>
      <c r="X314">
        <f t="shared" si="46"/>
        <v>0.877</v>
      </c>
      <c r="Y314">
        <v>139.76492289999999</v>
      </c>
      <c r="Z314">
        <v>0</v>
      </c>
      <c r="AA314">
        <v>11276</v>
      </c>
      <c r="AB314">
        <v>3933</v>
      </c>
      <c r="AC314">
        <v>3.4575116000000003E-2</v>
      </c>
      <c r="AD314">
        <v>0.79388848300000003</v>
      </c>
      <c r="AF314">
        <v>11.2984375</v>
      </c>
      <c r="AG314">
        <v>2.8000000000000001E-2</v>
      </c>
      <c r="AH314">
        <v>0.05</v>
      </c>
      <c r="AI314">
        <v>0.80700000000000005</v>
      </c>
      <c r="AJ314">
        <v>2.278666667</v>
      </c>
      <c r="AK314">
        <v>7.0035268820000001</v>
      </c>
      <c r="AL314">
        <v>2.7E-2</v>
      </c>
      <c r="AM314">
        <v>8.2000000000000003E-2</v>
      </c>
      <c r="AN314">
        <v>0.877</v>
      </c>
    </row>
    <row r="315" spans="1:40">
      <c r="A315">
        <v>2383</v>
      </c>
      <c r="B315" t="s">
        <v>690</v>
      </c>
      <c r="C315" t="s">
        <v>687</v>
      </c>
      <c r="D315" t="s">
        <v>688</v>
      </c>
      <c r="E315">
        <v>568</v>
      </c>
      <c r="F315">
        <v>1500</v>
      </c>
      <c r="G315">
        <v>62.448513830000003</v>
      </c>
      <c r="H315">
        <v>559</v>
      </c>
      <c r="I315">
        <v>9.7617330000000002E-2</v>
      </c>
      <c r="J315">
        <v>2059</v>
      </c>
      <c r="K315">
        <v>21092.56625</v>
      </c>
      <c r="L315">
        <v>0.78800000000000003</v>
      </c>
      <c r="M315">
        <v>0.49600709799999998</v>
      </c>
      <c r="N315">
        <v>0</v>
      </c>
      <c r="O315" t="s">
        <v>613</v>
      </c>
      <c r="P315">
        <f t="shared" si="38"/>
        <v>13.20690323</v>
      </c>
      <c r="Q315">
        <f t="shared" si="39"/>
        <v>5.8999999999999997E-2</v>
      </c>
      <c r="R315">
        <f t="shared" si="40"/>
        <v>2.5999999999999999E-2</v>
      </c>
      <c r="S315">
        <f t="shared" si="41"/>
        <v>0.78800000000000003</v>
      </c>
      <c r="T315">
        <f t="shared" si="42"/>
        <v>2.7556666669999998</v>
      </c>
      <c r="U315">
        <f t="shared" si="43"/>
        <v>6.9570866139999996</v>
      </c>
      <c r="V315">
        <f t="shared" si="44"/>
        <v>5.5E-2</v>
      </c>
      <c r="W315">
        <f t="shared" si="45"/>
        <v>0.218</v>
      </c>
      <c r="X315">
        <f t="shared" si="46"/>
        <v>0.70499999999999996</v>
      </c>
      <c r="Y315">
        <v>123.30261609999999</v>
      </c>
      <c r="Z315">
        <v>0</v>
      </c>
      <c r="AA315">
        <v>82284</v>
      </c>
      <c r="AB315">
        <v>32030</v>
      </c>
      <c r="AC315">
        <v>4.7570397E-2</v>
      </c>
      <c r="AD315">
        <v>0.78974696300000002</v>
      </c>
      <c r="AF315">
        <v>13.20690323</v>
      </c>
      <c r="AG315">
        <v>5.8999999999999997E-2</v>
      </c>
      <c r="AH315">
        <v>2.5999999999999999E-2</v>
      </c>
      <c r="AI315">
        <v>0.78800000000000003</v>
      </c>
      <c r="AJ315">
        <v>2.7556666669999998</v>
      </c>
      <c r="AK315">
        <v>6.9570866139999996</v>
      </c>
      <c r="AL315">
        <v>5.5E-2</v>
      </c>
      <c r="AM315">
        <v>0.218</v>
      </c>
      <c r="AN315">
        <v>0.70499999999999996</v>
      </c>
    </row>
    <row r="316" spans="1:40">
      <c r="A316">
        <v>2384</v>
      </c>
      <c r="B316" t="s">
        <v>703</v>
      </c>
      <c r="C316" t="s">
        <v>696</v>
      </c>
      <c r="D316" t="s">
        <v>697</v>
      </c>
      <c r="E316">
        <v>420</v>
      </c>
      <c r="F316">
        <v>1380</v>
      </c>
      <c r="G316">
        <v>45.106186370000003</v>
      </c>
      <c r="H316">
        <v>98</v>
      </c>
      <c r="I316">
        <v>7.0511229999999994E-2</v>
      </c>
      <c r="J316">
        <v>1478</v>
      </c>
      <c r="K316">
        <v>20961.200079999999</v>
      </c>
      <c r="L316">
        <v>0.81899999999999995</v>
      </c>
      <c r="M316">
        <v>0.18918918900000001</v>
      </c>
      <c r="N316">
        <v>0</v>
      </c>
      <c r="O316" t="s">
        <v>613</v>
      </c>
      <c r="P316">
        <f t="shared" si="38"/>
        <v>13.46844828</v>
      </c>
      <c r="Q316">
        <f t="shared" si="39"/>
        <v>0.02</v>
      </c>
      <c r="R316">
        <f t="shared" si="40"/>
        <v>3.1E-2</v>
      </c>
      <c r="S316">
        <f t="shared" si="41"/>
        <v>0.81899999999999995</v>
      </c>
      <c r="T316">
        <f t="shared" si="42"/>
        <v>2.3109999999999999</v>
      </c>
      <c r="U316">
        <f t="shared" si="43"/>
        <v>6.0796837940000001</v>
      </c>
      <c r="V316">
        <f t="shared" si="44"/>
        <v>2.8000000000000001E-2</v>
      </c>
      <c r="W316">
        <f t="shared" si="45"/>
        <v>0.113</v>
      </c>
      <c r="X316">
        <f t="shared" si="46"/>
        <v>0.81699999999999995</v>
      </c>
      <c r="Y316">
        <v>94.765452830000001</v>
      </c>
      <c r="Z316">
        <v>0</v>
      </c>
      <c r="AA316">
        <v>27567</v>
      </c>
      <c r="AB316">
        <v>8371</v>
      </c>
      <c r="AC316">
        <v>2.6639960000000001E-2</v>
      </c>
      <c r="AD316">
        <v>0.83875813700000001</v>
      </c>
      <c r="AF316">
        <v>13.46844828</v>
      </c>
      <c r="AG316">
        <v>0.02</v>
      </c>
      <c r="AH316">
        <v>3.1E-2</v>
      </c>
      <c r="AI316">
        <v>0.81899999999999995</v>
      </c>
      <c r="AJ316">
        <v>2.3109999999999999</v>
      </c>
      <c r="AK316">
        <v>6.0796837940000001</v>
      </c>
      <c r="AL316">
        <v>2.8000000000000001E-2</v>
      </c>
      <c r="AM316">
        <v>0.113</v>
      </c>
      <c r="AN316">
        <v>0.81699999999999995</v>
      </c>
    </row>
    <row r="317" spans="1:40">
      <c r="A317">
        <v>2385</v>
      </c>
      <c r="B317" t="s">
        <v>690</v>
      </c>
      <c r="C317" t="s">
        <v>687</v>
      </c>
      <c r="D317" t="s">
        <v>688</v>
      </c>
      <c r="E317">
        <v>459</v>
      </c>
      <c r="F317">
        <v>1061</v>
      </c>
      <c r="G317">
        <v>36.965191429999997</v>
      </c>
      <c r="H317">
        <v>236</v>
      </c>
      <c r="I317">
        <v>5.7777250000000002E-2</v>
      </c>
      <c r="J317">
        <v>1297</v>
      </c>
      <c r="K317">
        <v>22448.28198</v>
      </c>
      <c r="L317">
        <v>0.746</v>
      </c>
      <c r="M317">
        <v>0.33956834499999999</v>
      </c>
      <c r="N317">
        <v>0</v>
      </c>
      <c r="O317" t="s">
        <v>613</v>
      </c>
      <c r="P317">
        <f t="shared" si="38"/>
        <v>12.13688679</v>
      </c>
      <c r="Q317">
        <f t="shared" si="39"/>
        <v>6.9000000000000006E-2</v>
      </c>
      <c r="R317">
        <f t="shared" si="40"/>
        <v>1.4999999999999999E-2</v>
      </c>
      <c r="S317">
        <f t="shared" si="41"/>
        <v>0.746</v>
      </c>
      <c r="T317">
        <f t="shared" si="42"/>
        <v>2.2766666670000002</v>
      </c>
      <c r="U317">
        <f t="shared" si="43"/>
        <v>6.4254856120000001</v>
      </c>
      <c r="V317">
        <f t="shared" si="44"/>
        <v>3.2000000000000001E-2</v>
      </c>
      <c r="W317">
        <f t="shared" si="45"/>
        <v>0.223</v>
      </c>
      <c r="X317">
        <f t="shared" si="46"/>
        <v>0.67500000000000004</v>
      </c>
      <c r="Y317">
        <v>195.95860579999999</v>
      </c>
      <c r="Z317">
        <v>0</v>
      </c>
      <c r="AA317">
        <v>82284</v>
      </c>
      <c r="AB317">
        <v>32030</v>
      </c>
      <c r="AC317">
        <v>4.7570397E-2</v>
      </c>
      <c r="AD317">
        <v>0.78974696300000002</v>
      </c>
      <c r="AF317">
        <v>12.13688679</v>
      </c>
      <c r="AG317">
        <v>6.9000000000000006E-2</v>
      </c>
      <c r="AH317">
        <v>1.4999999999999999E-2</v>
      </c>
      <c r="AI317">
        <v>0.746</v>
      </c>
      <c r="AJ317">
        <v>2.2766666670000002</v>
      </c>
      <c r="AK317">
        <v>6.4254856120000001</v>
      </c>
      <c r="AL317">
        <v>3.2000000000000001E-2</v>
      </c>
      <c r="AM317">
        <v>0.223</v>
      </c>
      <c r="AN317">
        <v>0.67500000000000004</v>
      </c>
    </row>
    <row r="318" spans="1:40">
      <c r="A318">
        <v>2386</v>
      </c>
      <c r="B318" t="s">
        <v>689</v>
      </c>
      <c r="C318" t="s">
        <v>687</v>
      </c>
      <c r="D318" t="s">
        <v>688</v>
      </c>
      <c r="E318">
        <v>18</v>
      </c>
      <c r="F318">
        <v>47</v>
      </c>
      <c r="G318">
        <v>384.26528450000001</v>
      </c>
      <c r="H318">
        <v>24</v>
      </c>
      <c r="I318">
        <v>0.60066196500000002</v>
      </c>
      <c r="J318">
        <v>71</v>
      </c>
      <c r="K318">
        <v>118.202923</v>
      </c>
      <c r="L318" s="515">
        <v>1</v>
      </c>
      <c r="M318">
        <v>0.571428571</v>
      </c>
      <c r="N318">
        <v>0</v>
      </c>
      <c r="O318" t="s">
        <v>625</v>
      </c>
      <c r="P318">
        <f t="shared" si="38"/>
        <v>12.88</v>
      </c>
      <c r="Q318">
        <f t="shared" si="39"/>
        <v>6.0302483069977368E-2</v>
      </c>
      <c r="R318">
        <f t="shared" si="40"/>
        <v>3.1352808988764011E-2</v>
      </c>
      <c r="S318">
        <f t="shared" si="41"/>
        <v>1</v>
      </c>
      <c r="T318">
        <f t="shared" si="42"/>
        <v>2.2353522564471904</v>
      </c>
      <c r="U318">
        <f t="shared" si="43"/>
        <v>11.87916667</v>
      </c>
      <c r="V318">
        <f t="shared" si="44"/>
        <v>6.2414117647058849E-2</v>
      </c>
      <c r="W318">
        <f t="shared" si="45"/>
        <v>0.17334782608695659</v>
      </c>
      <c r="X318">
        <f t="shared" si="46"/>
        <v>1</v>
      </c>
      <c r="Y318">
        <v>57.154994819999999</v>
      </c>
      <c r="Z318">
        <v>0</v>
      </c>
      <c r="AA318">
        <v>454184</v>
      </c>
      <c r="AB318">
        <v>170596</v>
      </c>
      <c r="AC318">
        <v>6.5715274000000004E-2</v>
      </c>
      <c r="AD318">
        <v>0.72549415100000003</v>
      </c>
      <c r="AF318">
        <v>12.88</v>
      </c>
      <c r="AG318">
        <v>0</v>
      </c>
      <c r="AH318">
        <v>0</v>
      </c>
      <c r="AI318">
        <v>1</v>
      </c>
      <c r="AK318">
        <v>11.87916667</v>
      </c>
      <c r="AL318">
        <v>0</v>
      </c>
      <c r="AM318">
        <v>0</v>
      </c>
      <c r="AN318">
        <v>1</v>
      </c>
    </row>
    <row r="319" spans="1:40">
      <c r="A319">
        <v>2387</v>
      </c>
      <c r="B319" t="s">
        <v>691</v>
      </c>
      <c r="C319" t="s">
        <v>684</v>
      </c>
      <c r="D319" t="s">
        <v>685</v>
      </c>
      <c r="E319">
        <v>551</v>
      </c>
      <c r="F319">
        <v>1690</v>
      </c>
      <c r="G319">
        <v>113.14335370000001</v>
      </c>
      <c r="H319">
        <v>178</v>
      </c>
      <c r="I319">
        <v>0.176849586</v>
      </c>
      <c r="J319">
        <v>1868</v>
      </c>
      <c r="K319">
        <v>10562.64842</v>
      </c>
      <c r="L319">
        <v>0.81499999999999995</v>
      </c>
      <c r="M319">
        <v>0.244170096</v>
      </c>
      <c r="N319">
        <v>0</v>
      </c>
      <c r="O319" t="s">
        <v>620</v>
      </c>
      <c r="P319">
        <f t="shared" si="38"/>
        <v>11.507446809999999</v>
      </c>
      <c r="Q319">
        <f t="shared" si="39"/>
        <v>1.6E-2</v>
      </c>
      <c r="R319">
        <f t="shared" si="40"/>
        <v>2.3E-2</v>
      </c>
      <c r="S319">
        <f t="shared" si="41"/>
        <v>0.81499999999999995</v>
      </c>
      <c r="T319">
        <f t="shared" si="42"/>
        <v>1.475416667</v>
      </c>
      <c r="U319">
        <f t="shared" si="43"/>
        <v>8.5346080759999996</v>
      </c>
      <c r="V319">
        <f t="shared" si="44"/>
        <v>6.0999999999999999E-2</v>
      </c>
      <c r="W319">
        <f t="shared" si="45"/>
        <v>6.0999999999999999E-2</v>
      </c>
      <c r="X319">
        <f t="shared" si="46"/>
        <v>0.82499999999999996</v>
      </c>
      <c r="Y319">
        <v>118.8057245</v>
      </c>
      <c r="Z319">
        <v>0</v>
      </c>
      <c r="AA319">
        <v>236250</v>
      </c>
      <c r="AB319">
        <v>76158</v>
      </c>
      <c r="AC319">
        <v>1.7652984E-2</v>
      </c>
      <c r="AD319">
        <v>0.84750225300000004</v>
      </c>
      <c r="AF319">
        <v>11.507446809999999</v>
      </c>
      <c r="AG319">
        <v>1.6E-2</v>
      </c>
      <c r="AH319">
        <v>2.3E-2</v>
      </c>
      <c r="AI319">
        <v>0.81499999999999995</v>
      </c>
      <c r="AJ319">
        <v>1.475416667</v>
      </c>
      <c r="AK319">
        <v>8.5346080759999996</v>
      </c>
      <c r="AL319">
        <v>6.0999999999999999E-2</v>
      </c>
      <c r="AM319">
        <v>6.0999999999999999E-2</v>
      </c>
      <c r="AN319">
        <v>0.82499999999999996</v>
      </c>
    </row>
    <row r="320" spans="1:40">
      <c r="A320">
        <v>2388</v>
      </c>
      <c r="B320" t="s">
        <v>690</v>
      </c>
      <c r="C320" t="s">
        <v>687</v>
      </c>
      <c r="D320" t="s">
        <v>688</v>
      </c>
      <c r="E320">
        <v>758</v>
      </c>
      <c r="F320">
        <v>2164</v>
      </c>
      <c r="G320">
        <v>161.57247380000001</v>
      </c>
      <c r="H320">
        <v>255</v>
      </c>
      <c r="I320">
        <v>0.25255613500000001</v>
      </c>
      <c r="J320">
        <v>2419</v>
      </c>
      <c r="K320">
        <v>9578.0686540000006</v>
      </c>
      <c r="L320">
        <v>0.86899999999999999</v>
      </c>
      <c r="M320">
        <v>0.25172754200000003</v>
      </c>
      <c r="N320">
        <v>0</v>
      </c>
      <c r="O320" t="s">
        <v>620</v>
      </c>
      <c r="P320">
        <f t="shared" si="38"/>
        <v>12.17605505</v>
      </c>
      <c r="Q320">
        <f t="shared" si="39"/>
        <v>3.6999999999999998E-2</v>
      </c>
      <c r="R320">
        <f t="shared" si="40"/>
        <v>1.2E-2</v>
      </c>
      <c r="S320">
        <f t="shared" si="41"/>
        <v>0.86899999999999999</v>
      </c>
      <c r="T320">
        <f t="shared" si="42"/>
        <v>3.0487500000000001</v>
      </c>
      <c r="U320">
        <f t="shared" si="43"/>
        <v>7.5672192029999996</v>
      </c>
      <c r="V320">
        <f t="shared" si="44"/>
        <v>0.04</v>
      </c>
      <c r="W320">
        <f t="shared" si="45"/>
        <v>0.154</v>
      </c>
      <c r="X320">
        <f t="shared" si="46"/>
        <v>0.79900000000000004</v>
      </c>
      <c r="Y320">
        <v>246.42705240000001</v>
      </c>
      <c r="Z320">
        <v>0</v>
      </c>
      <c r="AA320">
        <v>82284</v>
      </c>
      <c r="AB320">
        <v>32030</v>
      </c>
      <c r="AC320">
        <v>4.7570397E-2</v>
      </c>
      <c r="AD320">
        <v>0.78974696300000002</v>
      </c>
      <c r="AF320">
        <v>12.17605505</v>
      </c>
      <c r="AG320">
        <v>3.6999999999999998E-2</v>
      </c>
      <c r="AH320">
        <v>1.2E-2</v>
      </c>
      <c r="AI320">
        <v>0.86899999999999999</v>
      </c>
      <c r="AJ320">
        <v>3.0487500000000001</v>
      </c>
      <c r="AK320">
        <v>7.5672192029999996</v>
      </c>
      <c r="AL320">
        <v>0.04</v>
      </c>
      <c r="AM320">
        <v>0.154</v>
      </c>
      <c r="AN320">
        <v>0.79900000000000004</v>
      </c>
    </row>
    <row r="321" spans="1:40">
      <c r="A321">
        <v>2389</v>
      </c>
      <c r="B321" t="s">
        <v>689</v>
      </c>
      <c r="C321" t="s">
        <v>687</v>
      </c>
      <c r="D321" t="s">
        <v>688</v>
      </c>
      <c r="E321">
        <v>455</v>
      </c>
      <c r="F321">
        <v>1142</v>
      </c>
      <c r="G321">
        <v>103.5580834</v>
      </c>
      <c r="H321">
        <v>53</v>
      </c>
      <c r="I321">
        <v>0.161882945</v>
      </c>
      <c r="J321">
        <v>1195</v>
      </c>
      <c r="K321">
        <v>7381.8770720000002</v>
      </c>
      <c r="L321">
        <v>0.76200000000000001</v>
      </c>
      <c r="M321">
        <v>0.10433070899999999</v>
      </c>
      <c r="N321">
        <v>1</v>
      </c>
      <c r="O321" t="s">
        <v>613</v>
      </c>
      <c r="P321">
        <f t="shared" si="38"/>
        <v>9.0630000000000006</v>
      </c>
      <c r="Q321">
        <f t="shared" si="39"/>
        <v>7.0999999999999994E-2</v>
      </c>
      <c r="R321">
        <f t="shared" si="40"/>
        <v>4.4999999999999998E-2</v>
      </c>
      <c r="S321">
        <f t="shared" si="41"/>
        <v>0.76200000000000001</v>
      </c>
      <c r="T321">
        <f t="shared" si="42"/>
        <v>2.8079999999999998</v>
      </c>
      <c r="U321">
        <f t="shared" si="43"/>
        <v>6.0162932790000001</v>
      </c>
      <c r="V321">
        <f t="shared" si="44"/>
        <v>9.0999999999999998E-2</v>
      </c>
      <c r="W321">
        <f t="shared" si="45"/>
        <v>0.22</v>
      </c>
      <c r="X321">
        <f t="shared" si="46"/>
        <v>0.67100000000000004</v>
      </c>
      <c r="Y321">
        <v>139.43107259999999</v>
      </c>
      <c r="Z321">
        <v>0</v>
      </c>
      <c r="AA321">
        <v>454184</v>
      </c>
      <c r="AB321">
        <v>170596</v>
      </c>
      <c r="AC321">
        <v>6.5715274000000004E-2</v>
      </c>
      <c r="AD321">
        <v>0.72549415100000003</v>
      </c>
      <c r="AF321">
        <v>9.0630000000000006</v>
      </c>
      <c r="AG321">
        <v>7.0999999999999994E-2</v>
      </c>
      <c r="AH321">
        <v>4.4999999999999998E-2</v>
      </c>
      <c r="AI321">
        <v>0.76200000000000001</v>
      </c>
      <c r="AJ321">
        <v>2.8079999999999998</v>
      </c>
      <c r="AK321">
        <v>6.0162932790000001</v>
      </c>
      <c r="AL321">
        <v>9.0999999999999998E-2</v>
      </c>
      <c r="AM321">
        <v>0.22</v>
      </c>
      <c r="AN321">
        <v>0.67100000000000004</v>
      </c>
    </row>
    <row r="322" spans="1:40">
      <c r="A322">
        <v>2390</v>
      </c>
      <c r="B322" t="s">
        <v>689</v>
      </c>
      <c r="C322" t="s">
        <v>687</v>
      </c>
      <c r="D322" t="s">
        <v>688</v>
      </c>
      <c r="E322">
        <v>672</v>
      </c>
      <c r="F322">
        <v>1622</v>
      </c>
      <c r="G322">
        <v>32.606261259999997</v>
      </c>
      <c r="H322">
        <v>101</v>
      </c>
      <c r="I322">
        <v>5.0968224999999999E-2</v>
      </c>
      <c r="J322">
        <v>1723</v>
      </c>
      <c r="K322">
        <v>33805.375800000002</v>
      </c>
      <c r="L322">
        <v>0.71</v>
      </c>
      <c r="M322">
        <v>0.13065976700000001</v>
      </c>
      <c r="N322">
        <v>0</v>
      </c>
      <c r="O322" t="s">
        <v>613</v>
      </c>
      <c r="P322">
        <f t="shared" si="38"/>
        <v>7.8885294119999996</v>
      </c>
      <c r="Q322">
        <f t="shared" si="39"/>
        <v>5.5E-2</v>
      </c>
      <c r="R322">
        <f t="shared" si="40"/>
        <v>5.5E-2</v>
      </c>
      <c r="S322">
        <f t="shared" si="41"/>
        <v>0.71</v>
      </c>
      <c r="T322">
        <f t="shared" si="42"/>
        <v>1.738392857</v>
      </c>
      <c r="U322">
        <f t="shared" si="43"/>
        <v>5.2935764379999997</v>
      </c>
      <c r="V322">
        <f t="shared" si="44"/>
        <v>9.9000000000000005E-2</v>
      </c>
      <c r="W322">
        <f t="shared" si="45"/>
        <v>0.16800000000000001</v>
      </c>
      <c r="X322">
        <f t="shared" si="46"/>
        <v>0.71199999999999997</v>
      </c>
      <c r="Y322">
        <v>182.9761877</v>
      </c>
      <c r="Z322">
        <v>0</v>
      </c>
      <c r="AA322">
        <v>454184</v>
      </c>
      <c r="AB322">
        <v>170596</v>
      </c>
      <c r="AC322">
        <v>6.5715274000000004E-2</v>
      </c>
      <c r="AD322">
        <v>0.72549415100000003</v>
      </c>
      <c r="AF322">
        <v>7.8885294119999996</v>
      </c>
      <c r="AG322">
        <v>5.5E-2</v>
      </c>
      <c r="AH322">
        <v>5.5E-2</v>
      </c>
      <c r="AI322">
        <v>0.71</v>
      </c>
      <c r="AJ322">
        <v>1.738392857</v>
      </c>
      <c r="AK322">
        <v>5.2935764379999997</v>
      </c>
      <c r="AL322">
        <v>9.9000000000000005E-2</v>
      </c>
      <c r="AM322">
        <v>0.16800000000000001</v>
      </c>
      <c r="AN322">
        <v>0.71199999999999997</v>
      </c>
    </row>
    <row r="323" spans="1:40">
      <c r="A323">
        <v>2391</v>
      </c>
      <c r="B323" t="s">
        <v>706</v>
      </c>
      <c r="C323" t="s">
        <v>684</v>
      </c>
      <c r="D323" t="s">
        <v>685</v>
      </c>
      <c r="E323">
        <v>230</v>
      </c>
      <c r="F323">
        <v>835</v>
      </c>
      <c r="G323">
        <v>80.372952620000007</v>
      </c>
      <c r="H323">
        <v>497</v>
      </c>
      <c r="I323">
        <v>0.12562826299999999</v>
      </c>
      <c r="J323">
        <v>1332</v>
      </c>
      <c r="K323">
        <v>10602.70968</v>
      </c>
      <c r="L323">
        <v>0.86899999999999999</v>
      </c>
      <c r="M323">
        <v>0.68363136199999996</v>
      </c>
      <c r="N323">
        <v>0</v>
      </c>
      <c r="O323" t="s">
        <v>620</v>
      </c>
      <c r="P323">
        <f t="shared" si="38"/>
        <v>14.00835938</v>
      </c>
      <c r="Q323">
        <f t="shared" si="39"/>
        <v>1.0999999999999999E-2</v>
      </c>
      <c r="R323">
        <f t="shared" si="40"/>
        <v>1.7000000000000001E-2</v>
      </c>
      <c r="S323">
        <f t="shared" si="41"/>
        <v>0.86899999999999999</v>
      </c>
      <c r="T323">
        <f t="shared" si="42"/>
        <v>2.1037499999999998</v>
      </c>
      <c r="U323">
        <f t="shared" si="43"/>
        <v>6.6008785530000003</v>
      </c>
      <c r="V323">
        <f t="shared" si="44"/>
        <v>2.9000000000000001E-2</v>
      </c>
      <c r="W323">
        <f t="shared" si="45"/>
        <v>2.1999999999999999E-2</v>
      </c>
      <c r="X323">
        <f t="shared" si="46"/>
        <v>0.92100000000000004</v>
      </c>
      <c r="Y323">
        <v>53.458296050000001</v>
      </c>
      <c r="Z323">
        <v>0</v>
      </c>
      <c r="AA323">
        <v>47401</v>
      </c>
      <c r="AB323">
        <v>14616</v>
      </c>
      <c r="AC323">
        <v>1.1721782E-2</v>
      </c>
      <c r="AD323">
        <v>0.85588417900000002</v>
      </c>
      <c r="AF323">
        <v>14.00835938</v>
      </c>
      <c r="AG323">
        <v>1.0999999999999999E-2</v>
      </c>
      <c r="AH323">
        <v>1.7000000000000001E-2</v>
      </c>
      <c r="AI323">
        <v>0.86899999999999999</v>
      </c>
      <c r="AJ323">
        <v>2.1037499999999998</v>
      </c>
      <c r="AK323">
        <v>6.6008785530000003</v>
      </c>
      <c r="AL323">
        <v>2.9000000000000001E-2</v>
      </c>
      <c r="AM323">
        <v>2.1999999999999999E-2</v>
      </c>
      <c r="AN323">
        <v>0.92100000000000004</v>
      </c>
    </row>
    <row r="324" spans="1:40">
      <c r="A324">
        <v>2392</v>
      </c>
      <c r="B324" t="s">
        <v>698</v>
      </c>
      <c r="C324" t="s">
        <v>693</v>
      </c>
      <c r="D324" t="s">
        <v>694</v>
      </c>
      <c r="E324">
        <v>643</v>
      </c>
      <c r="F324">
        <v>2124</v>
      </c>
      <c r="G324">
        <v>186.39876860000001</v>
      </c>
      <c r="H324">
        <v>125</v>
      </c>
      <c r="I324">
        <v>0.29136230000000002</v>
      </c>
      <c r="J324">
        <v>2249</v>
      </c>
      <c r="K324">
        <v>7718.9121590000004</v>
      </c>
      <c r="L324">
        <v>0.78700000000000003</v>
      </c>
      <c r="M324">
        <v>0.16276041699999999</v>
      </c>
      <c r="N324">
        <v>0</v>
      </c>
      <c r="O324" t="s">
        <v>620</v>
      </c>
      <c r="P324">
        <f t="shared" si="38"/>
        <v>16.800324679999999</v>
      </c>
      <c r="Q324">
        <f t="shared" si="39"/>
        <v>1.452380952380952E-2</v>
      </c>
      <c r="R324">
        <f t="shared" si="40"/>
        <v>2.7E-2</v>
      </c>
      <c r="S324">
        <f t="shared" si="41"/>
        <v>0.78700000000000003</v>
      </c>
      <c r="T324">
        <f t="shared" si="42"/>
        <v>1.5234375</v>
      </c>
      <c r="U324">
        <f t="shared" si="43"/>
        <v>7.1272070100000002</v>
      </c>
      <c r="V324">
        <f t="shared" si="44"/>
        <v>2.4E-2</v>
      </c>
      <c r="W324">
        <f t="shared" si="45"/>
        <v>5.2166666666666632E-2</v>
      </c>
      <c r="X324">
        <f t="shared" si="46"/>
        <v>0.93300000000000005</v>
      </c>
      <c r="Y324">
        <v>129.15366800000001</v>
      </c>
      <c r="Z324">
        <v>0</v>
      </c>
      <c r="AA324">
        <v>88250</v>
      </c>
      <c r="AB324">
        <v>31723</v>
      </c>
      <c r="AC324">
        <v>1.0795895999999999E-2</v>
      </c>
      <c r="AD324">
        <v>0.817760245</v>
      </c>
      <c r="AF324">
        <v>16.800324679999999</v>
      </c>
      <c r="AG324">
        <v>0</v>
      </c>
      <c r="AH324">
        <v>2.7E-2</v>
      </c>
      <c r="AI324">
        <v>0.78700000000000003</v>
      </c>
      <c r="AJ324">
        <v>1.5234375</v>
      </c>
      <c r="AK324">
        <v>7.1272070100000002</v>
      </c>
      <c r="AL324">
        <v>2.4E-2</v>
      </c>
      <c r="AM324">
        <v>0</v>
      </c>
      <c r="AN324">
        <v>0.93300000000000005</v>
      </c>
    </row>
    <row r="325" spans="1:40">
      <c r="A325">
        <v>2393</v>
      </c>
      <c r="B325" t="s">
        <v>698</v>
      </c>
      <c r="C325" t="s">
        <v>693</v>
      </c>
      <c r="D325" t="s">
        <v>694</v>
      </c>
      <c r="E325">
        <v>383</v>
      </c>
      <c r="F325">
        <v>1196</v>
      </c>
      <c r="G325">
        <v>63.787301159999998</v>
      </c>
      <c r="H325">
        <v>68</v>
      </c>
      <c r="I325">
        <v>9.9705535999999997E-2</v>
      </c>
      <c r="J325">
        <v>1264</v>
      </c>
      <c r="K325">
        <v>12677.330169999999</v>
      </c>
      <c r="L325">
        <v>0.79900000000000004</v>
      </c>
      <c r="M325">
        <v>0.15077605299999999</v>
      </c>
      <c r="N325">
        <v>0</v>
      </c>
      <c r="O325" t="s">
        <v>620</v>
      </c>
      <c r="P325">
        <f t="shared" si="38"/>
        <v>15.336057690000001</v>
      </c>
      <c r="Q325">
        <f t="shared" si="39"/>
        <v>1.2E-2</v>
      </c>
      <c r="R325">
        <f t="shared" si="40"/>
        <v>1.6E-2</v>
      </c>
      <c r="S325">
        <f t="shared" si="41"/>
        <v>0.79900000000000004</v>
      </c>
      <c r="T325">
        <f t="shared" si="42"/>
        <v>1.28</v>
      </c>
      <c r="U325">
        <f t="shared" si="43"/>
        <v>7.3043278689999998</v>
      </c>
      <c r="V325">
        <f t="shared" si="44"/>
        <v>3.5000000000000003E-2</v>
      </c>
      <c r="W325">
        <f t="shared" si="45"/>
        <v>3.5000000000000003E-2</v>
      </c>
      <c r="X325">
        <f t="shared" si="46"/>
        <v>0.91200000000000003</v>
      </c>
      <c r="Y325">
        <v>127.0245948</v>
      </c>
      <c r="Z325">
        <v>0</v>
      </c>
      <c r="AA325">
        <v>88250</v>
      </c>
      <c r="AB325">
        <v>31723</v>
      </c>
      <c r="AC325">
        <v>1.0795895999999999E-2</v>
      </c>
      <c r="AD325">
        <v>0.817760245</v>
      </c>
      <c r="AF325">
        <v>15.336057690000001</v>
      </c>
      <c r="AG325">
        <v>1.2E-2</v>
      </c>
      <c r="AH325">
        <v>1.6E-2</v>
      </c>
      <c r="AI325">
        <v>0.79900000000000004</v>
      </c>
      <c r="AJ325">
        <v>1.28</v>
      </c>
      <c r="AK325">
        <v>7.3043278689999998</v>
      </c>
      <c r="AL325">
        <v>3.5000000000000003E-2</v>
      </c>
      <c r="AM325">
        <v>3.5000000000000003E-2</v>
      </c>
      <c r="AN325">
        <v>0.91200000000000003</v>
      </c>
    </row>
    <row r="326" spans="1:40">
      <c r="A326">
        <v>2394</v>
      </c>
      <c r="B326" t="s">
        <v>698</v>
      </c>
      <c r="C326" t="s">
        <v>693</v>
      </c>
      <c r="D326" t="s">
        <v>694</v>
      </c>
      <c r="E326">
        <v>255</v>
      </c>
      <c r="F326">
        <v>822</v>
      </c>
      <c r="G326">
        <v>56.108994879999997</v>
      </c>
      <c r="H326">
        <v>0</v>
      </c>
      <c r="I326">
        <v>8.7704209000000005E-2</v>
      </c>
      <c r="J326">
        <v>822</v>
      </c>
      <c r="K326">
        <v>9372.4122179999995</v>
      </c>
      <c r="L326">
        <v>0.78700000000000003</v>
      </c>
      <c r="M326">
        <v>0</v>
      </c>
      <c r="N326">
        <v>0</v>
      </c>
      <c r="O326" t="s">
        <v>620</v>
      </c>
      <c r="P326">
        <f t="shared" si="38"/>
        <v>13.78089744</v>
      </c>
      <c r="Q326">
        <f t="shared" si="39"/>
        <v>2.4E-2</v>
      </c>
      <c r="R326">
        <f t="shared" si="40"/>
        <v>8.9999999999999993E-3</v>
      </c>
      <c r="S326">
        <f t="shared" si="41"/>
        <v>0.78700000000000003</v>
      </c>
      <c r="T326">
        <f t="shared" si="42"/>
        <v>1.0449999999999999</v>
      </c>
      <c r="U326">
        <f t="shared" si="43"/>
        <v>7.2178658540000002</v>
      </c>
      <c r="V326">
        <f t="shared" si="44"/>
        <v>1.2E-2</v>
      </c>
      <c r="W326">
        <f t="shared" si="45"/>
        <v>4.7E-2</v>
      </c>
      <c r="X326">
        <f t="shared" si="46"/>
        <v>0.90700000000000003</v>
      </c>
      <c r="Y326">
        <v>80.255910299999996</v>
      </c>
      <c r="Z326">
        <v>0</v>
      </c>
      <c r="AA326">
        <v>88250</v>
      </c>
      <c r="AB326">
        <v>31723</v>
      </c>
      <c r="AC326">
        <v>1.0795895999999999E-2</v>
      </c>
      <c r="AD326">
        <v>0.817760245</v>
      </c>
      <c r="AF326">
        <v>13.78089744</v>
      </c>
      <c r="AG326">
        <v>2.4E-2</v>
      </c>
      <c r="AH326">
        <v>8.9999999999999993E-3</v>
      </c>
      <c r="AI326">
        <v>0.78700000000000003</v>
      </c>
      <c r="AJ326">
        <v>1.0449999999999999</v>
      </c>
      <c r="AK326">
        <v>7.2178658540000002</v>
      </c>
      <c r="AL326">
        <v>1.2E-2</v>
      </c>
      <c r="AM326">
        <v>4.7E-2</v>
      </c>
      <c r="AN326">
        <v>0.90700000000000003</v>
      </c>
    </row>
    <row r="327" spans="1:40">
      <c r="A327">
        <v>2395</v>
      </c>
      <c r="B327" t="s">
        <v>683</v>
      </c>
      <c r="C327" t="s">
        <v>684</v>
      </c>
      <c r="D327" t="s">
        <v>685</v>
      </c>
      <c r="E327">
        <v>385</v>
      </c>
      <c r="F327">
        <v>1246</v>
      </c>
      <c r="G327">
        <v>132.5916441</v>
      </c>
      <c r="H327">
        <v>573</v>
      </c>
      <c r="I327">
        <v>0.207247976</v>
      </c>
      <c r="J327">
        <v>1819</v>
      </c>
      <c r="K327">
        <v>8776.9252809999998</v>
      </c>
      <c r="L327">
        <v>0.89800000000000002</v>
      </c>
      <c r="M327">
        <v>0.59812108600000002</v>
      </c>
      <c r="N327">
        <v>0</v>
      </c>
      <c r="O327" t="s">
        <v>620</v>
      </c>
      <c r="P327">
        <f t="shared" si="38"/>
        <v>13.831769230000001</v>
      </c>
      <c r="Q327">
        <f t="shared" si="39"/>
        <v>2.4E-2</v>
      </c>
      <c r="R327">
        <f t="shared" si="40"/>
        <v>2.1000000000000001E-2</v>
      </c>
      <c r="S327">
        <f t="shared" si="41"/>
        <v>0.89800000000000002</v>
      </c>
      <c r="T327">
        <f t="shared" si="42"/>
        <v>1.7933333330000001</v>
      </c>
      <c r="U327">
        <f t="shared" si="43"/>
        <v>8.1805769230000003</v>
      </c>
      <c r="V327">
        <f t="shared" si="44"/>
        <v>1.4E-2</v>
      </c>
      <c r="W327">
        <f t="shared" si="45"/>
        <v>6.3E-2</v>
      </c>
      <c r="X327">
        <f t="shared" si="46"/>
        <v>0.90900000000000003</v>
      </c>
      <c r="Y327">
        <v>111.4163173</v>
      </c>
      <c r="Z327">
        <v>0</v>
      </c>
      <c r="AA327">
        <v>75370</v>
      </c>
      <c r="AB327">
        <v>21403</v>
      </c>
      <c r="AC327">
        <v>2.4597187E-2</v>
      </c>
      <c r="AD327">
        <v>0.84342094400000001</v>
      </c>
      <c r="AF327">
        <v>13.831769230000001</v>
      </c>
      <c r="AG327">
        <v>2.4E-2</v>
      </c>
      <c r="AH327">
        <v>2.1000000000000001E-2</v>
      </c>
      <c r="AI327">
        <v>0.89800000000000002</v>
      </c>
      <c r="AJ327">
        <v>1.7933333330000001</v>
      </c>
      <c r="AK327">
        <v>8.1805769230000003</v>
      </c>
      <c r="AL327">
        <v>1.4E-2</v>
      </c>
      <c r="AM327">
        <v>6.3E-2</v>
      </c>
      <c r="AN327">
        <v>0.90900000000000003</v>
      </c>
    </row>
    <row r="328" spans="1:40">
      <c r="A328">
        <v>2396</v>
      </c>
      <c r="B328" t="s">
        <v>705</v>
      </c>
      <c r="C328" t="s">
        <v>696</v>
      </c>
      <c r="D328" t="s">
        <v>697</v>
      </c>
      <c r="E328">
        <v>501</v>
      </c>
      <c r="F328">
        <v>1508</v>
      </c>
      <c r="G328">
        <v>100.9362805</v>
      </c>
      <c r="H328">
        <v>80</v>
      </c>
      <c r="I328">
        <v>0.15777545600000001</v>
      </c>
      <c r="J328">
        <v>1588</v>
      </c>
      <c r="K328">
        <v>10064.93684</v>
      </c>
      <c r="L328">
        <v>0.80700000000000005</v>
      </c>
      <c r="M328">
        <v>0.13769363200000001</v>
      </c>
      <c r="N328">
        <v>0</v>
      </c>
      <c r="O328" t="s">
        <v>620</v>
      </c>
      <c r="P328">
        <f t="shared" si="38"/>
        <v>10.215794389999999</v>
      </c>
      <c r="Q328">
        <f t="shared" si="39"/>
        <v>2.5000000000000001E-2</v>
      </c>
      <c r="R328">
        <f t="shared" si="40"/>
        <v>1.9E-2</v>
      </c>
      <c r="S328">
        <f t="shared" si="41"/>
        <v>0.80700000000000005</v>
      </c>
      <c r="T328">
        <f t="shared" si="42"/>
        <v>2.622142857</v>
      </c>
      <c r="U328">
        <f t="shared" si="43"/>
        <v>6.1754561099999998</v>
      </c>
      <c r="V328">
        <f t="shared" si="44"/>
        <v>7.6999999999999999E-2</v>
      </c>
      <c r="W328">
        <f t="shared" si="45"/>
        <v>8.5000000000000006E-2</v>
      </c>
      <c r="X328">
        <f t="shared" si="46"/>
        <v>0.82299999999999995</v>
      </c>
      <c r="Y328">
        <v>97.708645790000006</v>
      </c>
      <c r="Z328">
        <v>0</v>
      </c>
      <c r="AA328">
        <v>152832</v>
      </c>
      <c r="AB328">
        <v>45686</v>
      </c>
      <c r="AC328">
        <v>2.1596295000000001E-2</v>
      </c>
      <c r="AD328">
        <v>0.84212384500000004</v>
      </c>
      <c r="AF328">
        <v>10.215794389999999</v>
      </c>
      <c r="AG328">
        <v>2.5000000000000001E-2</v>
      </c>
      <c r="AH328">
        <v>1.9E-2</v>
      </c>
      <c r="AI328">
        <v>0.80700000000000005</v>
      </c>
      <c r="AJ328">
        <v>2.622142857</v>
      </c>
      <c r="AK328">
        <v>6.1754561099999998</v>
      </c>
      <c r="AL328">
        <v>7.6999999999999999E-2</v>
      </c>
      <c r="AM328">
        <v>8.5000000000000006E-2</v>
      </c>
      <c r="AN328">
        <v>0.82299999999999995</v>
      </c>
    </row>
    <row r="329" spans="1:40">
      <c r="A329">
        <v>2397</v>
      </c>
      <c r="B329" t="s">
        <v>683</v>
      </c>
      <c r="C329" t="s">
        <v>684</v>
      </c>
      <c r="D329" t="s">
        <v>685</v>
      </c>
      <c r="E329">
        <v>968</v>
      </c>
      <c r="F329">
        <v>2718</v>
      </c>
      <c r="G329">
        <v>175.89344009999999</v>
      </c>
      <c r="H329">
        <v>237</v>
      </c>
      <c r="I329">
        <v>0.27493591499999998</v>
      </c>
      <c r="J329">
        <v>2955</v>
      </c>
      <c r="K329">
        <v>10747.959210000001</v>
      </c>
      <c r="L329">
        <v>0.86</v>
      </c>
      <c r="M329">
        <v>0.19668049800000001</v>
      </c>
      <c r="N329">
        <v>0</v>
      </c>
      <c r="O329" t="s">
        <v>620</v>
      </c>
      <c r="P329">
        <f t="shared" si="38"/>
        <v>13.727761190000001</v>
      </c>
      <c r="Q329">
        <f t="shared" si="39"/>
        <v>1.9E-2</v>
      </c>
      <c r="R329">
        <f t="shared" si="40"/>
        <v>2.3E-2</v>
      </c>
      <c r="S329">
        <f t="shared" si="41"/>
        <v>0.86</v>
      </c>
      <c r="T329">
        <f t="shared" si="42"/>
        <v>2.4508333329999998</v>
      </c>
      <c r="U329">
        <f t="shared" si="43"/>
        <v>7.524020062</v>
      </c>
      <c r="V329">
        <f t="shared" si="44"/>
        <v>5.1999999999999998E-2</v>
      </c>
      <c r="W329">
        <f t="shared" si="45"/>
        <v>3.9E-2</v>
      </c>
      <c r="X329">
        <f t="shared" si="46"/>
        <v>0.878</v>
      </c>
      <c r="Y329">
        <v>121.3160891</v>
      </c>
      <c r="Z329">
        <v>0</v>
      </c>
      <c r="AA329">
        <v>75370</v>
      </c>
      <c r="AB329">
        <v>21403</v>
      </c>
      <c r="AC329">
        <v>2.4597187E-2</v>
      </c>
      <c r="AD329">
        <v>0.84342094400000001</v>
      </c>
      <c r="AF329">
        <v>13.727761190000001</v>
      </c>
      <c r="AG329">
        <v>1.9E-2</v>
      </c>
      <c r="AH329">
        <v>2.3E-2</v>
      </c>
      <c r="AI329">
        <v>0.86</v>
      </c>
      <c r="AJ329">
        <v>2.4508333329999998</v>
      </c>
      <c r="AK329">
        <v>7.524020062</v>
      </c>
      <c r="AL329">
        <v>5.1999999999999998E-2</v>
      </c>
      <c r="AM329">
        <v>3.9E-2</v>
      </c>
      <c r="AN329">
        <v>0.878</v>
      </c>
    </row>
    <row r="330" spans="1:40">
      <c r="A330">
        <v>2398</v>
      </c>
      <c r="B330" t="s">
        <v>683</v>
      </c>
      <c r="C330" t="s">
        <v>684</v>
      </c>
      <c r="D330" t="s">
        <v>685</v>
      </c>
      <c r="E330">
        <v>353</v>
      </c>
      <c r="F330">
        <v>1340</v>
      </c>
      <c r="G330">
        <v>39.22605557</v>
      </c>
      <c r="H330">
        <v>6</v>
      </c>
      <c r="I330">
        <v>6.1310117999999997E-2</v>
      </c>
      <c r="J330">
        <v>1346</v>
      </c>
      <c r="K330">
        <v>21953.96199</v>
      </c>
      <c r="L330">
        <v>0.83099999999999996</v>
      </c>
      <c r="M330">
        <v>1.6713091999999999E-2</v>
      </c>
      <c r="N330">
        <v>0</v>
      </c>
      <c r="O330" t="s">
        <v>620</v>
      </c>
      <c r="P330">
        <f t="shared" si="38"/>
        <v>13.445268820000001</v>
      </c>
      <c r="Q330">
        <f t="shared" si="39"/>
        <v>1.4999999999999999E-2</v>
      </c>
      <c r="R330">
        <f t="shared" si="40"/>
        <v>1.0999999999999999E-2</v>
      </c>
      <c r="S330">
        <f t="shared" si="41"/>
        <v>0.83099999999999996</v>
      </c>
      <c r="T330">
        <f t="shared" si="42"/>
        <v>0.63500000000000001</v>
      </c>
      <c r="U330">
        <f t="shared" si="43"/>
        <v>7.0732191780000004</v>
      </c>
      <c r="V330">
        <f t="shared" si="44"/>
        <v>3.4119999999999984E-2</v>
      </c>
      <c r="W330">
        <f t="shared" si="45"/>
        <v>5.8999999999999997E-2</v>
      </c>
      <c r="X330">
        <f t="shared" si="46"/>
        <v>0.92100000000000004</v>
      </c>
      <c r="Y330">
        <v>319.67823299999998</v>
      </c>
      <c r="Z330">
        <v>0</v>
      </c>
      <c r="AA330">
        <v>75370</v>
      </c>
      <c r="AB330">
        <v>21403</v>
      </c>
      <c r="AC330">
        <v>2.4597187E-2</v>
      </c>
      <c r="AD330">
        <v>0.84342094400000001</v>
      </c>
      <c r="AF330">
        <v>13.445268820000001</v>
      </c>
      <c r="AG330">
        <v>1.4999999999999999E-2</v>
      </c>
      <c r="AH330">
        <v>1.0999999999999999E-2</v>
      </c>
      <c r="AI330">
        <v>0.83099999999999996</v>
      </c>
      <c r="AJ330">
        <v>0.63500000000000001</v>
      </c>
      <c r="AK330">
        <v>7.0732191780000004</v>
      </c>
      <c r="AL330">
        <v>0</v>
      </c>
      <c r="AM330">
        <v>5.8999999999999997E-2</v>
      </c>
      <c r="AN330">
        <v>0.92100000000000004</v>
      </c>
    </row>
    <row r="331" spans="1:40">
      <c r="A331">
        <v>2399</v>
      </c>
      <c r="B331" t="s">
        <v>705</v>
      </c>
      <c r="C331" t="s">
        <v>696</v>
      </c>
      <c r="D331" t="s">
        <v>697</v>
      </c>
      <c r="E331">
        <v>290</v>
      </c>
      <c r="F331">
        <v>1276</v>
      </c>
      <c r="G331">
        <v>64.611899739999998</v>
      </c>
      <c r="H331">
        <v>10</v>
      </c>
      <c r="I331">
        <v>0.10099517399999999</v>
      </c>
      <c r="J331">
        <v>1286</v>
      </c>
      <c r="K331">
        <v>12733.28169</v>
      </c>
      <c r="L331">
        <v>0.81</v>
      </c>
      <c r="M331">
        <v>3.3333333E-2</v>
      </c>
      <c r="N331">
        <v>0</v>
      </c>
      <c r="O331" t="s">
        <v>620</v>
      </c>
      <c r="P331">
        <f t="shared" si="38"/>
        <v>13.40887324</v>
      </c>
      <c r="Q331">
        <f t="shared" si="39"/>
        <v>0.03</v>
      </c>
      <c r="R331">
        <f t="shared" si="40"/>
        <v>2.5999999999999999E-2</v>
      </c>
      <c r="S331">
        <f t="shared" si="41"/>
        <v>0.81</v>
      </c>
      <c r="T331">
        <f t="shared" si="42"/>
        <v>1.7138888889999999</v>
      </c>
      <c r="U331">
        <f t="shared" si="43"/>
        <v>6.7229097610000004</v>
      </c>
      <c r="V331">
        <f t="shared" si="44"/>
        <v>2.3E-2</v>
      </c>
      <c r="W331">
        <f t="shared" si="45"/>
        <v>0.13800000000000001</v>
      </c>
      <c r="X331">
        <f t="shared" si="46"/>
        <v>0.81599999999999995</v>
      </c>
      <c r="Y331">
        <v>92.580371760000006</v>
      </c>
      <c r="Z331">
        <v>0</v>
      </c>
      <c r="AA331">
        <v>152832</v>
      </c>
      <c r="AB331">
        <v>45686</v>
      </c>
      <c r="AC331">
        <v>2.1596295000000001E-2</v>
      </c>
      <c r="AD331">
        <v>0.84212384500000004</v>
      </c>
      <c r="AF331">
        <v>13.40887324</v>
      </c>
      <c r="AG331">
        <v>0.03</v>
      </c>
      <c r="AH331">
        <v>2.5999999999999999E-2</v>
      </c>
      <c r="AI331">
        <v>0.81</v>
      </c>
      <c r="AJ331">
        <v>1.7138888889999999</v>
      </c>
      <c r="AK331">
        <v>6.7229097610000004</v>
      </c>
      <c r="AL331">
        <v>2.3E-2</v>
      </c>
      <c r="AM331">
        <v>0.13800000000000001</v>
      </c>
      <c r="AN331">
        <v>0.81599999999999995</v>
      </c>
    </row>
    <row r="332" spans="1:40">
      <c r="A332">
        <v>2400</v>
      </c>
      <c r="B332" t="s">
        <v>705</v>
      </c>
      <c r="C332" t="s">
        <v>696</v>
      </c>
      <c r="D332" t="s">
        <v>697</v>
      </c>
      <c r="E332">
        <v>252</v>
      </c>
      <c r="F332">
        <v>897</v>
      </c>
      <c r="G332">
        <v>70.164856549999996</v>
      </c>
      <c r="H332">
        <v>415</v>
      </c>
      <c r="I332">
        <v>0.10968101199999999</v>
      </c>
      <c r="J332">
        <v>1312</v>
      </c>
      <c r="K332">
        <v>11961.96111</v>
      </c>
      <c r="L332">
        <v>0.88300000000000001</v>
      </c>
      <c r="M332">
        <v>0.62218890599999999</v>
      </c>
      <c r="N332">
        <v>0</v>
      </c>
      <c r="O332" t="s">
        <v>620</v>
      </c>
      <c r="P332">
        <f t="shared" ref="P332:P395" si="47">IF(OR(IFERROR(AF332=0,TRUE),ISERROR(AF332)),AVERAGEIFS(AF:AF,$B:$B,$B332,AF:AF,"&gt;0"),AF332)</f>
        <v>12.308986490000001</v>
      </c>
      <c r="Q332">
        <f t="shared" ref="Q332:Q395" si="48">IF(OR(IFERROR(AG332=0,TRUE),ISERROR(AG332)),AVERAGEIFS(AG:AG,$B:$B,$B332,AG:AG,"&gt;0"),AG332)</f>
        <v>0.01</v>
      </c>
      <c r="R332">
        <f t="shared" ref="R332:R395" si="49">IF(OR(IFERROR(AH332=0,TRUE),ISERROR(AH332)),AVERAGEIFS(AH:AH,$B:$B,$B332,AH:AH,"&gt;0"),AH332)</f>
        <v>1.6E-2</v>
      </c>
      <c r="S332">
        <f t="shared" ref="S332:S395" si="50">IF(OR(IFERROR(AI332=0,TRUE),ISERROR(AI332)),AVERAGEIFS(AI:AI,$B:$B,$B332,AI:AI,"&gt;0"),AI332)</f>
        <v>0.88300000000000001</v>
      </c>
      <c r="T332">
        <f t="shared" ref="T332:T395" si="51">IF(OR(IFERROR(AJ332=0,TRUE),ISERROR(AJ332)),AVERAGEIFS(AJ:AJ,$B:$B,$B332,AJ:AJ,"&gt;0"),AJ332)</f>
        <v>1.845238095</v>
      </c>
      <c r="U332">
        <f t="shared" ref="U332:U395" si="52">IF(OR(IFERROR(AK332=0,TRUE),ISERROR(AK332)),AVERAGEIFS(AK:AK,$B:$B,$B332,AK:AK,"&gt;0"),AK332)</f>
        <v>6.6960645159999999</v>
      </c>
      <c r="V332">
        <f t="shared" ref="V332:V395" si="53">IF(OR(IFERROR(AL332=0,TRUE),ISERROR(AL332)),AVERAGEIFS(AL:AL,$B:$B,$B332,AL:AL,"&gt;0"),AL332)</f>
        <v>2.4E-2</v>
      </c>
      <c r="W332">
        <f t="shared" ref="W332:W395" si="54">IF(OR(IFERROR(AM332=0,TRUE),ISERROR(AM332)),AVERAGEIFS(AM:AM,$B:$B,$B332,AM:AM,"&gt;0"),AM332)</f>
        <v>5.5E-2</v>
      </c>
      <c r="X332">
        <f t="shared" ref="X332:X395" si="55">IF(OR(IFERROR(AN332=0,TRUE),ISERROR(AN332)),AVERAGEIFS(AN:AN,$B:$B,$B332,AN:AN,"&gt;0"),AN332)</f>
        <v>0.89700000000000002</v>
      </c>
      <c r="Y332">
        <v>123.28218560000001</v>
      </c>
      <c r="Z332">
        <v>0</v>
      </c>
      <c r="AA332">
        <v>152832</v>
      </c>
      <c r="AB332">
        <v>45686</v>
      </c>
      <c r="AC332">
        <v>2.1596295000000001E-2</v>
      </c>
      <c r="AD332">
        <v>0.84212384500000004</v>
      </c>
      <c r="AF332">
        <v>12.308986490000001</v>
      </c>
      <c r="AG332">
        <v>0.01</v>
      </c>
      <c r="AH332">
        <v>1.6E-2</v>
      </c>
      <c r="AI332">
        <v>0.88300000000000001</v>
      </c>
      <c r="AJ332">
        <v>1.845238095</v>
      </c>
      <c r="AK332">
        <v>6.6960645159999999</v>
      </c>
      <c r="AL332">
        <v>2.4E-2</v>
      </c>
      <c r="AM332">
        <v>5.5E-2</v>
      </c>
      <c r="AN332">
        <v>0.89700000000000002</v>
      </c>
    </row>
    <row r="333" spans="1:40">
      <c r="A333">
        <v>2401</v>
      </c>
      <c r="B333" t="s">
        <v>691</v>
      </c>
      <c r="C333" t="s">
        <v>684</v>
      </c>
      <c r="D333" t="s">
        <v>685</v>
      </c>
      <c r="E333">
        <v>468</v>
      </c>
      <c r="F333">
        <v>1510</v>
      </c>
      <c r="G333">
        <v>145.61589609999999</v>
      </c>
      <c r="H333">
        <v>307</v>
      </c>
      <c r="I333">
        <v>0.22760883000000001</v>
      </c>
      <c r="J333">
        <v>1817</v>
      </c>
      <c r="K333">
        <v>7982.9943329999996</v>
      </c>
      <c r="L333">
        <v>0.86</v>
      </c>
      <c r="M333">
        <v>0.39612903199999999</v>
      </c>
      <c r="N333">
        <v>0</v>
      </c>
      <c r="O333" t="s">
        <v>620</v>
      </c>
      <c r="P333">
        <f t="shared" si="47"/>
        <v>14.3188587</v>
      </c>
      <c r="Q333">
        <f t="shared" si="48"/>
        <v>1.7999999999999999E-2</v>
      </c>
      <c r="R333">
        <f t="shared" si="49"/>
        <v>1.2999999999999999E-2</v>
      </c>
      <c r="S333">
        <f t="shared" si="50"/>
        <v>0.86</v>
      </c>
      <c r="T333">
        <f t="shared" si="51"/>
        <v>2.1274999999999999</v>
      </c>
      <c r="U333">
        <f t="shared" si="52"/>
        <v>6.141480778</v>
      </c>
      <c r="V333">
        <f t="shared" si="53"/>
        <v>0.02</v>
      </c>
      <c r="W333">
        <f t="shared" si="54"/>
        <v>3.5999999999999997E-2</v>
      </c>
      <c r="X333">
        <f t="shared" si="55"/>
        <v>0.93400000000000005</v>
      </c>
      <c r="Y333">
        <v>118.742761</v>
      </c>
      <c r="Z333">
        <v>0</v>
      </c>
      <c r="AA333">
        <v>236250</v>
      </c>
      <c r="AB333">
        <v>76158</v>
      </c>
      <c r="AC333">
        <v>1.7652984E-2</v>
      </c>
      <c r="AD333">
        <v>0.84750225300000004</v>
      </c>
      <c r="AF333">
        <v>14.3188587</v>
      </c>
      <c r="AG333">
        <v>1.7999999999999999E-2</v>
      </c>
      <c r="AH333">
        <v>1.2999999999999999E-2</v>
      </c>
      <c r="AI333">
        <v>0.86</v>
      </c>
      <c r="AJ333">
        <v>2.1274999999999999</v>
      </c>
      <c r="AK333">
        <v>6.141480778</v>
      </c>
      <c r="AL333">
        <v>0.02</v>
      </c>
      <c r="AM333">
        <v>3.5999999999999997E-2</v>
      </c>
      <c r="AN333">
        <v>0.93400000000000005</v>
      </c>
    </row>
    <row r="334" spans="1:40">
      <c r="A334">
        <v>2402</v>
      </c>
      <c r="B334" t="s">
        <v>691</v>
      </c>
      <c r="C334" t="s">
        <v>684</v>
      </c>
      <c r="D334" t="s">
        <v>685</v>
      </c>
      <c r="E334">
        <v>777</v>
      </c>
      <c r="F334">
        <v>2486</v>
      </c>
      <c r="G334">
        <v>171.97844599999999</v>
      </c>
      <c r="H334">
        <v>158</v>
      </c>
      <c r="I334">
        <v>0.26882060400000002</v>
      </c>
      <c r="J334">
        <v>2644</v>
      </c>
      <c r="K334">
        <v>9835.5556109999998</v>
      </c>
      <c r="L334">
        <v>0.83699999999999997</v>
      </c>
      <c r="M334">
        <v>0.16898395699999999</v>
      </c>
      <c r="N334">
        <v>0</v>
      </c>
      <c r="O334" t="s">
        <v>620</v>
      </c>
      <c r="P334">
        <f t="shared" si="47"/>
        <v>13.488125</v>
      </c>
      <c r="Q334">
        <f t="shared" si="48"/>
        <v>3.2000000000000001E-2</v>
      </c>
      <c r="R334">
        <f t="shared" si="49"/>
        <v>0.01</v>
      </c>
      <c r="S334">
        <f t="shared" si="50"/>
        <v>0.83699999999999997</v>
      </c>
      <c r="T334">
        <f t="shared" si="51"/>
        <v>2.2719999999999998</v>
      </c>
      <c r="U334">
        <f t="shared" si="52"/>
        <v>6.947710163</v>
      </c>
      <c r="V334">
        <f t="shared" si="53"/>
        <v>3.5151315789473656E-2</v>
      </c>
      <c r="W334">
        <f t="shared" si="54"/>
        <v>7.3999999999999996E-2</v>
      </c>
      <c r="X334">
        <f t="shared" si="55"/>
        <v>0.89200000000000002</v>
      </c>
      <c r="Y334">
        <v>203.16635729999999</v>
      </c>
      <c r="Z334">
        <v>0</v>
      </c>
      <c r="AA334">
        <v>236250</v>
      </c>
      <c r="AB334">
        <v>76158</v>
      </c>
      <c r="AC334">
        <v>1.7652984E-2</v>
      </c>
      <c r="AD334">
        <v>0.84750225300000004</v>
      </c>
      <c r="AF334">
        <v>13.488125</v>
      </c>
      <c r="AG334">
        <v>3.2000000000000001E-2</v>
      </c>
      <c r="AH334">
        <v>0.01</v>
      </c>
      <c r="AI334">
        <v>0.83699999999999997</v>
      </c>
      <c r="AJ334">
        <v>2.2719999999999998</v>
      </c>
      <c r="AK334">
        <v>6.947710163</v>
      </c>
      <c r="AL334">
        <v>0</v>
      </c>
      <c r="AM334">
        <v>7.3999999999999996E-2</v>
      </c>
      <c r="AN334">
        <v>0.89200000000000002</v>
      </c>
    </row>
    <row r="335" spans="1:40">
      <c r="A335">
        <v>2403</v>
      </c>
      <c r="B335" t="s">
        <v>683</v>
      </c>
      <c r="C335" t="s">
        <v>684</v>
      </c>
      <c r="D335" t="s">
        <v>685</v>
      </c>
      <c r="E335">
        <v>448</v>
      </c>
      <c r="F335">
        <v>1420</v>
      </c>
      <c r="G335">
        <v>42.348422169999999</v>
      </c>
      <c r="H335">
        <v>37</v>
      </c>
      <c r="I335">
        <v>6.6195538999999998E-2</v>
      </c>
      <c r="J335">
        <v>1457</v>
      </c>
      <c r="K335">
        <v>22010.54666</v>
      </c>
      <c r="L335">
        <v>0.78200000000000003</v>
      </c>
      <c r="M335">
        <v>7.6288659999999994E-2</v>
      </c>
      <c r="N335">
        <v>1</v>
      </c>
      <c r="O335" t="s">
        <v>620</v>
      </c>
      <c r="P335">
        <f t="shared" si="47"/>
        <v>11.2859</v>
      </c>
      <c r="Q335">
        <f t="shared" si="48"/>
        <v>3.1E-2</v>
      </c>
      <c r="R335">
        <f t="shared" si="49"/>
        <v>1.4E-2</v>
      </c>
      <c r="S335">
        <f t="shared" si="50"/>
        <v>0.78200000000000003</v>
      </c>
      <c r="T335">
        <f t="shared" si="51"/>
        <v>1.869166667</v>
      </c>
      <c r="U335">
        <f t="shared" si="52"/>
        <v>6.2916029409999998</v>
      </c>
      <c r="V335">
        <f t="shared" si="53"/>
        <v>2.4E-2</v>
      </c>
      <c r="W335">
        <f t="shared" si="54"/>
        <v>0.111</v>
      </c>
      <c r="X335">
        <f t="shared" si="55"/>
        <v>0.79400000000000004</v>
      </c>
      <c r="Y335">
        <v>144.10582819999999</v>
      </c>
      <c r="Z335">
        <v>0</v>
      </c>
      <c r="AA335">
        <v>75370</v>
      </c>
      <c r="AB335">
        <v>21403</v>
      </c>
      <c r="AC335">
        <v>2.4597187E-2</v>
      </c>
      <c r="AD335">
        <v>0.84342094400000001</v>
      </c>
      <c r="AF335">
        <v>11.2859</v>
      </c>
      <c r="AG335">
        <v>3.1E-2</v>
      </c>
      <c r="AH335">
        <v>1.4E-2</v>
      </c>
      <c r="AI335">
        <v>0.78200000000000003</v>
      </c>
      <c r="AJ335">
        <v>1.869166667</v>
      </c>
      <c r="AK335">
        <v>6.2916029409999998</v>
      </c>
      <c r="AL335">
        <v>2.4E-2</v>
      </c>
      <c r="AM335">
        <v>0.111</v>
      </c>
      <c r="AN335">
        <v>0.79400000000000004</v>
      </c>
    </row>
    <row r="336" spans="1:40">
      <c r="A336">
        <v>2404</v>
      </c>
      <c r="B336" t="s">
        <v>692</v>
      </c>
      <c r="C336" t="s">
        <v>693</v>
      </c>
      <c r="D336" t="s">
        <v>694</v>
      </c>
      <c r="E336">
        <v>512</v>
      </c>
      <c r="F336">
        <v>1365</v>
      </c>
      <c r="G336">
        <v>158.89517960000001</v>
      </c>
      <c r="H336">
        <v>55</v>
      </c>
      <c r="I336">
        <v>0.24837382899999999</v>
      </c>
      <c r="J336">
        <v>1420</v>
      </c>
      <c r="K336">
        <v>5717.1885050000001</v>
      </c>
      <c r="L336">
        <v>0.75900000000000001</v>
      </c>
      <c r="M336">
        <v>9.7001764000000004E-2</v>
      </c>
      <c r="N336">
        <v>0</v>
      </c>
      <c r="O336" t="s">
        <v>620</v>
      </c>
      <c r="P336">
        <f t="shared" si="47"/>
        <v>17.470352940000001</v>
      </c>
      <c r="Q336">
        <f t="shared" si="48"/>
        <v>7.0000000000000001E-3</v>
      </c>
      <c r="R336">
        <f t="shared" si="49"/>
        <v>1.0999999999999999E-2</v>
      </c>
      <c r="S336">
        <f t="shared" si="50"/>
        <v>0.75900000000000001</v>
      </c>
      <c r="T336">
        <f t="shared" si="51"/>
        <v>2.28125</v>
      </c>
      <c r="U336">
        <f t="shared" si="52"/>
        <v>8.4457707509999995</v>
      </c>
      <c r="V336">
        <f t="shared" si="53"/>
        <v>4.1084210526315765E-2</v>
      </c>
      <c r="W336">
        <f t="shared" si="54"/>
        <v>4.4999999999999998E-2</v>
      </c>
      <c r="X336">
        <f t="shared" si="55"/>
        <v>0.95499999999999996</v>
      </c>
      <c r="Y336">
        <v>132.08015789999999</v>
      </c>
      <c r="Z336">
        <v>0</v>
      </c>
      <c r="AA336">
        <v>77808</v>
      </c>
      <c r="AB336">
        <v>27489</v>
      </c>
      <c r="AC336">
        <v>1.1225541E-2</v>
      </c>
      <c r="AD336">
        <v>0.835708267</v>
      </c>
      <c r="AF336">
        <v>17.470352940000001</v>
      </c>
      <c r="AG336">
        <v>7.0000000000000001E-3</v>
      </c>
      <c r="AH336">
        <v>1.0999999999999999E-2</v>
      </c>
      <c r="AI336">
        <v>0.75900000000000001</v>
      </c>
      <c r="AJ336">
        <v>2.28125</v>
      </c>
      <c r="AK336">
        <v>8.4457707509999995</v>
      </c>
      <c r="AL336">
        <v>0</v>
      </c>
      <c r="AM336">
        <v>4.4999999999999998E-2</v>
      </c>
      <c r="AN336">
        <v>0.95499999999999996</v>
      </c>
    </row>
    <row r="337" spans="1:40">
      <c r="A337">
        <v>2405</v>
      </c>
      <c r="B337" t="s">
        <v>690</v>
      </c>
      <c r="C337" t="s">
        <v>687</v>
      </c>
      <c r="D337" t="s">
        <v>688</v>
      </c>
      <c r="E337">
        <v>499</v>
      </c>
      <c r="F337">
        <v>1160</v>
      </c>
      <c r="G337">
        <v>71.390424479999993</v>
      </c>
      <c r="H337">
        <v>259</v>
      </c>
      <c r="I337">
        <v>0.111596029</v>
      </c>
      <c r="J337">
        <v>1419</v>
      </c>
      <c r="K337">
        <v>12715.50621</v>
      </c>
      <c r="L337">
        <v>0.74299999999999999</v>
      </c>
      <c r="M337">
        <v>0.34168865399999998</v>
      </c>
      <c r="N337">
        <v>0</v>
      </c>
      <c r="O337" t="s">
        <v>613</v>
      </c>
      <c r="P337">
        <f t="shared" si="47"/>
        <v>10.23495868</v>
      </c>
      <c r="Q337">
        <f t="shared" si="48"/>
        <v>0.05</v>
      </c>
      <c r="R337">
        <f t="shared" si="49"/>
        <v>2.4E-2</v>
      </c>
      <c r="S337">
        <f t="shared" si="50"/>
        <v>0.74299999999999999</v>
      </c>
      <c r="T337">
        <f t="shared" si="51"/>
        <v>2.0757692310000002</v>
      </c>
      <c r="U337">
        <f t="shared" si="52"/>
        <v>6.0728589910000004</v>
      </c>
      <c r="V337">
        <f t="shared" si="53"/>
        <v>3.5000000000000003E-2</v>
      </c>
      <c r="W337">
        <f t="shared" si="54"/>
        <v>0.20599999999999999</v>
      </c>
      <c r="X337">
        <f t="shared" si="55"/>
        <v>0.71199999999999997</v>
      </c>
      <c r="Y337">
        <v>176.1186878</v>
      </c>
      <c r="Z337">
        <v>0</v>
      </c>
      <c r="AA337">
        <v>82284</v>
      </c>
      <c r="AB337">
        <v>32030</v>
      </c>
      <c r="AC337">
        <v>4.7570397E-2</v>
      </c>
      <c r="AD337">
        <v>0.78974696300000002</v>
      </c>
      <c r="AF337">
        <v>10.23495868</v>
      </c>
      <c r="AG337">
        <v>0.05</v>
      </c>
      <c r="AH337">
        <v>2.4E-2</v>
      </c>
      <c r="AI337">
        <v>0.74299999999999999</v>
      </c>
      <c r="AJ337">
        <v>2.0757692310000002</v>
      </c>
      <c r="AK337">
        <v>6.0728589910000004</v>
      </c>
      <c r="AL337">
        <v>3.5000000000000003E-2</v>
      </c>
      <c r="AM337">
        <v>0.20599999999999999</v>
      </c>
      <c r="AN337">
        <v>0.71199999999999997</v>
      </c>
    </row>
    <row r="338" spans="1:40">
      <c r="A338">
        <v>2406</v>
      </c>
      <c r="B338" t="s">
        <v>690</v>
      </c>
      <c r="C338" t="s">
        <v>687</v>
      </c>
      <c r="D338" t="s">
        <v>688</v>
      </c>
      <c r="E338">
        <v>310</v>
      </c>
      <c r="F338">
        <v>736</v>
      </c>
      <c r="G338">
        <v>27.34165264</v>
      </c>
      <c r="H338">
        <v>120</v>
      </c>
      <c r="I338">
        <v>4.2737226000000003E-2</v>
      </c>
      <c r="J338">
        <v>856</v>
      </c>
      <c r="K338">
        <v>20029.37673</v>
      </c>
      <c r="L338">
        <v>0.72499999999999998</v>
      </c>
      <c r="M338">
        <v>0.27906976700000002</v>
      </c>
      <c r="N338">
        <v>0</v>
      </c>
      <c r="O338" t="s">
        <v>613</v>
      </c>
      <c r="P338">
        <f t="shared" si="47"/>
        <v>10.21325581</v>
      </c>
      <c r="Q338">
        <f t="shared" si="48"/>
        <v>6.6000000000000003E-2</v>
      </c>
      <c r="R338">
        <f t="shared" si="49"/>
        <v>1.7999999999999999E-2</v>
      </c>
      <c r="S338">
        <f t="shared" si="50"/>
        <v>0.72499999999999998</v>
      </c>
      <c r="T338">
        <f t="shared" si="51"/>
        <v>2.012</v>
      </c>
      <c r="U338">
        <f t="shared" si="52"/>
        <v>7.2999498750000003</v>
      </c>
      <c r="V338">
        <f t="shared" si="53"/>
        <v>1.7000000000000001E-2</v>
      </c>
      <c r="W338">
        <f t="shared" si="54"/>
        <v>0.188</v>
      </c>
      <c r="X338">
        <f t="shared" si="55"/>
        <v>0.73499999999999999</v>
      </c>
      <c r="Y338">
        <v>202.1810897</v>
      </c>
      <c r="Z338">
        <v>0</v>
      </c>
      <c r="AA338">
        <v>82284</v>
      </c>
      <c r="AB338">
        <v>32030</v>
      </c>
      <c r="AC338">
        <v>4.7570397E-2</v>
      </c>
      <c r="AD338">
        <v>0.78974696300000002</v>
      </c>
      <c r="AF338">
        <v>10.21325581</v>
      </c>
      <c r="AG338">
        <v>6.6000000000000003E-2</v>
      </c>
      <c r="AH338">
        <v>1.7999999999999999E-2</v>
      </c>
      <c r="AI338">
        <v>0.72499999999999998</v>
      </c>
      <c r="AJ338">
        <v>2.012</v>
      </c>
      <c r="AK338">
        <v>7.2999498750000003</v>
      </c>
      <c r="AL338">
        <v>1.7000000000000001E-2</v>
      </c>
      <c r="AM338">
        <v>0.188</v>
      </c>
      <c r="AN338">
        <v>0.73499999999999999</v>
      </c>
    </row>
    <row r="339" spans="1:40">
      <c r="A339">
        <v>2407</v>
      </c>
      <c r="B339" t="s">
        <v>690</v>
      </c>
      <c r="C339" t="s">
        <v>687</v>
      </c>
      <c r="D339" t="s">
        <v>688</v>
      </c>
      <c r="E339">
        <v>1028</v>
      </c>
      <c r="F339">
        <v>2471</v>
      </c>
      <c r="G339">
        <v>74.470426209999999</v>
      </c>
      <c r="H339">
        <v>650</v>
      </c>
      <c r="I339">
        <v>0.11640144400000001</v>
      </c>
      <c r="J339">
        <v>3121</v>
      </c>
      <c r="K339">
        <v>26812.382160000001</v>
      </c>
      <c r="L339">
        <v>0.71299999999999997</v>
      </c>
      <c r="M339">
        <v>0.38736591199999998</v>
      </c>
      <c r="N339">
        <v>0</v>
      </c>
      <c r="O339" t="s">
        <v>613</v>
      </c>
      <c r="P339">
        <f t="shared" si="47"/>
        <v>13.60118421</v>
      </c>
      <c r="Q339">
        <f t="shared" si="48"/>
        <v>8.5999999999999993E-2</v>
      </c>
      <c r="R339">
        <f t="shared" si="49"/>
        <v>3.1E-2</v>
      </c>
      <c r="S339">
        <f t="shared" si="50"/>
        <v>0.71299999999999997</v>
      </c>
      <c r="T339">
        <f t="shared" si="51"/>
        <v>2.268421053</v>
      </c>
      <c r="U339">
        <f t="shared" si="52"/>
        <v>7.5163058820000002</v>
      </c>
      <c r="V339">
        <f t="shared" si="53"/>
        <v>5.8999999999999997E-2</v>
      </c>
      <c r="W339">
        <f t="shared" si="54"/>
        <v>0.22800000000000001</v>
      </c>
      <c r="X339">
        <f t="shared" si="55"/>
        <v>0.66700000000000004</v>
      </c>
      <c r="Y339">
        <v>63.341461610000003</v>
      </c>
      <c r="Z339">
        <v>0</v>
      </c>
      <c r="AA339">
        <v>82284</v>
      </c>
      <c r="AB339">
        <v>32030</v>
      </c>
      <c r="AC339">
        <v>4.7570397E-2</v>
      </c>
      <c r="AD339">
        <v>0.78974696300000002</v>
      </c>
      <c r="AF339">
        <v>13.60118421</v>
      </c>
      <c r="AG339">
        <v>8.5999999999999993E-2</v>
      </c>
      <c r="AH339">
        <v>3.1E-2</v>
      </c>
      <c r="AI339">
        <v>0.71299999999999997</v>
      </c>
      <c r="AJ339">
        <v>2.268421053</v>
      </c>
      <c r="AK339">
        <v>7.5163058820000002</v>
      </c>
      <c r="AL339">
        <v>5.8999999999999997E-2</v>
      </c>
      <c r="AM339">
        <v>0.22800000000000001</v>
      </c>
      <c r="AN339">
        <v>0.66700000000000004</v>
      </c>
    </row>
    <row r="340" spans="1:40">
      <c r="A340">
        <v>2408</v>
      </c>
      <c r="B340" t="s">
        <v>690</v>
      </c>
      <c r="C340" t="s">
        <v>687</v>
      </c>
      <c r="D340" t="s">
        <v>688</v>
      </c>
      <c r="E340">
        <v>327</v>
      </c>
      <c r="F340">
        <v>717</v>
      </c>
      <c r="G340">
        <v>97.988896859999997</v>
      </c>
      <c r="H340">
        <v>238</v>
      </c>
      <c r="I340">
        <v>0.15317341000000001</v>
      </c>
      <c r="J340">
        <v>955</v>
      </c>
      <c r="K340">
        <v>6234.7635920000002</v>
      </c>
      <c r="L340">
        <v>0.79100000000000004</v>
      </c>
      <c r="M340">
        <v>0.42123893800000001</v>
      </c>
      <c r="N340">
        <v>0</v>
      </c>
      <c r="O340" t="s">
        <v>613</v>
      </c>
      <c r="P340">
        <f t="shared" si="47"/>
        <v>12.11</v>
      </c>
      <c r="Q340">
        <f t="shared" si="48"/>
        <v>6.7000000000000004E-2</v>
      </c>
      <c r="R340">
        <f t="shared" si="49"/>
        <v>3.6999999999999998E-2</v>
      </c>
      <c r="S340">
        <f t="shared" si="50"/>
        <v>0.79100000000000004</v>
      </c>
      <c r="T340">
        <f t="shared" si="51"/>
        <v>1.819</v>
      </c>
      <c r="U340">
        <f t="shared" si="52"/>
        <v>8.3351682690000004</v>
      </c>
      <c r="V340">
        <f t="shared" si="53"/>
        <v>7.9000000000000001E-2</v>
      </c>
      <c r="W340">
        <f t="shared" si="54"/>
        <v>0.14499999999999999</v>
      </c>
      <c r="X340">
        <f t="shared" si="55"/>
        <v>0.73699999999999999</v>
      </c>
      <c r="Y340">
        <v>317.3179035</v>
      </c>
      <c r="Z340">
        <v>0</v>
      </c>
      <c r="AA340">
        <v>82284</v>
      </c>
      <c r="AB340">
        <v>32030</v>
      </c>
      <c r="AC340">
        <v>4.7570397E-2</v>
      </c>
      <c r="AD340">
        <v>0.78974696300000002</v>
      </c>
      <c r="AF340">
        <v>12.11</v>
      </c>
      <c r="AG340">
        <v>6.7000000000000004E-2</v>
      </c>
      <c r="AH340">
        <v>3.6999999999999998E-2</v>
      </c>
      <c r="AI340">
        <v>0.79100000000000004</v>
      </c>
      <c r="AJ340">
        <v>1.819</v>
      </c>
      <c r="AK340">
        <v>8.3351682690000004</v>
      </c>
      <c r="AL340">
        <v>7.9000000000000001E-2</v>
      </c>
      <c r="AM340">
        <v>0.14499999999999999</v>
      </c>
      <c r="AN340">
        <v>0.73699999999999999</v>
      </c>
    </row>
    <row r="341" spans="1:40">
      <c r="A341">
        <v>2409</v>
      </c>
      <c r="B341" t="s">
        <v>690</v>
      </c>
      <c r="C341" t="s">
        <v>687</v>
      </c>
      <c r="D341" t="s">
        <v>688</v>
      </c>
      <c r="E341">
        <v>572</v>
      </c>
      <c r="F341">
        <v>1392</v>
      </c>
      <c r="G341">
        <v>30.66951632</v>
      </c>
      <c r="H341">
        <v>200</v>
      </c>
      <c r="I341">
        <v>4.7938501000000001E-2</v>
      </c>
      <c r="J341">
        <v>1592</v>
      </c>
      <c r="K341">
        <v>33209.215279999997</v>
      </c>
      <c r="L341">
        <v>0.73899999999999999</v>
      </c>
      <c r="M341">
        <v>0.25906735800000003</v>
      </c>
      <c r="N341">
        <v>0</v>
      </c>
      <c r="O341" t="s">
        <v>613</v>
      </c>
      <c r="P341">
        <f t="shared" si="47"/>
        <v>10.851475410000001</v>
      </c>
      <c r="Q341">
        <f t="shared" si="48"/>
        <v>4.3999999999999997E-2</v>
      </c>
      <c r="R341">
        <f t="shared" si="49"/>
        <v>1.9E-2</v>
      </c>
      <c r="S341">
        <f t="shared" si="50"/>
        <v>0.73899999999999999</v>
      </c>
      <c r="T341">
        <f t="shared" si="51"/>
        <v>2.2105263160000002</v>
      </c>
      <c r="U341">
        <f t="shared" si="52"/>
        <v>6.3848982559999996</v>
      </c>
      <c r="V341">
        <f t="shared" si="53"/>
        <v>5.034848484848483E-2</v>
      </c>
      <c r="W341">
        <f t="shared" si="54"/>
        <v>0.14599999999999999</v>
      </c>
      <c r="X341">
        <f t="shared" si="55"/>
        <v>0.77700000000000002</v>
      </c>
      <c r="Y341">
        <v>154.1342909</v>
      </c>
      <c r="Z341">
        <v>0</v>
      </c>
      <c r="AA341">
        <v>82284</v>
      </c>
      <c r="AB341">
        <v>32030</v>
      </c>
      <c r="AC341">
        <v>4.7570397E-2</v>
      </c>
      <c r="AD341">
        <v>0.78974696300000002</v>
      </c>
      <c r="AF341">
        <v>10.851475410000001</v>
      </c>
      <c r="AG341">
        <v>4.3999999999999997E-2</v>
      </c>
      <c r="AH341">
        <v>1.9E-2</v>
      </c>
      <c r="AI341">
        <v>0.73899999999999999</v>
      </c>
      <c r="AJ341">
        <v>2.2105263160000002</v>
      </c>
      <c r="AK341">
        <v>6.3848982559999996</v>
      </c>
      <c r="AL341">
        <v>0</v>
      </c>
      <c r="AM341">
        <v>0.14599999999999999</v>
      </c>
      <c r="AN341">
        <v>0.77700000000000002</v>
      </c>
    </row>
    <row r="342" spans="1:40">
      <c r="A342">
        <v>2410</v>
      </c>
      <c r="B342" t="s">
        <v>690</v>
      </c>
      <c r="C342" t="s">
        <v>687</v>
      </c>
      <c r="D342" t="s">
        <v>688</v>
      </c>
      <c r="E342">
        <v>581</v>
      </c>
      <c r="F342">
        <v>1410</v>
      </c>
      <c r="G342">
        <v>43.737397280000003</v>
      </c>
      <c r="H342">
        <v>63</v>
      </c>
      <c r="I342">
        <v>6.8368373999999996E-2</v>
      </c>
      <c r="J342">
        <v>1473</v>
      </c>
      <c r="K342">
        <v>21545.049470000002</v>
      </c>
      <c r="L342">
        <v>0.746</v>
      </c>
      <c r="M342">
        <v>9.7826087000000006E-2</v>
      </c>
      <c r="N342">
        <v>0</v>
      </c>
      <c r="O342" t="s">
        <v>613</v>
      </c>
      <c r="P342">
        <f t="shared" si="47"/>
        <v>8.4623595510000005</v>
      </c>
      <c r="Q342">
        <f t="shared" si="48"/>
        <v>0.106</v>
      </c>
      <c r="R342">
        <f t="shared" si="49"/>
        <v>2.5999999999999999E-2</v>
      </c>
      <c r="S342">
        <f t="shared" si="50"/>
        <v>0.746</v>
      </c>
      <c r="T342">
        <f t="shared" si="51"/>
        <v>2.6438888889999999</v>
      </c>
      <c r="U342">
        <f t="shared" si="52"/>
        <v>5.3472570189999997</v>
      </c>
      <c r="V342">
        <f t="shared" si="53"/>
        <v>6.9000000000000006E-2</v>
      </c>
      <c r="W342">
        <f t="shared" si="54"/>
        <v>0.29199999999999998</v>
      </c>
      <c r="X342">
        <f t="shared" si="55"/>
        <v>0.61799999999999999</v>
      </c>
      <c r="Y342">
        <v>282.75941460000001</v>
      </c>
      <c r="Z342">
        <v>0</v>
      </c>
      <c r="AA342">
        <v>82284</v>
      </c>
      <c r="AB342">
        <v>32030</v>
      </c>
      <c r="AC342">
        <v>4.7570397E-2</v>
      </c>
      <c r="AD342">
        <v>0.78974696300000002</v>
      </c>
      <c r="AF342">
        <v>8.4623595510000005</v>
      </c>
      <c r="AG342">
        <v>0.106</v>
      </c>
      <c r="AH342">
        <v>2.5999999999999999E-2</v>
      </c>
      <c r="AI342">
        <v>0.746</v>
      </c>
      <c r="AJ342">
        <v>2.6438888889999999</v>
      </c>
      <c r="AK342">
        <v>5.3472570189999997</v>
      </c>
      <c r="AL342">
        <v>6.9000000000000006E-2</v>
      </c>
      <c r="AM342">
        <v>0.29199999999999998</v>
      </c>
      <c r="AN342">
        <v>0.61799999999999999</v>
      </c>
    </row>
    <row r="343" spans="1:40">
      <c r="A343">
        <v>2411</v>
      </c>
      <c r="B343" t="s">
        <v>683</v>
      </c>
      <c r="C343" t="s">
        <v>684</v>
      </c>
      <c r="D343" t="s">
        <v>685</v>
      </c>
      <c r="E343">
        <v>354</v>
      </c>
      <c r="F343">
        <v>1538</v>
      </c>
      <c r="G343">
        <v>72.830892710000001</v>
      </c>
      <c r="H343">
        <v>226</v>
      </c>
      <c r="I343">
        <v>0.113841553</v>
      </c>
      <c r="J343">
        <v>1764</v>
      </c>
      <c r="K343">
        <v>15495.220799999999</v>
      </c>
      <c r="L343">
        <v>0.76400000000000001</v>
      </c>
      <c r="M343">
        <v>0.38965517199999999</v>
      </c>
      <c r="N343">
        <v>1</v>
      </c>
      <c r="O343" t="s">
        <v>613</v>
      </c>
      <c r="P343">
        <f t="shared" si="47"/>
        <v>15.323124999999999</v>
      </c>
      <c r="Q343">
        <f t="shared" si="48"/>
        <v>3.9E-2</v>
      </c>
      <c r="R343">
        <f t="shared" si="49"/>
        <v>2.8000000000000001E-2</v>
      </c>
      <c r="S343">
        <f t="shared" si="50"/>
        <v>0.76400000000000001</v>
      </c>
      <c r="T343">
        <f t="shared" si="51"/>
        <v>1.2229629630000001</v>
      </c>
      <c r="U343">
        <f t="shared" si="52"/>
        <v>7.301376404</v>
      </c>
      <c r="V343">
        <f t="shared" si="53"/>
        <v>4.2000000000000003E-2</v>
      </c>
      <c r="W343">
        <f t="shared" si="54"/>
        <v>0.14099999999999999</v>
      </c>
      <c r="X343">
        <f t="shared" si="55"/>
        <v>0.78900000000000003</v>
      </c>
      <c r="Y343">
        <v>195.90749400000001</v>
      </c>
      <c r="Z343">
        <v>0</v>
      </c>
      <c r="AA343">
        <v>75370</v>
      </c>
      <c r="AB343">
        <v>21403</v>
      </c>
      <c r="AC343">
        <v>2.4597187E-2</v>
      </c>
      <c r="AD343">
        <v>0.84342094400000001</v>
      </c>
      <c r="AF343">
        <v>15.323124999999999</v>
      </c>
      <c r="AG343">
        <v>3.9E-2</v>
      </c>
      <c r="AH343">
        <v>2.8000000000000001E-2</v>
      </c>
      <c r="AI343">
        <v>0.76400000000000001</v>
      </c>
      <c r="AJ343">
        <v>1.2229629630000001</v>
      </c>
      <c r="AK343">
        <v>7.301376404</v>
      </c>
      <c r="AL343">
        <v>4.2000000000000003E-2</v>
      </c>
      <c r="AM343">
        <v>0.14099999999999999</v>
      </c>
      <c r="AN343">
        <v>0.78900000000000003</v>
      </c>
    </row>
    <row r="344" spans="1:40">
      <c r="A344">
        <v>2412</v>
      </c>
      <c r="B344" t="s">
        <v>686</v>
      </c>
      <c r="C344" t="s">
        <v>687</v>
      </c>
      <c r="D344" t="s">
        <v>688</v>
      </c>
      <c r="E344">
        <v>450</v>
      </c>
      <c r="F344">
        <v>1051</v>
      </c>
      <c r="G344">
        <v>104.86119069999999</v>
      </c>
      <c r="H344">
        <v>33</v>
      </c>
      <c r="I344">
        <v>0.16391605400000001</v>
      </c>
      <c r="J344">
        <v>1084</v>
      </c>
      <c r="K344">
        <v>6613.1411390000003</v>
      </c>
      <c r="L344">
        <v>0.755</v>
      </c>
      <c r="M344">
        <v>6.8322981000000005E-2</v>
      </c>
      <c r="N344">
        <v>0</v>
      </c>
      <c r="O344" t="s">
        <v>620</v>
      </c>
      <c r="P344">
        <f t="shared" si="47"/>
        <v>12.96655172</v>
      </c>
      <c r="Q344">
        <f t="shared" si="48"/>
        <v>1.7000000000000001E-2</v>
      </c>
      <c r="R344">
        <f t="shared" si="49"/>
        <v>6.6000000000000003E-2</v>
      </c>
      <c r="S344">
        <f t="shared" si="50"/>
        <v>0.755</v>
      </c>
      <c r="T344">
        <f t="shared" si="51"/>
        <v>1.8952380950000001</v>
      </c>
      <c r="U344">
        <f t="shared" si="52"/>
        <v>7.2538952160000001</v>
      </c>
      <c r="V344">
        <f t="shared" si="53"/>
        <v>0.14699999999999999</v>
      </c>
      <c r="W344">
        <f t="shared" si="54"/>
        <v>6.9000000000000006E-2</v>
      </c>
      <c r="X344">
        <f t="shared" si="55"/>
        <v>0.75</v>
      </c>
      <c r="Y344">
        <v>88.477545849999998</v>
      </c>
      <c r="Z344">
        <v>1</v>
      </c>
      <c r="AA344">
        <v>140316</v>
      </c>
      <c r="AB344">
        <v>49638</v>
      </c>
      <c r="AC344">
        <v>9.1283894000000004E-2</v>
      </c>
      <c r="AD344">
        <v>0.60339869999999995</v>
      </c>
      <c r="AF344">
        <v>12.96655172</v>
      </c>
      <c r="AG344">
        <v>1.7000000000000001E-2</v>
      </c>
      <c r="AH344">
        <v>6.6000000000000003E-2</v>
      </c>
      <c r="AI344">
        <v>0.755</v>
      </c>
      <c r="AJ344">
        <v>1.8952380950000001</v>
      </c>
      <c r="AK344">
        <v>7.2538952160000001</v>
      </c>
      <c r="AL344">
        <v>0.14699999999999999</v>
      </c>
      <c r="AM344">
        <v>6.9000000000000006E-2</v>
      </c>
      <c r="AN344">
        <v>0.75</v>
      </c>
    </row>
    <row r="345" spans="1:40">
      <c r="A345">
        <v>2413</v>
      </c>
      <c r="B345" t="s">
        <v>686</v>
      </c>
      <c r="C345" t="s">
        <v>687</v>
      </c>
      <c r="D345" t="s">
        <v>688</v>
      </c>
      <c r="E345">
        <v>326</v>
      </c>
      <c r="F345">
        <v>846</v>
      </c>
      <c r="G345">
        <v>45.197773980000001</v>
      </c>
      <c r="H345">
        <v>192</v>
      </c>
      <c r="I345">
        <v>7.0656054999999995E-2</v>
      </c>
      <c r="J345">
        <v>1038</v>
      </c>
      <c r="K345">
        <v>14690.8853</v>
      </c>
      <c r="L345">
        <v>0.627</v>
      </c>
      <c r="M345">
        <v>0.37065637099999998</v>
      </c>
      <c r="N345">
        <v>0</v>
      </c>
      <c r="O345" t="s">
        <v>613</v>
      </c>
      <c r="P345">
        <f t="shared" si="47"/>
        <v>10.656190479999999</v>
      </c>
      <c r="Q345">
        <f t="shared" si="48"/>
        <v>3.1E-2</v>
      </c>
      <c r="R345">
        <f t="shared" si="49"/>
        <v>4.2000000000000003E-2</v>
      </c>
      <c r="S345">
        <f t="shared" si="50"/>
        <v>0.627</v>
      </c>
      <c r="T345">
        <f t="shared" si="51"/>
        <v>1.3355555560000001</v>
      </c>
      <c r="U345">
        <f t="shared" si="52"/>
        <v>6.7101587299999998</v>
      </c>
      <c r="V345">
        <f t="shared" si="53"/>
        <v>6.5000000000000002E-2</v>
      </c>
      <c r="W345">
        <f t="shared" si="54"/>
        <v>5.3999999999999999E-2</v>
      </c>
      <c r="X345">
        <f t="shared" si="55"/>
        <v>0.68500000000000005</v>
      </c>
      <c r="Y345">
        <v>193.48560499999999</v>
      </c>
      <c r="Z345">
        <v>1</v>
      </c>
      <c r="AA345">
        <v>140316</v>
      </c>
      <c r="AB345">
        <v>49638</v>
      </c>
      <c r="AC345">
        <v>9.1283894000000004E-2</v>
      </c>
      <c r="AD345">
        <v>0.60339869999999995</v>
      </c>
      <c r="AF345">
        <v>10.656190479999999</v>
      </c>
      <c r="AG345">
        <v>3.1E-2</v>
      </c>
      <c r="AH345">
        <v>4.2000000000000003E-2</v>
      </c>
      <c r="AI345">
        <v>0.627</v>
      </c>
      <c r="AJ345">
        <v>1.3355555560000001</v>
      </c>
      <c r="AK345">
        <v>6.7101587299999998</v>
      </c>
      <c r="AL345">
        <v>6.5000000000000002E-2</v>
      </c>
      <c r="AM345">
        <v>5.3999999999999999E-2</v>
      </c>
      <c r="AN345">
        <v>0.68500000000000005</v>
      </c>
    </row>
    <row r="346" spans="1:40">
      <c r="A346">
        <v>2414</v>
      </c>
      <c r="B346" t="s">
        <v>686</v>
      </c>
      <c r="C346" t="s">
        <v>687</v>
      </c>
      <c r="D346" t="s">
        <v>688</v>
      </c>
      <c r="E346">
        <v>539</v>
      </c>
      <c r="F346">
        <v>1265</v>
      </c>
      <c r="G346">
        <v>56.117446819999998</v>
      </c>
      <c r="H346">
        <v>774</v>
      </c>
      <c r="I346">
        <v>8.7721878000000003E-2</v>
      </c>
      <c r="J346">
        <v>2039</v>
      </c>
      <c r="K346">
        <v>23243.916420000001</v>
      </c>
      <c r="L346">
        <v>0.67800000000000005</v>
      </c>
      <c r="M346">
        <v>0.58948971800000005</v>
      </c>
      <c r="N346">
        <v>0</v>
      </c>
      <c r="O346" t="s">
        <v>606</v>
      </c>
      <c r="P346">
        <f t="shared" si="47"/>
        <v>9.9705263160000008</v>
      </c>
      <c r="Q346">
        <f t="shared" si="48"/>
        <v>0.08</v>
      </c>
      <c r="R346">
        <f t="shared" si="49"/>
        <v>2.9000000000000001E-2</v>
      </c>
      <c r="S346">
        <f t="shared" si="50"/>
        <v>0.67800000000000005</v>
      </c>
      <c r="T346">
        <f t="shared" si="51"/>
        <v>1.697954545</v>
      </c>
      <c r="U346">
        <f t="shared" si="52"/>
        <v>6.3624329900000003</v>
      </c>
      <c r="V346">
        <f t="shared" si="53"/>
        <v>4.9000000000000002E-2</v>
      </c>
      <c r="W346">
        <f t="shared" si="54"/>
        <v>0.19800000000000001</v>
      </c>
      <c r="X346">
        <f t="shared" si="55"/>
        <v>0.60399999999999998</v>
      </c>
      <c r="Y346">
        <v>115.0854243</v>
      </c>
      <c r="Z346">
        <v>1</v>
      </c>
      <c r="AA346">
        <v>140316</v>
      </c>
      <c r="AB346">
        <v>49638</v>
      </c>
      <c r="AC346">
        <v>9.1283894000000004E-2</v>
      </c>
      <c r="AD346">
        <v>0.60339869999999995</v>
      </c>
      <c r="AF346">
        <v>9.9705263160000008</v>
      </c>
      <c r="AG346">
        <v>0.08</v>
      </c>
      <c r="AH346">
        <v>2.9000000000000001E-2</v>
      </c>
      <c r="AI346">
        <v>0.67800000000000005</v>
      </c>
      <c r="AJ346">
        <v>1.697954545</v>
      </c>
      <c r="AK346">
        <v>6.3624329900000003</v>
      </c>
      <c r="AL346">
        <v>4.9000000000000002E-2</v>
      </c>
      <c r="AM346">
        <v>0.19800000000000001</v>
      </c>
      <c r="AN346">
        <v>0.60399999999999998</v>
      </c>
    </row>
    <row r="347" spans="1:40">
      <c r="A347">
        <v>2415</v>
      </c>
      <c r="B347" t="s">
        <v>705</v>
      </c>
      <c r="C347" t="s">
        <v>696</v>
      </c>
      <c r="D347" t="s">
        <v>697</v>
      </c>
      <c r="E347">
        <v>354</v>
      </c>
      <c r="F347">
        <v>1059</v>
      </c>
      <c r="G347">
        <v>171.59346379999999</v>
      </c>
      <c r="H347">
        <v>906</v>
      </c>
      <c r="I347">
        <v>0.26821766699999999</v>
      </c>
      <c r="J347">
        <v>1965</v>
      </c>
      <c r="K347">
        <v>7326.1393330000001</v>
      </c>
      <c r="L347">
        <v>0.86599999999999999</v>
      </c>
      <c r="M347">
        <v>0.71904761900000003</v>
      </c>
      <c r="N347">
        <v>0</v>
      </c>
      <c r="O347" t="s">
        <v>620</v>
      </c>
      <c r="P347">
        <f t="shared" si="47"/>
        <v>12.72598039</v>
      </c>
      <c r="Q347">
        <f t="shared" si="48"/>
        <v>5.6000000000000001E-2</v>
      </c>
      <c r="R347">
        <f t="shared" si="49"/>
        <v>1.4999999999999999E-2</v>
      </c>
      <c r="S347">
        <f t="shared" si="50"/>
        <v>0.86599999999999999</v>
      </c>
      <c r="T347">
        <f t="shared" si="51"/>
        <v>2.3046000000000002</v>
      </c>
      <c r="U347">
        <f t="shared" si="52"/>
        <v>7.9821377670000002</v>
      </c>
      <c r="V347">
        <f t="shared" si="53"/>
        <v>4.1000000000000002E-2</v>
      </c>
      <c r="W347">
        <f t="shared" si="54"/>
        <v>7.3999999999999996E-2</v>
      </c>
      <c r="X347">
        <f t="shared" si="55"/>
        <v>0.84</v>
      </c>
      <c r="Y347">
        <v>239.6939199</v>
      </c>
      <c r="Z347">
        <v>0</v>
      </c>
      <c r="AA347">
        <v>152832</v>
      </c>
      <c r="AB347">
        <v>45686</v>
      </c>
      <c r="AC347">
        <v>2.1596295000000001E-2</v>
      </c>
      <c r="AD347">
        <v>0.84212384500000004</v>
      </c>
      <c r="AF347">
        <v>12.72598039</v>
      </c>
      <c r="AG347">
        <v>5.6000000000000001E-2</v>
      </c>
      <c r="AH347">
        <v>1.4999999999999999E-2</v>
      </c>
      <c r="AI347">
        <v>0.86599999999999999</v>
      </c>
      <c r="AJ347">
        <v>2.3046000000000002</v>
      </c>
      <c r="AK347">
        <v>7.9821377670000002</v>
      </c>
      <c r="AL347">
        <v>4.1000000000000002E-2</v>
      </c>
      <c r="AM347">
        <v>7.3999999999999996E-2</v>
      </c>
      <c r="AN347">
        <v>0.84</v>
      </c>
    </row>
    <row r="348" spans="1:40">
      <c r="A348">
        <v>2416</v>
      </c>
      <c r="B348" t="s">
        <v>686</v>
      </c>
      <c r="C348" t="s">
        <v>687</v>
      </c>
      <c r="D348" t="s">
        <v>688</v>
      </c>
      <c r="E348">
        <v>389</v>
      </c>
      <c r="F348">
        <v>1130</v>
      </c>
      <c r="G348">
        <v>24.278481889999998</v>
      </c>
      <c r="H348">
        <v>86</v>
      </c>
      <c r="I348">
        <v>3.7949853999999998E-2</v>
      </c>
      <c r="J348">
        <v>1216</v>
      </c>
      <c r="K348">
        <v>32042.284009999999</v>
      </c>
      <c r="L348">
        <v>0.626</v>
      </c>
      <c r="M348">
        <v>0.18105263199999999</v>
      </c>
      <c r="N348">
        <v>0</v>
      </c>
      <c r="O348" t="s">
        <v>606</v>
      </c>
      <c r="P348">
        <f t="shared" si="47"/>
        <v>9.4736842110000001</v>
      </c>
      <c r="Q348">
        <f t="shared" si="48"/>
        <v>4.2000000000000003E-2</v>
      </c>
      <c r="R348">
        <f t="shared" si="49"/>
        <v>4.4999999999999998E-2</v>
      </c>
      <c r="S348">
        <f t="shared" si="50"/>
        <v>0.626</v>
      </c>
      <c r="T348">
        <f t="shared" si="51"/>
        <v>1.5309999999999999</v>
      </c>
      <c r="U348">
        <f t="shared" si="52"/>
        <v>5.2271563089999997</v>
      </c>
      <c r="V348">
        <f t="shared" si="53"/>
        <v>0.1</v>
      </c>
      <c r="W348">
        <f t="shared" si="54"/>
        <v>0.18</v>
      </c>
      <c r="X348">
        <f t="shared" si="55"/>
        <v>0.56999999999999995</v>
      </c>
      <c r="Y348">
        <v>176.0998902</v>
      </c>
      <c r="Z348">
        <v>1</v>
      </c>
      <c r="AA348">
        <v>140316</v>
      </c>
      <c r="AB348">
        <v>49638</v>
      </c>
      <c r="AC348">
        <v>9.1283894000000004E-2</v>
      </c>
      <c r="AD348">
        <v>0.60339869999999995</v>
      </c>
      <c r="AF348">
        <v>9.4736842110000001</v>
      </c>
      <c r="AG348">
        <v>4.2000000000000003E-2</v>
      </c>
      <c r="AH348">
        <v>4.4999999999999998E-2</v>
      </c>
      <c r="AI348">
        <v>0.626</v>
      </c>
      <c r="AJ348">
        <v>1.5309999999999999</v>
      </c>
      <c r="AK348">
        <v>5.2271563089999997</v>
      </c>
      <c r="AL348">
        <v>0.1</v>
      </c>
      <c r="AM348">
        <v>0.18</v>
      </c>
      <c r="AN348">
        <v>0.56999999999999995</v>
      </c>
    </row>
    <row r="349" spans="1:40">
      <c r="A349">
        <v>2417</v>
      </c>
      <c r="B349" t="s">
        <v>692</v>
      </c>
      <c r="C349" t="s">
        <v>693</v>
      </c>
      <c r="D349" t="s">
        <v>694</v>
      </c>
      <c r="E349">
        <v>737</v>
      </c>
      <c r="F349">
        <v>2182</v>
      </c>
      <c r="G349">
        <v>148.01468270000001</v>
      </c>
      <c r="H349">
        <v>19</v>
      </c>
      <c r="I349">
        <v>0.23136134</v>
      </c>
      <c r="J349">
        <v>2201</v>
      </c>
      <c r="K349">
        <v>9513.2574870000008</v>
      </c>
      <c r="L349">
        <v>0.69699999999999995</v>
      </c>
      <c r="M349">
        <v>2.5132274999999999E-2</v>
      </c>
      <c r="N349">
        <v>0</v>
      </c>
      <c r="O349" t="s">
        <v>620</v>
      </c>
      <c r="P349">
        <f t="shared" si="47"/>
        <v>16.395806449999998</v>
      </c>
      <c r="Q349">
        <f t="shared" si="48"/>
        <v>2.1000000000000001E-2</v>
      </c>
      <c r="R349">
        <f t="shared" si="49"/>
        <v>0.02</v>
      </c>
      <c r="S349">
        <f t="shared" si="50"/>
        <v>0.69699999999999995</v>
      </c>
      <c r="T349">
        <f t="shared" si="51"/>
        <v>2.105909091</v>
      </c>
      <c r="U349">
        <f t="shared" si="52"/>
        <v>7.5412549020000004</v>
      </c>
      <c r="V349">
        <f t="shared" si="53"/>
        <v>3.6999999999999998E-2</v>
      </c>
      <c r="W349">
        <f t="shared" si="54"/>
        <v>8.8999999999999996E-2</v>
      </c>
      <c r="X349">
        <f t="shared" si="55"/>
        <v>0.81200000000000006</v>
      </c>
      <c r="Y349">
        <v>188.35395930000001</v>
      </c>
      <c r="Z349">
        <v>0</v>
      </c>
      <c r="AA349">
        <v>77808</v>
      </c>
      <c r="AB349">
        <v>27489</v>
      </c>
      <c r="AC349">
        <v>1.1225541E-2</v>
      </c>
      <c r="AD349">
        <v>0.835708267</v>
      </c>
      <c r="AF349">
        <v>16.395806449999998</v>
      </c>
      <c r="AG349">
        <v>2.1000000000000001E-2</v>
      </c>
      <c r="AH349">
        <v>0.02</v>
      </c>
      <c r="AI349">
        <v>0.69699999999999995</v>
      </c>
      <c r="AJ349">
        <v>2.105909091</v>
      </c>
      <c r="AK349">
        <v>7.5412549020000004</v>
      </c>
      <c r="AL349">
        <v>3.6999999999999998E-2</v>
      </c>
      <c r="AM349">
        <v>8.8999999999999996E-2</v>
      </c>
      <c r="AN349">
        <v>0.81200000000000006</v>
      </c>
    </row>
    <row r="350" spans="1:40">
      <c r="A350">
        <v>2418</v>
      </c>
      <c r="B350" t="s">
        <v>705</v>
      </c>
      <c r="C350" t="s">
        <v>696</v>
      </c>
      <c r="D350" t="s">
        <v>697</v>
      </c>
      <c r="E350">
        <v>268</v>
      </c>
      <c r="F350">
        <v>1034</v>
      </c>
      <c r="G350">
        <v>82.975401509999998</v>
      </c>
      <c r="H350">
        <v>139</v>
      </c>
      <c r="I350">
        <v>0.129695166</v>
      </c>
      <c r="J350">
        <v>1173</v>
      </c>
      <c r="K350">
        <v>9044.2846570000002</v>
      </c>
      <c r="L350">
        <v>0.86</v>
      </c>
      <c r="M350">
        <v>0.34152334200000001</v>
      </c>
      <c r="N350">
        <v>0</v>
      </c>
      <c r="O350" t="s">
        <v>620</v>
      </c>
      <c r="P350">
        <f t="shared" si="47"/>
        <v>12.39252252</v>
      </c>
      <c r="Q350">
        <f t="shared" si="48"/>
        <v>8.9999999999999993E-3</v>
      </c>
      <c r="R350">
        <f t="shared" si="49"/>
        <v>0.02</v>
      </c>
      <c r="S350">
        <f t="shared" si="50"/>
        <v>0.86</v>
      </c>
      <c r="T350">
        <f t="shared" si="51"/>
        <v>2.5706250000000002</v>
      </c>
      <c r="U350">
        <f t="shared" si="52"/>
        <v>6.2098789710000002</v>
      </c>
      <c r="V350">
        <f t="shared" si="53"/>
        <v>3.3000000000000002E-2</v>
      </c>
      <c r="W350">
        <f t="shared" si="54"/>
        <v>4.1000000000000002E-2</v>
      </c>
      <c r="X350">
        <f t="shared" si="55"/>
        <v>0.91700000000000004</v>
      </c>
      <c r="Y350">
        <v>155.3816084</v>
      </c>
      <c r="Z350">
        <v>0</v>
      </c>
      <c r="AA350">
        <v>152832</v>
      </c>
      <c r="AB350">
        <v>45686</v>
      </c>
      <c r="AC350">
        <v>2.1596295000000001E-2</v>
      </c>
      <c r="AD350">
        <v>0.84212384500000004</v>
      </c>
      <c r="AF350">
        <v>12.39252252</v>
      </c>
      <c r="AG350">
        <v>8.9999999999999993E-3</v>
      </c>
      <c r="AH350">
        <v>0.02</v>
      </c>
      <c r="AI350">
        <v>0.86</v>
      </c>
      <c r="AJ350">
        <v>2.5706250000000002</v>
      </c>
      <c r="AK350">
        <v>6.2098789710000002</v>
      </c>
      <c r="AL350">
        <v>3.3000000000000002E-2</v>
      </c>
      <c r="AM350">
        <v>4.1000000000000002E-2</v>
      </c>
      <c r="AN350">
        <v>0.91700000000000004</v>
      </c>
    </row>
    <row r="351" spans="1:40">
      <c r="A351">
        <v>2419</v>
      </c>
      <c r="B351" t="s">
        <v>705</v>
      </c>
      <c r="C351" t="s">
        <v>696</v>
      </c>
      <c r="D351" t="s">
        <v>697</v>
      </c>
      <c r="E351">
        <v>605</v>
      </c>
      <c r="F351">
        <v>2304</v>
      </c>
      <c r="G351">
        <v>129.47533630000001</v>
      </c>
      <c r="H351">
        <v>49</v>
      </c>
      <c r="I351">
        <v>0.20238635299999999</v>
      </c>
      <c r="J351">
        <v>2353</v>
      </c>
      <c r="K351">
        <v>11626.277980000001</v>
      </c>
      <c r="L351">
        <v>0.80100000000000005</v>
      </c>
      <c r="M351">
        <v>7.4923546999999993E-2</v>
      </c>
      <c r="N351">
        <v>0</v>
      </c>
      <c r="O351" t="s">
        <v>620</v>
      </c>
      <c r="P351">
        <f t="shared" si="47"/>
        <v>14.851890239999999</v>
      </c>
      <c r="Q351">
        <f t="shared" si="48"/>
        <v>1.9E-2</v>
      </c>
      <c r="R351">
        <f t="shared" si="49"/>
        <v>2.8000000000000001E-2</v>
      </c>
      <c r="S351">
        <f t="shared" si="50"/>
        <v>0.80100000000000005</v>
      </c>
      <c r="T351">
        <f t="shared" si="51"/>
        <v>2.1013888889999999</v>
      </c>
      <c r="U351">
        <f t="shared" si="52"/>
        <v>6.7663975780000003</v>
      </c>
      <c r="V351">
        <f t="shared" si="53"/>
        <v>0.05</v>
      </c>
      <c r="W351">
        <f t="shared" si="54"/>
        <v>0.09</v>
      </c>
      <c r="X351">
        <f t="shared" si="55"/>
        <v>0.81599999999999995</v>
      </c>
      <c r="Y351">
        <v>96.514487840000001</v>
      </c>
      <c r="Z351">
        <v>0</v>
      </c>
      <c r="AA351">
        <v>152832</v>
      </c>
      <c r="AB351">
        <v>45686</v>
      </c>
      <c r="AC351">
        <v>2.1596295000000001E-2</v>
      </c>
      <c r="AD351">
        <v>0.84212384500000004</v>
      </c>
      <c r="AF351">
        <v>14.851890239999999</v>
      </c>
      <c r="AG351">
        <v>1.9E-2</v>
      </c>
      <c r="AH351">
        <v>2.8000000000000001E-2</v>
      </c>
      <c r="AI351">
        <v>0.80100000000000005</v>
      </c>
      <c r="AJ351">
        <v>2.1013888889999999</v>
      </c>
      <c r="AK351">
        <v>6.7663975780000003</v>
      </c>
      <c r="AL351">
        <v>0.05</v>
      </c>
      <c r="AM351">
        <v>0.09</v>
      </c>
      <c r="AN351">
        <v>0.81599999999999995</v>
      </c>
    </row>
    <row r="352" spans="1:40">
      <c r="A352">
        <v>2420</v>
      </c>
      <c r="B352" t="s">
        <v>702</v>
      </c>
      <c r="C352" t="s">
        <v>696</v>
      </c>
      <c r="D352" t="s">
        <v>697</v>
      </c>
      <c r="E352">
        <v>447</v>
      </c>
      <c r="F352">
        <v>1114</v>
      </c>
      <c r="G352">
        <v>50.352246229999999</v>
      </c>
      <c r="H352">
        <v>1983</v>
      </c>
      <c r="I352">
        <v>7.8708709000000002E-2</v>
      </c>
      <c r="J352">
        <v>3097</v>
      </c>
      <c r="K352">
        <v>39347.615270000002</v>
      </c>
      <c r="L352">
        <v>0.75700000000000001</v>
      </c>
      <c r="M352">
        <v>0.81604938299999996</v>
      </c>
      <c r="N352">
        <v>1</v>
      </c>
      <c r="O352" t="s">
        <v>613</v>
      </c>
      <c r="P352">
        <f t="shared" si="47"/>
        <v>12.85242744</v>
      </c>
      <c r="Q352">
        <f t="shared" si="48"/>
        <v>4.8000000000000001E-2</v>
      </c>
      <c r="R352">
        <f t="shared" si="49"/>
        <v>1.7999999999999999E-2</v>
      </c>
      <c r="S352">
        <f t="shared" si="50"/>
        <v>0.75700000000000001</v>
      </c>
      <c r="T352">
        <f t="shared" si="51"/>
        <v>2.609038462</v>
      </c>
      <c r="U352">
        <f t="shared" si="52"/>
        <v>7.0078538180000001</v>
      </c>
      <c r="V352">
        <f t="shared" si="53"/>
        <v>4.8000000000000001E-2</v>
      </c>
      <c r="W352">
        <f t="shared" si="54"/>
        <v>0.128</v>
      </c>
      <c r="X352">
        <f t="shared" si="55"/>
        <v>0.79800000000000004</v>
      </c>
      <c r="Y352">
        <v>101.6469335</v>
      </c>
      <c r="Z352">
        <v>0</v>
      </c>
      <c r="AA352">
        <v>90778</v>
      </c>
      <c r="AB352">
        <v>31662</v>
      </c>
      <c r="AC352">
        <v>3.1753482E-2</v>
      </c>
      <c r="AD352">
        <v>0.82960131100000001</v>
      </c>
      <c r="AF352">
        <v>12.85242744</v>
      </c>
      <c r="AG352">
        <v>4.8000000000000001E-2</v>
      </c>
      <c r="AH352">
        <v>1.7999999999999999E-2</v>
      </c>
      <c r="AI352">
        <v>0.75700000000000001</v>
      </c>
      <c r="AJ352">
        <v>2.609038462</v>
      </c>
      <c r="AK352">
        <v>7.0078538180000001</v>
      </c>
      <c r="AL352">
        <v>4.8000000000000001E-2</v>
      </c>
      <c r="AM352">
        <v>0.128</v>
      </c>
      <c r="AN352">
        <v>0.79800000000000004</v>
      </c>
    </row>
    <row r="353" spans="1:40">
      <c r="A353">
        <v>2421</v>
      </c>
      <c r="B353" t="s">
        <v>691</v>
      </c>
      <c r="C353" t="s">
        <v>684</v>
      </c>
      <c r="D353" t="s">
        <v>685</v>
      </c>
      <c r="E353">
        <v>1009</v>
      </c>
      <c r="F353">
        <v>2774</v>
      </c>
      <c r="G353">
        <v>50.283697670000002</v>
      </c>
      <c r="H353">
        <v>38</v>
      </c>
      <c r="I353">
        <v>7.8595474999999998E-2</v>
      </c>
      <c r="J353">
        <v>2812</v>
      </c>
      <c r="K353">
        <v>35778.141170000003</v>
      </c>
      <c r="L353">
        <v>0.81599999999999995</v>
      </c>
      <c r="M353">
        <v>3.6294173999999998E-2</v>
      </c>
      <c r="N353">
        <v>0</v>
      </c>
      <c r="O353" t="s">
        <v>613</v>
      </c>
      <c r="P353">
        <f t="shared" si="47"/>
        <v>13.672244900000001</v>
      </c>
      <c r="Q353">
        <f t="shared" si="48"/>
        <v>0.02</v>
      </c>
      <c r="R353">
        <f t="shared" si="49"/>
        <v>2.9000000000000001E-2</v>
      </c>
      <c r="S353">
        <f t="shared" si="50"/>
        <v>0.81599999999999995</v>
      </c>
      <c r="T353">
        <f t="shared" si="51"/>
        <v>1.567894737</v>
      </c>
      <c r="U353">
        <f t="shared" si="52"/>
        <v>6.6540305640000001</v>
      </c>
      <c r="V353">
        <f t="shared" si="53"/>
        <v>2.7E-2</v>
      </c>
      <c r="W353">
        <f t="shared" si="54"/>
        <v>5.3999999999999999E-2</v>
      </c>
      <c r="X353">
        <f t="shared" si="55"/>
        <v>0.88700000000000001</v>
      </c>
      <c r="Y353">
        <v>72.386465029999997</v>
      </c>
      <c r="Z353">
        <v>0</v>
      </c>
      <c r="AA353">
        <v>236250</v>
      </c>
      <c r="AB353">
        <v>76158</v>
      </c>
      <c r="AC353">
        <v>1.7652984E-2</v>
      </c>
      <c r="AD353">
        <v>0.84750225300000004</v>
      </c>
      <c r="AF353">
        <v>13.672244900000001</v>
      </c>
      <c r="AG353">
        <v>0.02</v>
      </c>
      <c r="AH353">
        <v>2.9000000000000001E-2</v>
      </c>
      <c r="AI353">
        <v>0.81599999999999995</v>
      </c>
      <c r="AJ353">
        <v>1.567894737</v>
      </c>
      <c r="AK353">
        <v>6.6540305640000001</v>
      </c>
      <c r="AL353">
        <v>2.7E-2</v>
      </c>
      <c r="AM353">
        <v>5.3999999999999999E-2</v>
      </c>
      <c r="AN353">
        <v>0.88700000000000001</v>
      </c>
    </row>
    <row r="354" spans="1:40">
      <c r="A354">
        <v>2422</v>
      </c>
      <c r="B354" t="s">
        <v>691</v>
      </c>
      <c r="C354" t="s">
        <v>684</v>
      </c>
      <c r="D354" t="s">
        <v>685</v>
      </c>
      <c r="E354">
        <v>620</v>
      </c>
      <c r="F354">
        <v>1852</v>
      </c>
      <c r="G354">
        <v>110.28738800000001</v>
      </c>
      <c r="H354">
        <v>2763</v>
      </c>
      <c r="I354">
        <v>0.17238873199999999</v>
      </c>
      <c r="J354">
        <v>4615</v>
      </c>
      <c r="K354">
        <v>26770.89127</v>
      </c>
      <c r="L354">
        <v>0.80400000000000005</v>
      </c>
      <c r="M354">
        <v>0.81673071200000003</v>
      </c>
      <c r="N354">
        <v>1</v>
      </c>
      <c r="O354" t="s">
        <v>613</v>
      </c>
      <c r="P354">
        <f t="shared" si="47"/>
        <v>14.62080868</v>
      </c>
      <c r="Q354">
        <f t="shared" si="48"/>
        <v>3.1E-2</v>
      </c>
      <c r="R354">
        <f t="shared" si="49"/>
        <v>2.1000000000000001E-2</v>
      </c>
      <c r="S354">
        <f t="shared" si="50"/>
        <v>0.80400000000000005</v>
      </c>
      <c r="T354">
        <f t="shared" si="51"/>
        <v>2.3067142860000001</v>
      </c>
      <c r="U354">
        <f t="shared" si="52"/>
        <v>7.5580378340000003</v>
      </c>
      <c r="V354">
        <f t="shared" si="53"/>
        <v>3.5000000000000003E-2</v>
      </c>
      <c r="W354">
        <f t="shared" si="54"/>
        <v>9.6000000000000002E-2</v>
      </c>
      <c r="X354">
        <f t="shared" si="55"/>
        <v>0.81</v>
      </c>
      <c r="Y354">
        <v>125.7158417</v>
      </c>
      <c r="Z354">
        <v>0</v>
      </c>
      <c r="AA354">
        <v>236250</v>
      </c>
      <c r="AB354">
        <v>76158</v>
      </c>
      <c r="AC354">
        <v>1.7652984E-2</v>
      </c>
      <c r="AD354">
        <v>0.84750225300000004</v>
      </c>
      <c r="AF354">
        <v>14.62080868</v>
      </c>
      <c r="AG354">
        <v>3.1E-2</v>
      </c>
      <c r="AH354">
        <v>2.1000000000000001E-2</v>
      </c>
      <c r="AI354">
        <v>0.80400000000000005</v>
      </c>
      <c r="AJ354">
        <v>2.3067142860000001</v>
      </c>
      <c r="AK354">
        <v>7.5580378340000003</v>
      </c>
      <c r="AL354">
        <v>3.5000000000000003E-2</v>
      </c>
      <c r="AM354">
        <v>9.6000000000000002E-2</v>
      </c>
      <c r="AN354">
        <v>0.81</v>
      </c>
    </row>
    <row r="355" spans="1:40">
      <c r="A355">
        <v>2423</v>
      </c>
      <c r="B355" t="s">
        <v>691</v>
      </c>
      <c r="C355" t="s">
        <v>684</v>
      </c>
      <c r="D355" t="s">
        <v>685</v>
      </c>
      <c r="E355">
        <v>934</v>
      </c>
      <c r="F355">
        <v>2681</v>
      </c>
      <c r="G355">
        <v>97.885308519999995</v>
      </c>
      <c r="H355">
        <v>57</v>
      </c>
      <c r="I355">
        <v>0.15300297700000001</v>
      </c>
      <c r="J355">
        <v>2738</v>
      </c>
      <c r="K355">
        <v>17895.076639999999</v>
      </c>
      <c r="L355">
        <v>0.80500000000000005</v>
      </c>
      <c r="M355">
        <v>5.7517658999999999E-2</v>
      </c>
      <c r="N355">
        <v>0</v>
      </c>
      <c r="O355" t="s">
        <v>620</v>
      </c>
      <c r="P355">
        <f t="shared" si="47"/>
        <v>11.74013953</v>
      </c>
      <c r="Q355">
        <f t="shared" si="48"/>
        <v>1.6E-2</v>
      </c>
      <c r="R355">
        <f t="shared" si="49"/>
        <v>1.6E-2</v>
      </c>
      <c r="S355">
        <f t="shared" si="50"/>
        <v>0.80500000000000005</v>
      </c>
      <c r="T355">
        <f t="shared" si="51"/>
        <v>1.5623076920000001</v>
      </c>
      <c r="U355">
        <f t="shared" si="52"/>
        <v>6.0473349059999997</v>
      </c>
      <c r="V355">
        <f t="shared" si="53"/>
        <v>4.0000000000000001E-3</v>
      </c>
      <c r="W355">
        <f t="shared" si="54"/>
        <v>3.1E-2</v>
      </c>
      <c r="X355">
        <f t="shared" si="55"/>
        <v>0.96399999999999997</v>
      </c>
      <c r="Y355">
        <v>156.85682739999999</v>
      </c>
      <c r="Z355">
        <v>0</v>
      </c>
      <c r="AA355">
        <v>236250</v>
      </c>
      <c r="AB355">
        <v>76158</v>
      </c>
      <c r="AC355">
        <v>1.7652984E-2</v>
      </c>
      <c r="AD355">
        <v>0.84750225300000004</v>
      </c>
      <c r="AF355">
        <v>11.74013953</v>
      </c>
      <c r="AG355">
        <v>1.6E-2</v>
      </c>
      <c r="AH355">
        <v>1.6E-2</v>
      </c>
      <c r="AI355">
        <v>0.80500000000000005</v>
      </c>
      <c r="AJ355">
        <v>1.5623076920000001</v>
      </c>
      <c r="AK355">
        <v>6.0473349059999997</v>
      </c>
      <c r="AL355">
        <v>4.0000000000000001E-3</v>
      </c>
      <c r="AM355">
        <v>3.1E-2</v>
      </c>
      <c r="AN355">
        <v>0.96399999999999997</v>
      </c>
    </row>
    <row r="356" spans="1:40">
      <c r="A356">
        <v>2424</v>
      </c>
      <c r="B356" t="s">
        <v>691</v>
      </c>
      <c r="C356" t="s">
        <v>684</v>
      </c>
      <c r="D356" t="s">
        <v>685</v>
      </c>
      <c r="E356">
        <v>561</v>
      </c>
      <c r="F356">
        <v>1625</v>
      </c>
      <c r="G356">
        <v>54.4768647</v>
      </c>
      <c r="H356">
        <v>466</v>
      </c>
      <c r="I356">
        <v>8.5149172999999995E-2</v>
      </c>
      <c r="J356">
        <v>2091</v>
      </c>
      <c r="K356">
        <v>24556.90321</v>
      </c>
      <c r="L356">
        <v>0.82299999999999995</v>
      </c>
      <c r="M356">
        <v>0.45374878299999999</v>
      </c>
      <c r="N356">
        <v>0</v>
      </c>
      <c r="O356" t="s">
        <v>620</v>
      </c>
      <c r="P356">
        <f t="shared" si="47"/>
        <v>13.082085559999999</v>
      </c>
      <c r="Q356">
        <f t="shared" si="48"/>
        <v>1.6E-2</v>
      </c>
      <c r="R356">
        <f t="shared" si="49"/>
        <v>1.4E-2</v>
      </c>
      <c r="S356">
        <f t="shared" si="50"/>
        <v>0.82299999999999995</v>
      </c>
      <c r="T356">
        <f t="shared" si="51"/>
        <v>2.0554166669999998</v>
      </c>
      <c r="U356">
        <f t="shared" si="52"/>
        <v>6.2764193080000004</v>
      </c>
      <c r="V356">
        <f t="shared" si="53"/>
        <v>0.01</v>
      </c>
      <c r="W356">
        <f t="shared" si="54"/>
        <v>4.8000000000000001E-2</v>
      </c>
      <c r="X356">
        <f t="shared" si="55"/>
        <v>0.89900000000000002</v>
      </c>
      <c r="Y356">
        <v>191.44274480000001</v>
      </c>
      <c r="Z356">
        <v>0</v>
      </c>
      <c r="AA356">
        <v>236250</v>
      </c>
      <c r="AB356">
        <v>76158</v>
      </c>
      <c r="AC356">
        <v>1.7652984E-2</v>
      </c>
      <c r="AD356">
        <v>0.84750225300000004</v>
      </c>
      <c r="AF356">
        <v>13.082085559999999</v>
      </c>
      <c r="AG356">
        <v>1.6E-2</v>
      </c>
      <c r="AH356">
        <v>1.4E-2</v>
      </c>
      <c r="AI356">
        <v>0.82299999999999995</v>
      </c>
      <c r="AJ356">
        <v>2.0554166669999998</v>
      </c>
      <c r="AK356">
        <v>6.2764193080000004</v>
      </c>
      <c r="AL356">
        <v>0.01</v>
      </c>
      <c r="AM356">
        <v>4.8000000000000001E-2</v>
      </c>
      <c r="AN356">
        <v>0.89900000000000002</v>
      </c>
    </row>
    <row r="357" spans="1:40">
      <c r="A357">
        <v>2425</v>
      </c>
      <c r="B357" t="s">
        <v>691</v>
      </c>
      <c r="C357" t="s">
        <v>684</v>
      </c>
      <c r="D357" t="s">
        <v>685</v>
      </c>
      <c r="E357">
        <v>177</v>
      </c>
      <c r="F357">
        <v>516</v>
      </c>
      <c r="G357">
        <v>100.61148780000001</v>
      </c>
      <c r="H357">
        <v>34</v>
      </c>
      <c r="I357">
        <v>0.157258599</v>
      </c>
      <c r="J357">
        <v>550</v>
      </c>
      <c r="K357">
        <v>3497.4240100000002</v>
      </c>
      <c r="L357">
        <v>0.877</v>
      </c>
      <c r="M357">
        <v>0.16113744099999999</v>
      </c>
      <c r="N357">
        <v>0</v>
      </c>
      <c r="O357" t="s">
        <v>620</v>
      </c>
      <c r="P357">
        <f t="shared" si="47"/>
        <v>13.147</v>
      </c>
      <c r="Q357">
        <f t="shared" si="48"/>
        <v>3.0000000000000001E-3</v>
      </c>
      <c r="R357">
        <f t="shared" si="49"/>
        <v>1.2999999999999999E-2</v>
      </c>
      <c r="S357">
        <f t="shared" si="50"/>
        <v>0.877</v>
      </c>
      <c r="T357">
        <f t="shared" si="51"/>
        <v>1.1575</v>
      </c>
      <c r="U357">
        <f t="shared" si="52"/>
        <v>8.1979841899999997</v>
      </c>
      <c r="V357">
        <f t="shared" si="53"/>
        <v>3.5151315789473656E-2</v>
      </c>
      <c r="W357">
        <f t="shared" si="54"/>
        <v>5.9146341463414652E-2</v>
      </c>
      <c r="X357">
        <f t="shared" si="55"/>
        <v>0.95199999999999996</v>
      </c>
      <c r="Y357">
        <v>101.80039669999999</v>
      </c>
      <c r="Z357">
        <v>0</v>
      </c>
      <c r="AA357">
        <v>236250</v>
      </c>
      <c r="AB357">
        <v>76158</v>
      </c>
      <c r="AC357">
        <v>1.7652984E-2</v>
      </c>
      <c r="AD357">
        <v>0.84750225300000004</v>
      </c>
      <c r="AF357">
        <v>13.147</v>
      </c>
      <c r="AG357">
        <v>3.0000000000000001E-3</v>
      </c>
      <c r="AH357">
        <v>1.2999999999999999E-2</v>
      </c>
      <c r="AI357">
        <v>0.877</v>
      </c>
      <c r="AJ357">
        <v>1.1575</v>
      </c>
      <c r="AK357">
        <v>8.1979841899999997</v>
      </c>
      <c r="AL357">
        <v>0</v>
      </c>
      <c r="AM357">
        <v>0</v>
      </c>
      <c r="AN357">
        <v>0.95199999999999996</v>
      </c>
    </row>
    <row r="358" spans="1:40">
      <c r="A358">
        <v>2426</v>
      </c>
      <c r="B358" t="s">
        <v>691</v>
      </c>
      <c r="C358" t="s">
        <v>684</v>
      </c>
      <c r="D358" t="s">
        <v>685</v>
      </c>
      <c r="E358">
        <v>389</v>
      </c>
      <c r="F358">
        <v>1310</v>
      </c>
      <c r="G358">
        <v>111.30649680000001</v>
      </c>
      <c r="H358">
        <v>81</v>
      </c>
      <c r="I358">
        <v>0.17397966100000001</v>
      </c>
      <c r="J358">
        <v>1391</v>
      </c>
      <c r="K358">
        <v>7995.1874369999996</v>
      </c>
      <c r="L358">
        <v>0.85799999999999998</v>
      </c>
      <c r="M358">
        <v>0.17234042599999999</v>
      </c>
      <c r="N358">
        <v>0</v>
      </c>
      <c r="O358" t="s">
        <v>620</v>
      </c>
      <c r="P358">
        <f t="shared" si="47"/>
        <v>13.259857139999999</v>
      </c>
      <c r="Q358">
        <f t="shared" si="48"/>
        <v>2.1999999999999999E-2</v>
      </c>
      <c r="R358">
        <f t="shared" si="49"/>
        <v>1.2999999999999999E-2</v>
      </c>
      <c r="S358">
        <f t="shared" si="50"/>
        <v>0.85799999999999998</v>
      </c>
      <c r="T358">
        <f t="shared" si="51"/>
        <v>2.1666666669999999</v>
      </c>
      <c r="U358">
        <f t="shared" si="52"/>
        <v>7.8310298100000004</v>
      </c>
      <c r="V358">
        <f t="shared" si="53"/>
        <v>2.7E-2</v>
      </c>
      <c r="W358">
        <f t="shared" si="54"/>
        <v>0.04</v>
      </c>
      <c r="X358">
        <f t="shared" si="55"/>
        <v>0.93300000000000005</v>
      </c>
      <c r="Y358">
        <v>119.1454482</v>
      </c>
      <c r="Z358">
        <v>0</v>
      </c>
      <c r="AA358">
        <v>236250</v>
      </c>
      <c r="AB358">
        <v>76158</v>
      </c>
      <c r="AC358">
        <v>1.7652984E-2</v>
      </c>
      <c r="AD358">
        <v>0.84750225300000004</v>
      </c>
      <c r="AF358">
        <v>13.259857139999999</v>
      </c>
      <c r="AG358">
        <v>2.1999999999999999E-2</v>
      </c>
      <c r="AH358">
        <v>1.2999999999999999E-2</v>
      </c>
      <c r="AI358">
        <v>0.85799999999999998</v>
      </c>
      <c r="AJ358">
        <v>2.1666666669999999</v>
      </c>
      <c r="AK358">
        <v>7.8310298100000004</v>
      </c>
      <c r="AL358">
        <v>2.7E-2</v>
      </c>
      <c r="AM358">
        <v>0.04</v>
      </c>
      <c r="AN358">
        <v>0.93300000000000005</v>
      </c>
    </row>
    <row r="359" spans="1:40">
      <c r="A359">
        <v>2427</v>
      </c>
      <c r="B359" t="s">
        <v>691</v>
      </c>
      <c r="C359" t="s">
        <v>684</v>
      </c>
      <c r="D359" t="s">
        <v>685</v>
      </c>
      <c r="E359">
        <v>439</v>
      </c>
      <c r="F359">
        <v>1408</v>
      </c>
      <c r="G359">
        <v>56.249465239999999</v>
      </c>
      <c r="H359">
        <v>1802</v>
      </c>
      <c r="I359">
        <v>8.7916338999999996E-2</v>
      </c>
      <c r="J359">
        <v>3210</v>
      </c>
      <c r="K359">
        <v>36511.984420000001</v>
      </c>
      <c r="L359">
        <v>0.79100000000000004</v>
      </c>
      <c r="M359">
        <v>0.80410530999999996</v>
      </c>
      <c r="N359">
        <v>1</v>
      </c>
      <c r="O359" t="s">
        <v>613</v>
      </c>
      <c r="P359">
        <f t="shared" si="47"/>
        <v>13.32589333</v>
      </c>
      <c r="Q359">
        <f t="shared" si="48"/>
        <v>3.3000000000000002E-2</v>
      </c>
      <c r="R359">
        <f t="shared" si="49"/>
        <v>1.2E-2</v>
      </c>
      <c r="S359">
        <f t="shared" si="50"/>
        <v>0.79100000000000004</v>
      </c>
      <c r="T359">
        <f t="shared" si="51"/>
        <v>1.97675</v>
      </c>
      <c r="U359">
        <f t="shared" si="52"/>
        <v>6.9314683649999997</v>
      </c>
      <c r="V359">
        <f t="shared" si="53"/>
        <v>3.5000000000000003E-2</v>
      </c>
      <c r="W359">
        <f t="shared" si="54"/>
        <v>8.3000000000000004E-2</v>
      </c>
      <c r="X359">
        <f t="shared" si="55"/>
        <v>0.82099999999999995</v>
      </c>
      <c r="Y359">
        <v>50.54257183</v>
      </c>
      <c r="Z359">
        <v>0</v>
      </c>
      <c r="AA359">
        <v>236250</v>
      </c>
      <c r="AB359">
        <v>76158</v>
      </c>
      <c r="AC359">
        <v>1.7652984E-2</v>
      </c>
      <c r="AD359">
        <v>0.84750225300000004</v>
      </c>
      <c r="AF359">
        <v>13.32589333</v>
      </c>
      <c r="AG359">
        <v>3.3000000000000002E-2</v>
      </c>
      <c r="AH359">
        <v>1.2E-2</v>
      </c>
      <c r="AI359">
        <v>0.79100000000000004</v>
      </c>
      <c r="AJ359">
        <v>1.97675</v>
      </c>
      <c r="AK359">
        <v>6.9314683649999997</v>
      </c>
      <c r="AL359">
        <v>3.5000000000000003E-2</v>
      </c>
      <c r="AM359">
        <v>8.3000000000000004E-2</v>
      </c>
      <c r="AN359">
        <v>0.82099999999999995</v>
      </c>
    </row>
    <row r="360" spans="1:40">
      <c r="A360">
        <v>2428</v>
      </c>
      <c r="B360" t="s">
        <v>691</v>
      </c>
      <c r="C360" t="s">
        <v>684</v>
      </c>
      <c r="D360" t="s">
        <v>685</v>
      </c>
      <c r="E360">
        <v>819</v>
      </c>
      <c r="F360">
        <v>2232</v>
      </c>
      <c r="G360">
        <v>63.449622390000002</v>
      </c>
      <c r="H360">
        <v>6</v>
      </c>
      <c r="I360">
        <v>9.9181221E-2</v>
      </c>
      <c r="J360">
        <v>2238</v>
      </c>
      <c r="K360">
        <v>22564.75548</v>
      </c>
      <c r="L360">
        <v>0.75900000000000001</v>
      </c>
      <c r="M360">
        <v>7.2727269999999997E-3</v>
      </c>
      <c r="N360">
        <v>0</v>
      </c>
      <c r="O360" t="s">
        <v>613</v>
      </c>
      <c r="P360">
        <f t="shared" si="47"/>
        <v>12.929695430000001</v>
      </c>
      <c r="Q360">
        <f t="shared" si="48"/>
        <v>2.5000000000000001E-2</v>
      </c>
      <c r="R360">
        <f t="shared" si="49"/>
        <v>2.5000000000000001E-2</v>
      </c>
      <c r="S360">
        <f t="shared" si="50"/>
        <v>0.75900000000000001</v>
      </c>
      <c r="T360">
        <f t="shared" si="51"/>
        <v>1.6313888889999999</v>
      </c>
      <c r="U360">
        <f t="shared" si="52"/>
        <v>6.1323943659999998</v>
      </c>
      <c r="V360">
        <f t="shared" si="53"/>
        <v>4.8000000000000001E-2</v>
      </c>
      <c r="W360">
        <f t="shared" si="54"/>
        <v>8.7999999999999995E-2</v>
      </c>
      <c r="X360">
        <f t="shared" si="55"/>
        <v>0.78800000000000003</v>
      </c>
      <c r="Y360">
        <v>180.5107438</v>
      </c>
      <c r="Z360">
        <v>0</v>
      </c>
      <c r="AA360">
        <v>236250</v>
      </c>
      <c r="AB360">
        <v>76158</v>
      </c>
      <c r="AC360">
        <v>1.7652984E-2</v>
      </c>
      <c r="AD360">
        <v>0.84750225300000004</v>
      </c>
      <c r="AF360">
        <v>12.929695430000001</v>
      </c>
      <c r="AG360">
        <v>2.5000000000000001E-2</v>
      </c>
      <c r="AH360">
        <v>2.5000000000000001E-2</v>
      </c>
      <c r="AI360">
        <v>0.75900000000000001</v>
      </c>
      <c r="AJ360">
        <v>1.6313888889999999</v>
      </c>
      <c r="AK360">
        <v>6.1323943659999998</v>
      </c>
      <c r="AL360">
        <v>4.8000000000000001E-2</v>
      </c>
      <c r="AM360">
        <v>8.7999999999999995E-2</v>
      </c>
      <c r="AN360">
        <v>0.78800000000000003</v>
      </c>
    </row>
    <row r="361" spans="1:40">
      <c r="A361">
        <v>2429</v>
      </c>
      <c r="B361" t="s">
        <v>691</v>
      </c>
      <c r="C361" t="s">
        <v>684</v>
      </c>
      <c r="D361" t="s">
        <v>685</v>
      </c>
      <c r="E361">
        <v>701</v>
      </c>
      <c r="F361">
        <v>1929</v>
      </c>
      <c r="G361">
        <v>37.48726886</v>
      </c>
      <c r="H361">
        <v>0</v>
      </c>
      <c r="I361">
        <v>5.8593733000000002E-2</v>
      </c>
      <c r="J361">
        <v>1929</v>
      </c>
      <c r="K361">
        <v>32921.609550000001</v>
      </c>
      <c r="L361">
        <v>0.77900000000000003</v>
      </c>
      <c r="M361">
        <v>0</v>
      </c>
      <c r="N361">
        <v>0</v>
      </c>
      <c r="O361" t="s">
        <v>620</v>
      </c>
      <c r="P361">
        <f t="shared" si="47"/>
        <v>10.85173077</v>
      </c>
      <c r="Q361">
        <f t="shared" si="48"/>
        <v>3.1E-2</v>
      </c>
      <c r="R361">
        <f t="shared" si="49"/>
        <v>1.6E-2</v>
      </c>
      <c r="S361">
        <f t="shared" si="50"/>
        <v>0.77900000000000003</v>
      </c>
      <c r="T361">
        <f t="shared" si="51"/>
        <v>1.848125</v>
      </c>
      <c r="U361">
        <f t="shared" si="52"/>
        <v>6.2772654159999997</v>
      </c>
      <c r="V361">
        <f t="shared" si="53"/>
        <v>1.0999999999999999E-2</v>
      </c>
      <c r="W361">
        <f t="shared" si="54"/>
        <v>4.5999999999999999E-2</v>
      </c>
      <c r="X361">
        <f t="shared" si="55"/>
        <v>0.89700000000000002</v>
      </c>
      <c r="Y361">
        <v>23.327394160000001</v>
      </c>
      <c r="Z361">
        <v>0</v>
      </c>
      <c r="AA361">
        <v>236250</v>
      </c>
      <c r="AB361">
        <v>76158</v>
      </c>
      <c r="AC361">
        <v>1.7652984E-2</v>
      </c>
      <c r="AD361">
        <v>0.84750225300000004</v>
      </c>
      <c r="AF361">
        <v>10.85173077</v>
      </c>
      <c r="AG361">
        <v>3.1E-2</v>
      </c>
      <c r="AH361">
        <v>1.6E-2</v>
      </c>
      <c r="AI361">
        <v>0.77900000000000003</v>
      </c>
      <c r="AJ361">
        <v>1.848125</v>
      </c>
      <c r="AK361">
        <v>6.2772654159999997</v>
      </c>
      <c r="AL361">
        <v>1.0999999999999999E-2</v>
      </c>
      <c r="AM361">
        <v>4.5999999999999999E-2</v>
      </c>
      <c r="AN361">
        <v>0.89700000000000002</v>
      </c>
    </row>
    <row r="362" spans="1:40">
      <c r="A362">
        <v>2430</v>
      </c>
      <c r="B362" t="s">
        <v>689</v>
      </c>
      <c r="C362" t="s">
        <v>687</v>
      </c>
      <c r="D362" t="s">
        <v>688</v>
      </c>
      <c r="E362">
        <v>545</v>
      </c>
      <c r="F362">
        <v>1386</v>
      </c>
      <c r="G362">
        <v>30.511695410000002</v>
      </c>
      <c r="H362">
        <v>85</v>
      </c>
      <c r="I362">
        <v>4.7694938999999999E-2</v>
      </c>
      <c r="J362">
        <v>1471</v>
      </c>
      <c r="K362">
        <v>30841.84676</v>
      </c>
      <c r="L362">
        <v>0.71</v>
      </c>
      <c r="M362">
        <v>0.13492063500000001</v>
      </c>
      <c r="N362">
        <v>0</v>
      </c>
      <c r="O362" t="s">
        <v>613</v>
      </c>
      <c r="P362">
        <f t="shared" si="47"/>
        <v>9.0793706289999996</v>
      </c>
      <c r="Q362">
        <f t="shared" si="48"/>
        <v>5.8999999999999997E-2</v>
      </c>
      <c r="R362">
        <f t="shared" si="49"/>
        <v>0.04</v>
      </c>
      <c r="S362">
        <f t="shared" si="50"/>
        <v>0.71</v>
      </c>
      <c r="T362">
        <f t="shared" si="51"/>
        <v>2.1633333330000002</v>
      </c>
      <c r="U362">
        <f t="shared" si="52"/>
        <v>5.0144570499999999</v>
      </c>
      <c r="V362">
        <f t="shared" si="53"/>
        <v>4.9000000000000002E-2</v>
      </c>
      <c r="W362">
        <f t="shared" si="54"/>
        <v>0.185</v>
      </c>
      <c r="X362">
        <f t="shared" si="55"/>
        <v>0.69799999999999995</v>
      </c>
      <c r="Y362">
        <v>319.31876990000001</v>
      </c>
      <c r="Z362">
        <v>0</v>
      </c>
      <c r="AA362">
        <v>454184</v>
      </c>
      <c r="AB362">
        <v>170596</v>
      </c>
      <c r="AC362">
        <v>6.5715274000000004E-2</v>
      </c>
      <c r="AD362">
        <v>0.72549415100000003</v>
      </c>
      <c r="AF362">
        <v>9.0793706289999996</v>
      </c>
      <c r="AG362">
        <v>5.8999999999999997E-2</v>
      </c>
      <c r="AH362">
        <v>0.04</v>
      </c>
      <c r="AI362">
        <v>0.71</v>
      </c>
      <c r="AJ362">
        <v>2.1633333330000002</v>
      </c>
      <c r="AK362">
        <v>5.0144570499999999</v>
      </c>
      <c r="AL362">
        <v>4.9000000000000002E-2</v>
      </c>
      <c r="AM362">
        <v>0.185</v>
      </c>
      <c r="AN362">
        <v>0.69799999999999995</v>
      </c>
    </row>
    <row r="363" spans="1:40">
      <c r="A363">
        <v>2431</v>
      </c>
      <c r="B363" t="s">
        <v>690</v>
      </c>
      <c r="C363" t="s">
        <v>687</v>
      </c>
      <c r="D363" t="s">
        <v>688</v>
      </c>
      <c r="E363">
        <v>172</v>
      </c>
      <c r="F363">
        <v>184</v>
      </c>
      <c r="G363">
        <v>81.947867680000002</v>
      </c>
      <c r="H363">
        <v>780</v>
      </c>
      <c r="I363">
        <v>0.12809531699999999</v>
      </c>
      <c r="J363">
        <v>964</v>
      </c>
      <c r="K363">
        <v>7525.6459219999997</v>
      </c>
      <c r="L363">
        <v>0.80500000000000005</v>
      </c>
      <c r="M363">
        <v>0.819327731</v>
      </c>
      <c r="N363">
        <v>0</v>
      </c>
      <c r="O363" t="s">
        <v>613</v>
      </c>
      <c r="P363">
        <f t="shared" si="47"/>
        <v>15.411386139999999</v>
      </c>
      <c r="Q363">
        <f t="shared" si="48"/>
        <v>3.9E-2</v>
      </c>
      <c r="R363">
        <f t="shared" si="49"/>
        <v>3.1E-2</v>
      </c>
      <c r="S363">
        <f t="shared" si="50"/>
        <v>0.80500000000000005</v>
      </c>
      <c r="T363">
        <f t="shared" si="51"/>
        <v>2.5019999999999998</v>
      </c>
      <c r="U363">
        <f t="shared" si="52"/>
        <v>8.1479116470000008</v>
      </c>
      <c r="V363">
        <f t="shared" si="53"/>
        <v>0.06</v>
      </c>
      <c r="W363">
        <f t="shared" si="54"/>
        <v>7.4999999999999997E-2</v>
      </c>
      <c r="X363">
        <f t="shared" si="55"/>
        <v>0.75900000000000001</v>
      </c>
      <c r="Y363">
        <v>189.4038256</v>
      </c>
      <c r="Z363">
        <v>0</v>
      </c>
      <c r="AA363">
        <v>82284</v>
      </c>
      <c r="AB363">
        <v>32030</v>
      </c>
      <c r="AC363">
        <v>4.7570397E-2</v>
      </c>
      <c r="AD363">
        <v>0.78974696300000002</v>
      </c>
      <c r="AF363">
        <v>15.411386139999999</v>
      </c>
      <c r="AG363">
        <v>3.9E-2</v>
      </c>
      <c r="AH363">
        <v>3.1E-2</v>
      </c>
      <c r="AI363">
        <v>0.80500000000000005</v>
      </c>
      <c r="AJ363">
        <v>2.5019999999999998</v>
      </c>
      <c r="AK363">
        <v>8.1479116470000008</v>
      </c>
      <c r="AL363">
        <v>0.06</v>
      </c>
      <c r="AM363">
        <v>7.4999999999999997E-2</v>
      </c>
      <c r="AN363">
        <v>0.75900000000000001</v>
      </c>
    </row>
    <row r="364" spans="1:40">
      <c r="A364">
        <v>2432</v>
      </c>
      <c r="B364" t="s">
        <v>690</v>
      </c>
      <c r="C364" t="s">
        <v>687</v>
      </c>
      <c r="D364" t="s">
        <v>688</v>
      </c>
      <c r="E364">
        <v>1069</v>
      </c>
      <c r="F364">
        <v>2538</v>
      </c>
      <c r="G364">
        <v>94.327672849999999</v>
      </c>
      <c r="H364">
        <v>73</v>
      </c>
      <c r="I364">
        <v>0.147445731</v>
      </c>
      <c r="J364">
        <v>2611</v>
      </c>
      <c r="K364">
        <v>17708.210220000001</v>
      </c>
      <c r="L364">
        <v>0.74299999999999999</v>
      </c>
      <c r="M364">
        <v>6.3922941999999996E-2</v>
      </c>
      <c r="N364">
        <v>0</v>
      </c>
      <c r="O364" t="s">
        <v>613</v>
      </c>
      <c r="P364">
        <f t="shared" si="47"/>
        <v>10.91334928</v>
      </c>
      <c r="Q364">
        <f t="shared" si="48"/>
        <v>5.8000000000000003E-2</v>
      </c>
      <c r="R364">
        <f t="shared" si="49"/>
        <v>2.3E-2</v>
      </c>
      <c r="S364">
        <f t="shared" si="50"/>
        <v>0.74299999999999999</v>
      </c>
      <c r="T364">
        <f t="shared" si="51"/>
        <v>3.212647059</v>
      </c>
      <c r="U364">
        <f t="shared" si="52"/>
        <v>6.3964344640000004</v>
      </c>
      <c r="V364">
        <f t="shared" si="53"/>
        <v>7.0999999999999994E-2</v>
      </c>
      <c r="W364">
        <f t="shared" si="54"/>
        <v>0.23699999999999999</v>
      </c>
      <c r="X364">
        <f t="shared" si="55"/>
        <v>0.67</v>
      </c>
      <c r="Y364">
        <v>249.8160293</v>
      </c>
      <c r="Z364">
        <v>0</v>
      </c>
      <c r="AA364">
        <v>82284</v>
      </c>
      <c r="AB364">
        <v>32030</v>
      </c>
      <c r="AC364">
        <v>4.7570397E-2</v>
      </c>
      <c r="AD364">
        <v>0.78974696300000002</v>
      </c>
      <c r="AF364">
        <v>10.91334928</v>
      </c>
      <c r="AG364">
        <v>5.8000000000000003E-2</v>
      </c>
      <c r="AH364">
        <v>2.3E-2</v>
      </c>
      <c r="AI364">
        <v>0.74299999999999999</v>
      </c>
      <c r="AJ364">
        <v>3.212647059</v>
      </c>
      <c r="AK364">
        <v>6.3964344640000004</v>
      </c>
      <c r="AL364">
        <v>7.0999999999999994E-2</v>
      </c>
      <c r="AM364">
        <v>0.23699999999999999</v>
      </c>
      <c r="AN364">
        <v>0.67</v>
      </c>
    </row>
    <row r="365" spans="1:40">
      <c r="A365">
        <v>2433</v>
      </c>
      <c r="B365" t="s">
        <v>690</v>
      </c>
      <c r="C365" t="s">
        <v>687</v>
      </c>
      <c r="D365" t="s">
        <v>688</v>
      </c>
      <c r="E365">
        <v>339</v>
      </c>
      <c r="F365">
        <v>795</v>
      </c>
      <c r="G365">
        <v>33.906599319999998</v>
      </c>
      <c r="H365">
        <v>22</v>
      </c>
      <c r="I365">
        <v>5.3005547E-2</v>
      </c>
      <c r="J365">
        <v>817</v>
      </c>
      <c r="K365">
        <v>15413.481159999999</v>
      </c>
      <c r="L365">
        <v>0.80500000000000005</v>
      </c>
      <c r="M365">
        <v>6.0941828000000003E-2</v>
      </c>
      <c r="N365">
        <v>0</v>
      </c>
      <c r="O365" t="s">
        <v>613</v>
      </c>
      <c r="P365">
        <f t="shared" si="47"/>
        <v>11.542525250000001</v>
      </c>
      <c r="Q365">
        <f t="shared" si="48"/>
        <v>5.1999999999999998E-2</v>
      </c>
      <c r="R365">
        <f t="shared" si="49"/>
        <v>3.3000000000000002E-2</v>
      </c>
      <c r="S365">
        <f t="shared" si="50"/>
        <v>0.80500000000000005</v>
      </c>
      <c r="T365">
        <f t="shared" si="51"/>
        <v>2.526875</v>
      </c>
      <c r="U365">
        <f t="shared" si="52"/>
        <v>7.7921546959999999</v>
      </c>
      <c r="V365">
        <f t="shared" si="53"/>
        <v>5.8000000000000003E-2</v>
      </c>
      <c r="W365">
        <f t="shared" si="54"/>
        <v>0.124</v>
      </c>
      <c r="X365">
        <f t="shared" si="55"/>
        <v>0.81799999999999995</v>
      </c>
      <c r="Y365">
        <v>188.22108679999999</v>
      </c>
      <c r="Z365">
        <v>0</v>
      </c>
      <c r="AA365">
        <v>82284</v>
      </c>
      <c r="AB365">
        <v>32030</v>
      </c>
      <c r="AC365">
        <v>4.7570397E-2</v>
      </c>
      <c r="AD365">
        <v>0.78974696300000002</v>
      </c>
      <c r="AF365">
        <v>11.542525250000001</v>
      </c>
      <c r="AG365">
        <v>5.1999999999999998E-2</v>
      </c>
      <c r="AH365">
        <v>3.3000000000000002E-2</v>
      </c>
      <c r="AI365">
        <v>0.80500000000000005</v>
      </c>
      <c r="AJ365">
        <v>2.526875</v>
      </c>
      <c r="AK365">
        <v>7.7921546959999999</v>
      </c>
      <c r="AL365">
        <v>5.8000000000000003E-2</v>
      </c>
      <c r="AM365">
        <v>0.124</v>
      </c>
      <c r="AN365">
        <v>0.81799999999999995</v>
      </c>
    </row>
    <row r="366" spans="1:40">
      <c r="A366">
        <v>2434</v>
      </c>
      <c r="B366" t="s">
        <v>690</v>
      </c>
      <c r="C366" t="s">
        <v>687</v>
      </c>
      <c r="D366" t="s">
        <v>688</v>
      </c>
      <c r="E366">
        <v>283</v>
      </c>
      <c r="F366">
        <v>668</v>
      </c>
      <c r="G366">
        <v>33.073244410000001</v>
      </c>
      <c r="H366">
        <v>233</v>
      </c>
      <c r="I366">
        <v>5.1700164E-2</v>
      </c>
      <c r="J366">
        <v>901</v>
      </c>
      <c r="K366">
        <v>17427.41087</v>
      </c>
      <c r="L366">
        <v>0.74199999999999999</v>
      </c>
      <c r="M366">
        <v>0.45155038800000002</v>
      </c>
      <c r="N366">
        <v>0</v>
      </c>
      <c r="O366" t="s">
        <v>613</v>
      </c>
      <c r="P366">
        <f t="shared" si="47"/>
        <v>10.021285710000001</v>
      </c>
      <c r="Q366">
        <f t="shared" si="48"/>
        <v>7.5999999999999998E-2</v>
      </c>
      <c r="R366">
        <f t="shared" si="49"/>
        <v>2.1999999999999999E-2</v>
      </c>
      <c r="S366">
        <f t="shared" si="50"/>
        <v>0.74199999999999999</v>
      </c>
      <c r="T366">
        <f t="shared" si="51"/>
        <v>2.4308333329999998</v>
      </c>
      <c r="U366">
        <f t="shared" si="52"/>
        <v>6.0964857879999999</v>
      </c>
      <c r="V366">
        <f t="shared" si="53"/>
        <v>7.4999999999999997E-2</v>
      </c>
      <c r="W366">
        <f t="shared" si="54"/>
        <v>0.19800000000000001</v>
      </c>
      <c r="X366">
        <f t="shared" si="55"/>
        <v>0.66</v>
      </c>
      <c r="Y366">
        <v>128.8380741</v>
      </c>
      <c r="Z366">
        <v>0</v>
      </c>
      <c r="AA366">
        <v>82284</v>
      </c>
      <c r="AB366">
        <v>32030</v>
      </c>
      <c r="AC366">
        <v>4.7570397E-2</v>
      </c>
      <c r="AD366">
        <v>0.78974696300000002</v>
      </c>
      <c r="AF366">
        <v>10.021285710000001</v>
      </c>
      <c r="AG366">
        <v>7.5999999999999998E-2</v>
      </c>
      <c r="AH366">
        <v>2.1999999999999999E-2</v>
      </c>
      <c r="AI366">
        <v>0.74199999999999999</v>
      </c>
      <c r="AJ366">
        <v>2.4308333329999998</v>
      </c>
      <c r="AK366">
        <v>6.0964857879999999</v>
      </c>
      <c r="AL366">
        <v>7.4999999999999997E-2</v>
      </c>
      <c r="AM366">
        <v>0.19800000000000001</v>
      </c>
      <c r="AN366">
        <v>0.66</v>
      </c>
    </row>
    <row r="367" spans="1:40">
      <c r="A367">
        <v>2435</v>
      </c>
      <c r="B367" t="s">
        <v>686</v>
      </c>
      <c r="C367" t="s">
        <v>687</v>
      </c>
      <c r="D367" t="s">
        <v>688</v>
      </c>
      <c r="E367">
        <v>440</v>
      </c>
      <c r="F367">
        <v>1102</v>
      </c>
      <c r="G367">
        <v>163.9781117</v>
      </c>
      <c r="H367">
        <v>208</v>
      </c>
      <c r="I367">
        <v>0.25632713299999998</v>
      </c>
      <c r="J367">
        <v>1310</v>
      </c>
      <c r="K367">
        <v>5110.6567789999999</v>
      </c>
      <c r="L367">
        <v>0.83199999999999996</v>
      </c>
      <c r="M367">
        <v>0.32098765400000001</v>
      </c>
      <c r="N367">
        <v>0</v>
      </c>
      <c r="O367" t="s">
        <v>620</v>
      </c>
      <c r="P367">
        <f t="shared" si="47"/>
        <v>13.979027779999999</v>
      </c>
      <c r="Q367">
        <f t="shared" si="48"/>
        <v>3.9E-2</v>
      </c>
      <c r="R367">
        <f t="shared" si="49"/>
        <v>4.8000000000000001E-2</v>
      </c>
      <c r="S367">
        <f t="shared" si="50"/>
        <v>0.83199999999999996</v>
      </c>
      <c r="T367">
        <f t="shared" si="51"/>
        <v>2.160789474</v>
      </c>
      <c r="U367">
        <f t="shared" si="52"/>
        <v>7.8453074430000003</v>
      </c>
      <c r="V367">
        <f t="shared" si="53"/>
        <v>5.1999999999999998E-2</v>
      </c>
      <c r="W367">
        <f t="shared" si="54"/>
        <v>9.2999999999999999E-2</v>
      </c>
      <c r="X367">
        <f t="shared" si="55"/>
        <v>0.83699999999999997</v>
      </c>
      <c r="Y367">
        <v>107.9340504</v>
      </c>
      <c r="Z367">
        <v>1</v>
      </c>
      <c r="AA367">
        <v>140316</v>
      </c>
      <c r="AB367">
        <v>49638</v>
      </c>
      <c r="AC367">
        <v>9.1283894000000004E-2</v>
      </c>
      <c r="AD367">
        <v>0.60339869999999995</v>
      </c>
      <c r="AF367">
        <v>13.979027779999999</v>
      </c>
      <c r="AG367">
        <v>3.9E-2</v>
      </c>
      <c r="AH367">
        <v>4.8000000000000001E-2</v>
      </c>
      <c r="AI367">
        <v>0.83199999999999996</v>
      </c>
      <c r="AJ367">
        <v>2.160789474</v>
      </c>
      <c r="AK367">
        <v>7.8453074430000003</v>
      </c>
      <c r="AL367">
        <v>5.1999999999999998E-2</v>
      </c>
      <c r="AM367">
        <v>9.2999999999999999E-2</v>
      </c>
      <c r="AN367">
        <v>0.83699999999999997</v>
      </c>
    </row>
    <row r="368" spans="1:40">
      <c r="A368">
        <v>2436</v>
      </c>
      <c r="B368" t="s">
        <v>689</v>
      </c>
      <c r="C368" t="s">
        <v>687</v>
      </c>
      <c r="D368" t="s">
        <v>688</v>
      </c>
      <c r="E368">
        <v>795</v>
      </c>
      <c r="F368">
        <v>1592</v>
      </c>
      <c r="G368">
        <v>64.024994390000003</v>
      </c>
      <c r="H368">
        <v>326</v>
      </c>
      <c r="I368">
        <v>0.100088988</v>
      </c>
      <c r="J368">
        <v>1918</v>
      </c>
      <c r="K368">
        <v>19162.94728</v>
      </c>
      <c r="L368">
        <v>0.73899999999999999</v>
      </c>
      <c r="M368">
        <v>0.29081177499999999</v>
      </c>
      <c r="N368">
        <v>1</v>
      </c>
      <c r="O368" t="s">
        <v>606</v>
      </c>
      <c r="P368">
        <f t="shared" si="47"/>
        <v>8.9952287579999997</v>
      </c>
      <c r="Q368">
        <f t="shared" si="48"/>
        <v>6.3E-2</v>
      </c>
      <c r="R368">
        <f t="shared" si="49"/>
        <v>0.04</v>
      </c>
      <c r="S368">
        <f t="shared" si="50"/>
        <v>0.73899999999999999</v>
      </c>
      <c r="T368">
        <f t="shared" si="51"/>
        <v>1.8407017539999999</v>
      </c>
      <c r="U368">
        <f t="shared" si="52"/>
        <v>6.2757593690000002</v>
      </c>
      <c r="V368">
        <f t="shared" si="53"/>
        <v>0.111</v>
      </c>
      <c r="W368">
        <f t="shared" si="54"/>
        <v>0.20599999999999999</v>
      </c>
      <c r="X368">
        <f t="shared" si="55"/>
        <v>0.58399999999999996</v>
      </c>
      <c r="Y368">
        <v>120.65730019999999</v>
      </c>
      <c r="Z368">
        <v>0</v>
      </c>
      <c r="AA368">
        <v>454184</v>
      </c>
      <c r="AB368">
        <v>170596</v>
      </c>
      <c r="AC368">
        <v>6.5715274000000004E-2</v>
      </c>
      <c r="AD368">
        <v>0.72549415100000003</v>
      </c>
      <c r="AF368">
        <v>8.9952287579999997</v>
      </c>
      <c r="AG368">
        <v>6.3E-2</v>
      </c>
      <c r="AH368">
        <v>0.04</v>
      </c>
      <c r="AI368">
        <v>0.73899999999999999</v>
      </c>
      <c r="AJ368">
        <v>1.8407017539999999</v>
      </c>
      <c r="AK368">
        <v>6.2757593690000002</v>
      </c>
      <c r="AL368">
        <v>0.111</v>
      </c>
      <c r="AM368">
        <v>0.20599999999999999</v>
      </c>
      <c r="AN368">
        <v>0.58399999999999996</v>
      </c>
    </row>
    <row r="369" spans="1:40">
      <c r="A369">
        <v>2437</v>
      </c>
      <c r="B369" t="s">
        <v>686</v>
      </c>
      <c r="C369" t="s">
        <v>687</v>
      </c>
      <c r="D369" t="s">
        <v>688</v>
      </c>
      <c r="E369">
        <v>596</v>
      </c>
      <c r="F369">
        <v>1404</v>
      </c>
      <c r="G369">
        <v>73.100263749999996</v>
      </c>
      <c r="H369">
        <v>312</v>
      </c>
      <c r="I369">
        <v>0.11426391299999999</v>
      </c>
      <c r="J369">
        <v>1716</v>
      </c>
      <c r="K369">
        <v>15017.86483</v>
      </c>
      <c r="L369">
        <v>0.74</v>
      </c>
      <c r="M369">
        <v>0.34361233499999999</v>
      </c>
      <c r="N369">
        <v>0</v>
      </c>
      <c r="O369" t="s">
        <v>613</v>
      </c>
      <c r="P369">
        <f t="shared" si="47"/>
        <v>8.6517692309999994</v>
      </c>
      <c r="Q369">
        <f t="shared" si="48"/>
        <v>5.3999999999999999E-2</v>
      </c>
      <c r="R369">
        <f t="shared" si="49"/>
        <v>4.2999999999999997E-2</v>
      </c>
      <c r="S369">
        <f t="shared" si="50"/>
        <v>0.74</v>
      </c>
      <c r="T369">
        <f t="shared" si="51"/>
        <v>2.0014814809999999</v>
      </c>
      <c r="U369">
        <f t="shared" si="52"/>
        <v>6.266813559</v>
      </c>
      <c r="V369">
        <f t="shared" si="53"/>
        <v>9.0999999999999998E-2</v>
      </c>
      <c r="W369">
        <f t="shared" si="54"/>
        <v>0.157</v>
      </c>
      <c r="X369">
        <f t="shared" si="55"/>
        <v>0.65700000000000003</v>
      </c>
      <c r="Y369">
        <v>151.2149982</v>
      </c>
      <c r="Z369">
        <v>1</v>
      </c>
      <c r="AA369">
        <v>140316</v>
      </c>
      <c r="AB369">
        <v>49638</v>
      </c>
      <c r="AC369">
        <v>9.1283894000000004E-2</v>
      </c>
      <c r="AD369">
        <v>0.60339869999999995</v>
      </c>
      <c r="AF369">
        <v>8.6517692309999994</v>
      </c>
      <c r="AG369">
        <v>5.3999999999999999E-2</v>
      </c>
      <c r="AH369">
        <v>4.2999999999999997E-2</v>
      </c>
      <c r="AI369">
        <v>0.74</v>
      </c>
      <c r="AJ369">
        <v>2.0014814809999999</v>
      </c>
      <c r="AK369">
        <v>6.266813559</v>
      </c>
      <c r="AL369">
        <v>9.0999999999999998E-2</v>
      </c>
      <c r="AM369">
        <v>0.157</v>
      </c>
      <c r="AN369">
        <v>0.65700000000000003</v>
      </c>
    </row>
    <row r="370" spans="1:40">
      <c r="A370">
        <v>2438</v>
      </c>
      <c r="B370" t="s">
        <v>705</v>
      </c>
      <c r="C370" t="s">
        <v>696</v>
      </c>
      <c r="D370" t="s">
        <v>697</v>
      </c>
      <c r="E370">
        <v>563</v>
      </c>
      <c r="F370">
        <v>1669</v>
      </c>
      <c r="G370">
        <v>92.675357829999996</v>
      </c>
      <c r="H370">
        <v>341</v>
      </c>
      <c r="I370">
        <v>0.144857661</v>
      </c>
      <c r="J370">
        <v>2010</v>
      </c>
      <c r="K370">
        <v>13875.69001</v>
      </c>
      <c r="L370">
        <v>0.85099999999999998</v>
      </c>
      <c r="M370">
        <v>0.37721238899999998</v>
      </c>
      <c r="N370">
        <v>0</v>
      </c>
      <c r="O370" t="s">
        <v>613</v>
      </c>
      <c r="P370">
        <f t="shared" si="47"/>
        <v>12.76433862</v>
      </c>
      <c r="Q370">
        <f t="shared" si="48"/>
        <v>2.9000000000000001E-2</v>
      </c>
      <c r="R370">
        <f t="shared" si="49"/>
        <v>2.1999999999999999E-2</v>
      </c>
      <c r="S370">
        <f t="shared" si="50"/>
        <v>0.85099999999999998</v>
      </c>
      <c r="T370">
        <f t="shared" si="51"/>
        <v>2.6496774190000001</v>
      </c>
      <c r="U370">
        <f t="shared" si="52"/>
        <v>6.3353425850000002</v>
      </c>
      <c r="V370">
        <f t="shared" si="53"/>
        <v>5.3999999999999999E-2</v>
      </c>
      <c r="W370">
        <f t="shared" si="54"/>
        <v>0.121</v>
      </c>
      <c r="X370">
        <f t="shared" si="55"/>
        <v>0.79100000000000004</v>
      </c>
      <c r="Y370">
        <v>83.232672649999998</v>
      </c>
      <c r="Z370">
        <v>0</v>
      </c>
      <c r="AA370">
        <v>152832</v>
      </c>
      <c r="AB370">
        <v>45686</v>
      </c>
      <c r="AC370">
        <v>2.1596295000000001E-2</v>
      </c>
      <c r="AD370">
        <v>0.84212384500000004</v>
      </c>
      <c r="AF370">
        <v>12.76433862</v>
      </c>
      <c r="AG370">
        <v>2.9000000000000001E-2</v>
      </c>
      <c r="AH370">
        <v>2.1999999999999999E-2</v>
      </c>
      <c r="AI370">
        <v>0.85099999999999998</v>
      </c>
      <c r="AJ370">
        <v>2.6496774190000001</v>
      </c>
      <c r="AK370">
        <v>6.3353425850000002</v>
      </c>
      <c r="AL370">
        <v>5.3999999999999999E-2</v>
      </c>
      <c r="AM370">
        <v>0.121</v>
      </c>
      <c r="AN370">
        <v>0.79100000000000004</v>
      </c>
    </row>
    <row r="371" spans="1:40">
      <c r="A371">
        <v>2439</v>
      </c>
      <c r="B371" t="s">
        <v>689</v>
      </c>
      <c r="C371" t="s">
        <v>687</v>
      </c>
      <c r="D371" t="s">
        <v>688</v>
      </c>
      <c r="E371">
        <v>481</v>
      </c>
      <c r="F371">
        <v>1083</v>
      </c>
      <c r="G371">
        <v>64.171888940000002</v>
      </c>
      <c r="H371">
        <v>127</v>
      </c>
      <c r="I371">
        <v>0.100314695</v>
      </c>
      <c r="J371">
        <v>1210</v>
      </c>
      <c r="K371">
        <v>12062.041359999999</v>
      </c>
      <c r="L371">
        <v>0.76</v>
      </c>
      <c r="M371">
        <v>0.20888157900000001</v>
      </c>
      <c r="N371">
        <v>0</v>
      </c>
      <c r="O371" t="s">
        <v>620</v>
      </c>
      <c r="P371">
        <f t="shared" si="47"/>
        <v>8.5168478259999993</v>
      </c>
      <c r="Q371">
        <f t="shared" si="48"/>
        <v>5.8999999999999997E-2</v>
      </c>
      <c r="R371">
        <f t="shared" si="49"/>
        <v>3.5999999999999997E-2</v>
      </c>
      <c r="S371">
        <f t="shared" si="50"/>
        <v>0.76</v>
      </c>
      <c r="T371">
        <f t="shared" si="51"/>
        <v>1.6206666670000001</v>
      </c>
      <c r="U371">
        <f t="shared" si="52"/>
        <v>5.876267361</v>
      </c>
      <c r="V371">
        <f t="shared" si="53"/>
        <v>5.8000000000000003E-2</v>
      </c>
      <c r="W371">
        <f t="shared" si="54"/>
        <v>0.22600000000000001</v>
      </c>
      <c r="X371">
        <f t="shared" si="55"/>
        <v>0.67200000000000004</v>
      </c>
      <c r="Y371">
        <v>121.83880929999999</v>
      </c>
      <c r="Z371">
        <v>0</v>
      </c>
      <c r="AA371">
        <v>454184</v>
      </c>
      <c r="AB371">
        <v>170596</v>
      </c>
      <c r="AC371">
        <v>6.5715274000000004E-2</v>
      </c>
      <c r="AD371">
        <v>0.72549415100000003</v>
      </c>
      <c r="AF371">
        <v>8.5168478259999993</v>
      </c>
      <c r="AG371">
        <v>5.8999999999999997E-2</v>
      </c>
      <c r="AH371">
        <v>3.5999999999999997E-2</v>
      </c>
      <c r="AI371">
        <v>0.76</v>
      </c>
      <c r="AJ371">
        <v>1.6206666670000001</v>
      </c>
      <c r="AK371">
        <v>5.876267361</v>
      </c>
      <c r="AL371">
        <v>5.8000000000000003E-2</v>
      </c>
      <c r="AM371">
        <v>0.22600000000000001</v>
      </c>
      <c r="AN371">
        <v>0.67200000000000004</v>
      </c>
    </row>
    <row r="372" spans="1:40">
      <c r="A372">
        <v>2440</v>
      </c>
      <c r="B372" t="s">
        <v>689</v>
      </c>
      <c r="C372" t="s">
        <v>687</v>
      </c>
      <c r="D372" t="s">
        <v>688</v>
      </c>
      <c r="E372">
        <v>485</v>
      </c>
      <c r="F372">
        <v>1212</v>
      </c>
      <c r="G372">
        <v>121.5763286</v>
      </c>
      <c r="H372">
        <v>114</v>
      </c>
      <c r="I372">
        <v>0.19003547300000001</v>
      </c>
      <c r="J372">
        <v>1326</v>
      </c>
      <c r="K372">
        <v>6977.6446420000002</v>
      </c>
      <c r="L372">
        <v>0.75600000000000001</v>
      </c>
      <c r="M372">
        <v>0.19031719499999999</v>
      </c>
      <c r="N372">
        <v>1</v>
      </c>
      <c r="O372" t="s">
        <v>613</v>
      </c>
      <c r="P372">
        <f t="shared" si="47"/>
        <v>8.6181481479999995</v>
      </c>
      <c r="Q372">
        <f t="shared" si="48"/>
        <v>6.5000000000000002E-2</v>
      </c>
      <c r="R372">
        <f t="shared" si="49"/>
        <v>4.5999999999999999E-2</v>
      </c>
      <c r="S372">
        <f t="shared" si="50"/>
        <v>0.75600000000000001</v>
      </c>
      <c r="T372">
        <f t="shared" si="51"/>
        <v>2.5562499999999999</v>
      </c>
      <c r="U372">
        <f t="shared" si="52"/>
        <v>5.689941406</v>
      </c>
      <c r="V372">
        <f t="shared" si="53"/>
        <v>8.4000000000000005E-2</v>
      </c>
      <c r="W372">
        <f t="shared" si="54"/>
        <v>0.152</v>
      </c>
      <c r="X372">
        <f t="shared" si="55"/>
        <v>0.75800000000000001</v>
      </c>
      <c r="Y372">
        <v>151.09290200000001</v>
      </c>
      <c r="Z372">
        <v>0</v>
      </c>
      <c r="AA372">
        <v>454184</v>
      </c>
      <c r="AB372">
        <v>170596</v>
      </c>
      <c r="AC372">
        <v>6.5715274000000004E-2</v>
      </c>
      <c r="AD372">
        <v>0.72549415100000003</v>
      </c>
      <c r="AF372">
        <v>8.6181481479999995</v>
      </c>
      <c r="AG372">
        <v>6.5000000000000002E-2</v>
      </c>
      <c r="AH372">
        <v>4.5999999999999999E-2</v>
      </c>
      <c r="AI372">
        <v>0.75600000000000001</v>
      </c>
      <c r="AJ372">
        <v>2.5562499999999999</v>
      </c>
      <c r="AK372">
        <v>5.689941406</v>
      </c>
      <c r="AL372">
        <v>8.4000000000000005E-2</v>
      </c>
      <c r="AM372">
        <v>0.152</v>
      </c>
      <c r="AN372">
        <v>0.75800000000000001</v>
      </c>
    </row>
    <row r="373" spans="1:40">
      <c r="A373">
        <v>2441</v>
      </c>
      <c r="B373" t="s">
        <v>689</v>
      </c>
      <c r="C373" t="s">
        <v>687</v>
      </c>
      <c r="D373" t="s">
        <v>688</v>
      </c>
      <c r="E373">
        <v>149</v>
      </c>
      <c r="F373">
        <v>468</v>
      </c>
      <c r="G373">
        <v>26.480431930000002</v>
      </c>
      <c r="H373">
        <v>766</v>
      </c>
      <c r="I373">
        <v>4.1394364000000003E-2</v>
      </c>
      <c r="J373">
        <v>1234</v>
      </c>
      <c r="K373">
        <v>29810.82159</v>
      </c>
      <c r="L373">
        <v>0.82099999999999995</v>
      </c>
      <c r="M373">
        <v>0.83715846999999999</v>
      </c>
      <c r="N373">
        <v>1</v>
      </c>
      <c r="O373" t="s">
        <v>613</v>
      </c>
      <c r="P373">
        <f t="shared" si="47"/>
        <v>15.334</v>
      </c>
      <c r="Q373">
        <f t="shared" si="48"/>
        <v>5.3999999999999999E-2</v>
      </c>
      <c r="R373">
        <f t="shared" si="49"/>
        <v>1.7999999999999999E-2</v>
      </c>
      <c r="S373">
        <f t="shared" si="50"/>
        <v>0.82099999999999995</v>
      </c>
      <c r="T373">
        <f t="shared" si="51"/>
        <v>2.3849999999999998</v>
      </c>
      <c r="U373">
        <f t="shared" si="52"/>
        <v>7.9644942380000003</v>
      </c>
      <c r="V373">
        <f t="shared" si="53"/>
        <v>1.7000000000000001E-2</v>
      </c>
      <c r="W373">
        <f t="shared" si="54"/>
        <v>0.11899999999999999</v>
      </c>
      <c r="X373">
        <f t="shared" si="55"/>
        <v>0.81899999999999995</v>
      </c>
      <c r="Y373">
        <v>228.20604059999999</v>
      </c>
      <c r="Z373">
        <v>0</v>
      </c>
      <c r="AA373">
        <v>454184</v>
      </c>
      <c r="AB373">
        <v>170596</v>
      </c>
      <c r="AC373">
        <v>6.5715274000000004E-2</v>
      </c>
      <c r="AD373">
        <v>0.72549415100000003</v>
      </c>
      <c r="AF373">
        <v>15.334</v>
      </c>
      <c r="AG373">
        <v>5.3999999999999999E-2</v>
      </c>
      <c r="AH373">
        <v>1.7999999999999999E-2</v>
      </c>
      <c r="AI373">
        <v>0.82099999999999995</v>
      </c>
      <c r="AJ373">
        <v>2.3849999999999998</v>
      </c>
      <c r="AK373">
        <v>7.9644942380000003</v>
      </c>
      <c r="AL373">
        <v>1.7000000000000001E-2</v>
      </c>
      <c r="AM373">
        <v>0.11899999999999999</v>
      </c>
      <c r="AN373">
        <v>0.81899999999999995</v>
      </c>
    </row>
    <row r="374" spans="1:40">
      <c r="A374">
        <v>2442</v>
      </c>
      <c r="B374" t="s">
        <v>689</v>
      </c>
      <c r="C374" t="s">
        <v>687</v>
      </c>
      <c r="D374" t="s">
        <v>688</v>
      </c>
      <c r="E374">
        <v>1028</v>
      </c>
      <c r="F374">
        <v>2501</v>
      </c>
      <c r="G374">
        <v>335.208325</v>
      </c>
      <c r="H374">
        <v>11</v>
      </c>
      <c r="I374">
        <v>0.52398555300000005</v>
      </c>
      <c r="J374">
        <v>2512</v>
      </c>
      <c r="K374">
        <v>4794.0253039999998</v>
      </c>
      <c r="L374">
        <v>0.84499999999999997</v>
      </c>
      <c r="M374">
        <v>1.0587103E-2</v>
      </c>
      <c r="N374">
        <v>0</v>
      </c>
      <c r="O374" t="s">
        <v>620</v>
      </c>
      <c r="P374">
        <f t="shared" si="47"/>
        <v>12.85223176</v>
      </c>
      <c r="Q374">
        <f t="shared" si="48"/>
        <v>5.5E-2</v>
      </c>
      <c r="R374">
        <f t="shared" si="49"/>
        <v>3.1E-2</v>
      </c>
      <c r="S374">
        <f t="shared" si="50"/>
        <v>0.84499999999999997</v>
      </c>
      <c r="T374">
        <f t="shared" si="51"/>
        <v>3.8369444439999998</v>
      </c>
      <c r="U374">
        <f t="shared" si="52"/>
        <v>8.9841884820000004</v>
      </c>
      <c r="V374">
        <f t="shared" si="53"/>
        <v>1.7000000000000001E-2</v>
      </c>
      <c r="W374">
        <f t="shared" si="54"/>
        <v>0.185</v>
      </c>
      <c r="X374">
        <f t="shared" si="55"/>
        <v>0.79800000000000004</v>
      </c>
      <c r="Y374">
        <v>45.243863269999999</v>
      </c>
      <c r="Z374">
        <v>0</v>
      </c>
      <c r="AA374">
        <v>454184</v>
      </c>
      <c r="AB374">
        <v>170596</v>
      </c>
      <c r="AC374">
        <v>6.5715274000000004E-2</v>
      </c>
      <c r="AD374">
        <v>0.72549415100000003</v>
      </c>
      <c r="AF374">
        <v>12.85223176</v>
      </c>
      <c r="AG374">
        <v>5.5E-2</v>
      </c>
      <c r="AH374">
        <v>3.1E-2</v>
      </c>
      <c r="AI374">
        <v>0.84499999999999997</v>
      </c>
      <c r="AJ374">
        <v>3.8369444439999998</v>
      </c>
      <c r="AK374">
        <v>8.9841884820000004</v>
      </c>
      <c r="AL374">
        <v>1.7000000000000001E-2</v>
      </c>
      <c r="AM374">
        <v>0.185</v>
      </c>
      <c r="AN374">
        <v>0.79800000000000004</v>
      </c>
    </row>
    <row r="375" spans="1:40">
      <c r="A375">
        <v>2443</v>
      </c>
      <c r="B375" t="s">
        <v>703</v>
      </c>
      <c r="C375" t="s">
        <v>696</v>
      </c>
      <c r="D375" t="s">
        <v>697</v>
      </c>
      <c r="E375">
        <v>525</v>
      </c>
      <c r="F375">
        <v>1728</v>
      </c>
      <c r="G375">
        <v>92.724856310000007</v>
      </c>
      <c r="H375">
        <v>8</v>
      </c>
      <c r="I375">
        <v>0.14493414700000001</v>
      </c>
      <c r="J375">
        <v>1736</v>
      </c>
      <c r="K375">
        <v>11977.853639999999</v>
      </c>
      <c r="L375">
        <v>0.85399999999999998</v>
      </c>
      <c r="M375">
        <v>1.5009381E-2</v>
      </c>
      <c r="N375">
        <v>0</v>
      </c>
      <c r="O375" t="s">
        <v>620</v>
      </c>
      <c r="P375">
        <f t="shared" si="47"/>
        <v>10.967456139999999</v>
      </c>
      <c r="Q375">
        <f t="shared" si="48"/>
        <v>0.02</v>
      </c>
      <c r="R375">
        <f t="shared" si="49"/>
        <v>2.4E-2</v>
      </c>
      <c r="S375">
        <f t="shared" si="50"/>
        <v>0.85399999999999998</v>
      </c>
      <c r="T375">
        <f t="shared" si="51"/>
        <v>2.1611111109999999</v>
      </c>
      <c r="U375">
        <f t="shared" si="52"/>
        <v>6.1076461039999996</v>
      </c>
      <c r="V375">
        <f t="shared" si="53"/>
        <v>5.2999999999999999E-2</v>
      </c>
      <c r="W375">
        <f t="shared" si="54"/>
        <v>8.3000000000000004E-2</v>
      </c>
      <c r="X375">
        <f t="shared" si="55"/>
        <v>0.86399999999999999</v>
      </c>
      <c r="Y375">
        <v>150.83943669999999</v>
      </c>
      <c r="Z375">
        <v>0</v>
      </c>
      <c r="AA375">
        <v>27567</v>
      </c>
      <c r="AB375">
        <v>8371</v>
      </c>
      <c r="AC375">
        <v>2.6639960000000001E-2</v>
      </c>
      <c r="AD375">
        <v>0.83875813700000001</v>
      </c>
      <c r="AF375">
        <v>10.967456139999999</v>
      </c>
      <c r="AG375">
        <v>0.02</v>
      </c>
      <c r="AH375">
        <v>2.4E-2</v>
      </c>
      <c r="AI375">
        <v>0.85399999999999998</v>
      </c>
      <c r="AJ375">
        <v>2.1611111109999999</v>
      </c>
      <c r="AK375">
        <v>6.1076461039999996</v>
      </c>
      <c r="AL375">
        <v>5.2999999999999999E-2</v>
      </c>
      <c r="AM375">
        <v>8.3000000000000004E-2</v>
      </c>
      <c r="AN375">
        <v>0.86399999999999999</v>
      </c>
    </row>
    <row r="376" spans="1:40">
      <c r="A376">
        <v>2444</v>
      </c>
      <c r="B376" t="s">
        <v>689</v>
      </c>
      <c r="C376" t="s">
        <v>687</v>
      </c>
      <c r="D376" t="s">
        <v>688</v>
      </c>
      <c r="E376">
        <v>508</v>
      </c>
      <c r="F376">
        <v>1235</v>
      </c>
      <c r="G376">
        <v>137.79616970000001</v>
      </c>
      <c r="H376">
        <v>270</v>
      </c>
      <c r="I376">
        <v>0.215393899</v>
      </c>
      <c r="J376">
        <v>1505</v>
      </c>
      <c r="K376">
        <v>6987.1988339999998</v>
      </c>
      <c r="L376">
        <v>0.90200000000000002</v>
      </c>
      <c r="M376">
        <v>0.34704370200000001</v>
      </c>
      <c r="N376">
        <v>0</v>
      </c>
      <c r="O376" t="s">
        <v>620</v>
      </c>
      <c r="P376">
        <f t="shared" si="47"/>
        <v>10.44</v>
      </c>
      <c r="Q376">
        <f t="shared" si="48"/>
        <v>2.7E-2</v>
      </c>
      <c r="R376">
        <f t="shared" si="49"/>
        <v>3.7999999999999999E-2</v>
      </c>
      <c r="S376">
        <f t="shared" si="50"/>
        <v>0.90200000000000002</v>
      </c>
      <c r="T376">
        <f t="shared" si="51"/>
        <v>3.2196428570000002</v>
      </c>
      <c r="U376">
        <f t="shared" si="52"/>
        <v>7.9254977029999996</v>
      </c>
      <c r="V376">
        <f t="shared" si="53"/>
        <v>6.7000000000000004E-2</v>
      </c>
      <c r="W376">
        <f t="shared" si="54"/>
        <v>0.106</v>
      </c>
      <c r="X376">
        <f t="shared" si="55"/>
        <v>0.81599999999999995</v>
      </c>
      <c r="Y376">
        <v>52.447291559999996</v>
      </c>
      <c r="Z376">
        <v>0</v>
      </c>
      <c r="AA376">
        <v>454184</v>
      </c>
      <c r="AB376">
        <v>170596</v>
      </c>
      <c r="AC376">
        <v>6.5715274000000004E-2</v>
      </c>
      <c r="AD376">
        <v>0.72549415100000003</v>
      </c>
      <c r="AF376">
        <v>10.44</v>
      </c>
      <c r="AG376">
        <v>2.7E-2</v>
      </c>
      <c r="AH376">
        <v>3.7999999999999999E-2</v>
      </c>
      <c r="AI376">
        <v>0.90200000000000002</v>
      </c>
      <c r="AJ376">
        <v>3.2196428570000002</v>
      </c>
      <c r="AK376">
        <v>7.9254977029999996</v>
      </c>
      <c r="AL376">
        <v>6.7000000000000004E-2</v>
      </c>
      <c r="AM376">
        <v>0.106</v>
      </c>
      <c r="AN376">
        <v>0.81599999999999995</v>
      </c>
    </row>
    <row r="377" spans="1:40">
      <c r="A377">
        <v>2445</v>
      </c>
      <c r="B377" t="s">
        <v>707</v>
      </c>
      <c r="C377" t="s">
        <v>696</v>
      </c>
      <c r="D377" t="s">
        <v>697</v>
      </c>
      <c r="E377">
        <v>764</v>
      </c>
      <c r="F377">
        <v>2113</v>
      </c>
      <c r="G377">
        <v>572.21294060000002</v>
      </c>
      <c r="H377">
        <v>32</v>
      </c>
      <c r="I377">
        <v>0.89442100899999999</v>
      </c>
      <c r="J377">
        <v>2145</v>
      </c>
      <c r="K377">
        <v>2398.1994810000001</v>
      </c>
      <c r="L377">
        <v>0.878</v>
      </c>
      <c r="M377">
        <v>4.0201004999999998E-2</v>
      </c>
      <c r="N377">
        <v>0</v>
      </c>
      <c r="O377" t="s">
        <v>625</v>
      </c>
      <c r="P377">
        <f t="shared" si="47"/>
        <v>15.67144</v>
      </c>
      <c r="Q377">
        <f t="shared" si="48"/>
        <v>4.9000000000000002E-2</v>
      </c>
      <c r="R377">
        <f t="shared" si="49"/>
        <v>2.7E-2</v>
      </c>
      <c r="S377">
        <f t="shared" si="50"/>
        <v>0.878</v>
      </c>
      <c r="T377">
        <f t="shared" si="51"/>
        <v>2.7226666669999999</v>
      </c>
      <c r="U377">
        <f t="shared" si="52"/>
        <v>10.12245781</v>
      </c>
      <c r="V377">
        <f t="shared" si="53"/>
        <v>0.02</v>
      </c>
      <c r="W377">
        <f t="shared" si="54"/>
        <v>0.14099999999999999</v>
      </c>
      <c r="X377">
        <f t="shared" si="55"/>
        <v>0.83899999999999997</v>
      </c>
      <c r="Y377">
        <v>46.93782109</v>
      </c>
      <c r="Z377">
        <v>0</v>
      </c>
      <c r="AA377">
        <v>21149</v>
      </c>
      <c r="AB377">
        <v>6968</v>
      </c>
      <c r="AC377">
        <v>1.6645858999999999E-2</v>
      </c>
      <c r="AD377">
        <v>0.89069218999999999</v>
      </c>
      <c r="AF377">
        <v>15.67144</v>
      </c>
      <c r="AG377">
        <v>4.9000000000000002E-2</v>
      </c>
      <c r="AH377">
        <v>2.7E-2</v>
      </c>
      <c r="AI377">
        <v>0.878</v>
      </c>
      <c r="AJ377">
        <v>2.7226666669999999</v>
      </c>
      <c r="AK377">
        <v>10.12245781</v>
      </c>
      <c r="AL377">
        <v>0.02</v>
      </c>
      <c r="AM377">
        <v>0.14099999999999999</v>
      </c>
      <c r="AN377">
        <v>0.83899999999999997</v>
      </c>
    </row>
    <row r="378" spans="1:40">
      <c r="A378">
        <v>2446</v>
      </c>
      <c r="B378" t="s">
        <v>691</v>
      </c>
      <c r="C378" t="s">
        <v>684</v>
      </c>
      <c r="D378" t="s">
        <v>685</v>
      </c>
      <c r="E378">
        <v>387</v>
      </c>
      <c r="F378">
        <v>1249</v>
      </c>
      <c r="G378">
        <v>156.12499500000001</v>
      </c>
      <c r="H378">
        <v>260</v>
      </c>
      <c r="I378">
        <v>0.244030148</v>
      </c>
      <c r="J378">
        <v>1509</v>
      </c>
      <c r="K378">
        <v>6183.6621919999998</v>
      </c>
      <c r="L378">
        <v>0.90900000000000003</v>
      </c>
      <c r="M378">
        <v>0.401854714</v>
      </c>
      <c r="N378">
        <v>0</v>
      </c>
      <c r="O378" t="s">
        <v>620</v>
      </c>
      <c r="P378">
        <f t="shared" si="47"/>
        <v>14.645263160000001</v>
      </c>
      <c r="Q378">
        <f t="shared" si="48"/>
        <v>1.7999999999999999E-2</v>
      </c>
      <c r="R378">
        <f t="shared" si="49"/>
        <v>1.4999999999999999E-2</v>
      </c>
      <c r="S378">
        <f t="shared" si="50"/>
        <v>0.90900000000000003</v>
      </c>
      <c r="T378">
        <f t="shared" si="51"/>
        <v>2.8675000000000002</v>
      </c>
      <c r="U378">
        <f t="shared" si="52"/>
        <v>8.5141234220000008</v>
      </c>
      <c r="V378">
        <f t="shared" si="53"/>
        <v>2.3E-2</v>
      </c>
      <c r="W378">
        <f t="shared" si="54"/>
        <v>7.5999999999999998E-2</v>
      </c>
      <c r="X378">
        <f t="shared" si="55"/>
        <v>0.88400000000000001</v>
      </c>
      <c r="Y378">
        <v>146.400195</v>
      </c>
      <c r="Z378">
        <v>0</v>
      </c>
      <c r="AA378">
        <v>236250</v>
      </c>
      <c r="AB378">
        <v>76158</v>
      </c>
      <c r="AC378">
        <v>1.7652984E-2</v>
      </c>
      <c r="AD378">
        <v>0.84750225300000004</v>
      </c>
      <c r="AF378">
        <v>14.645263160000001</v>
      </c>
      <c r="AG378">
        <v>1.7999999999999999E-2</v>
      </c>
      <c r="AH378">
        <v>1.4999999999999999E-2</v>
      </c>
      <c r="AI378">
        <v>0.90900000000000003</v>
      </c>
      <c r="AJ378">
        <v>2.8675000000000002</v>
      </c>
      <c r="AK378">
        <v>8.5141234220000008</v>
      </c>
      <c r="AL378">
        <v>2.3E-2</v>
      </c>
      <c r="AM378">
        <v>7.5999999999999998E-2</v>
      </c>
      <c r="AN378">
        <v>0.88400000000000001</v>
      </c>
    </row>
    <row r="379" spans="1:40">
      <c r="A379">
        <v>2447</v>
      </c>
      <c r="B379" t="s">
        <v>705</v>
      </c>
      <c r="C379" t="s">
        <v>696</v>
      </c>
      <c r="D379" t="s">
        <v>697</v>
      </c>
      <c r="E379">
        <v>275</v>
      </c>
      <c r="F379">
        <v>1011</v>
      </c>
      <c r="G379">
        <v>66.771654819999995</v>
      </c>
      <c r="H379">
        <v>0</v>
      </c>
      <c r="I379">
        <v>0.104371886</v>
      </c>
      <c r="J379">
        <v>1011</v>
      </c>
      <c r="K379">
        <v>9686.5165400000005</v>
      </c>
      <c r="L379">
        <v>0.876</v>
      </c>
      <c r="M379">
        <v>0</v>
      </c>
      <c r="N379">
        <v>1</v>
      </c>
      <c r="O379" t="s">
        <v>620</v>
      </c>
      <c r="P379">
        <f t="shared" si="47"/>
        <v>12.493095240000001</v>
      </c>
      <c r="Q379">
        <f t="shared" si="48"/>
        <v>2.1999999999999999E-2</v>
      </c>
      <c r="R379">
        <f t="shared" si="49"/>
        <v>2.7E-2</v>
      </c>
      <c r="S379">
        <f t="shared" si="50"/>
        <v>0.876</v>
      </c>
      <c r="T379">
        <f t="shared" si="51"/>
        <v>1.5660000000000001</v>
      </c>
      <c r="U379">
        <f t="shared" si="52"/>
        <v>6.8982593860000003</v>
      </c>
      <c r="V379">
        <f t="shared" si="53"/>
        <v>2.1000000000000001E-2</v>
      </c>
      <c r="W379">
        <f t="shared" si="54"/>
        <v>0.104</v>
      </c>
      <c r="X379">
        <f t="shared" si="55"/>
        <v>0.875</v>
      </c>
      <c r="Y379">
        <v>20.256273950000001</v>
      </c>
      <c r="Z379">
        <v>0</v>
      </c>
      <c r="AA379">
        <v>152832</v>
      </c>
      <c r="AB379">
        <v>45686</v>
      </c>
      <c r="AC379">
        <v>2.1596295000000001E-2</v>
      </c>
      <c r="AD379">
        <v>0.84212384500000004</v>
      </c>
      <c r="AF379">
        <v>12.493095240000001</v>
      </c>
      <c r="AG379">
        <v>2.1999999999999999E-2</v>
      </c>
      <c r="AH379">
        <v>2.7E-2</v>
      </c>
      <c r="AI379">
        <v>0.876</v>
      </c>
      <c r="AJ379">
        <v>1.5660000000000001</v>
      </c>
      <c r="AK379">
        <v>6.8982593860000003</v>
      </c>
      <c r="AL379">
        <v>2.1000000000000001E-2</v>
      </c>
      <c r="AM379">
        <v>0.104</v>
      </c>
      <c r="AN379">
        <v>0.875</v>
      </c>
    </row>
    <row r="380" spans="1:40">
      <c r="A380">
        <v>2448</v>
      </c>
      <c r="B380" t="s">
        <v>683</v>
      </c>
      <c r="C380" t="s">
        <v>684</v>
      </c>
      <c r="D380" t="s">
        <v>685</v>
      </c>
      <c r="E380">
        <v>512</v>
      </c>
      <c r="F380">
        <v>1941</v>
      </c>
      <c r="G380">
        <v>99.847941050000003</v>
      </c>
      <c r="H380">
        <v>351</v>
      </c>
      <c r="I380">
        <v>0.15607051299999999</v>
      </c>
      <c r="J380">
        <v>2292</v>
      </c>
      <c r="K380">
        <v>14685.669680000001</v>
      </c>
      <c r="L380">
        <v>0.79200000000000004</v>
      </c>
      <c r="M380">
        <v>0.40672074200000002</v>
      </c>
      <c r="N380">
        <v>0</v>
      </c>
      <c r="O380" t="s">
        <v>620</v>
      </c>
      <c r="P380">
        <f t="shared" si="47"/>
        <v>12.83884211</v>
      </c>
      <c r="Q380">
        <f t="shared" si="48"/>
        <v>2.9000000000000001E-2</v>
      </c>
      <c r="R380">
        <f t="shared" si="49"/>
        <v>1.7999999999999999E-2</v>
      </c>
      <c r="S380">
        <f t="shared" si="50"/>
        <v>0.79200000000000004</v>
      </c>
      <c r="T380">
        <f t="shared" si="51"/>
        <v>2.395</v>
      </c>
      <c r="U380">
        <f t="shared" si="52"/>
        <v>6.7889909020000001</v>
      </c>
      <c r="V380">
        <f t="shared" si="53"/>
        <v>4.3999999999999997E-2</v>
      </c>
      <c r="W380">
        <f t="shared" si="54"/>
        <v>8.8999999999999996E-2</v>
      </c>
      <c r="X380">
        <f t="shared" si="55"/>
        <v>0.84399999999999997</v>
      </c>
      <c r="Y380">
        <v>111.4818095</v>
      </c>
      <c r="Z380">
        <v>0</v>
      </c>
      <c r="AA380">
        <v>75370</v>
      </c>
      <c r="AB380">
        <v>21403</v>
      </c>
      <c r="AC380">
        <v>2.4597187E-2</v>
      </c>
      <c r="AD380">
        <v>0.84342094400000001</v>
      </c>
      <c r="AF380">
        <v>12.83884211</v>
      </c>
      <c r="AG380">
        <v>2.9000000000000001E-2</v>
      </c>
      <c r="AH380">
        <v>1.7999999999999999E-2</v>
      </c>
      <c r="AI380">
        <v>0.79200000000000004</v>
      </c>
      <c r="AJ380">
        <v>2.395</v>
      </c>
      <c r="AK380">
        <v>6.7889909020000001</v>
      </c>
      <c r="AL380">
        <v>4.3999999999999997E-2</v>
      </c>
      <c r="AM380">
        <v>8.8999999999999996E-2</v>
      </c>
      <c r="AN380">
        <v>0.84399999999999997</v>
      </c>
    </row>
    <row r="381" spans="1:40">
      <c r="A381">
        <v>2449</v>
      </c>
      <c r="B381" t="s">
        <v>683</v>
      </c>
      <c r="C381" t="s">
        <v>684</v>
      </c>
      <c r="D381" t="s">
        <v>685</v>
      </c>
      <c r="E381">
        <v>467</v>
      </c>
      <c r="F381">
        <v>1680</v>
      </c>
      <c r="G381">
        <v>124.2215813</v>
      </c>
      <c r="H381">
        <v>214</v>
      </c>
      <c r="I381">
        <v>0.19417051399999999</v>
      </c>
      <c r="J381">
        <v>1894</v>
      </c>
      <c r="K381">
        <v>9754.3131599999997</v>
      </c>
      <c r="L381">
        <v>0.83199999999999996</v>
      </c>
      <c r="M381">
        <v>0.31424375900000001</v>
      </c>
      <c r="N381">
        <v>0</v>
      </c>
      <c r="O381" t="s">
        <v>620</v>
      </c>
      <c r="P381">
        <f t="shared" si="47"/>
        <v>13.163608249999999</v>
      </c>
      <c r="Q381">
        <f t="shared" si="48"/>
        <v>0.03</v>
      </c>
      <c r="R381">
        <f t="shared" si="49"/>
        <v>0.01</v>
      </c>
      <c r="S381">
        <f t="shared" si="50"/>
        <v>0.83199999999999996</v>
      </c>
      <c r="T381">
        <f t="shared" si="51"/>
        <v>3.2658333329999998</v>
      </c>
      <c r="U381">
        <f t="shared" si="52"/>
        <v>6.163215031</v>
      </c>
      <c r="V381">
        <f t="shared" si="53"/>
        <v>3.4000000000000002E-2</v>
      </c>
      <c r="W381">
        <f t="shared" si="54"/>
        <v>0.11</v>
      </c>
      <c r="X381">
        <f t="shared" si="55"/>
        <v>0.82199999999999995</v>
      </c>
      <c r="Y381">
        <v>166.4778283</v>
      </c>
      <c r="Z381">
        <v>0</v>
      </c>
      <c r="AA381">
        <v>75370</v>
      </c>
      <c r="AB381">
        <v>21403</v>
      </c>
      <c r="AC381">
        <v>2.4597187E-2</v>
      </c>
      <c r="AD381">
        <v>0.84342094400000001</v>
      </c>
      <c r="AF381">
        <v>13.163608249999999</v>
      </c>
      <c r="AG381">
        <v>0.03</v>
      </c>
      <c r="AH381">
        <v>0.01</v>
      </c>
      <c r="AI381">
        <v>0.83199999999999996</v>
      </c>
      <c r="AJ381">
        <v>3.2658333329999998</v>
      </c>
      <c r="AK381">
        <v>6.163215031</v>
      </c>
      <c r="AL381">
        <v>3.4000000000000002E-2</v>
      </c>
      <c r="AM381">
        <v>0.11</v>
      </c>
      <c r="AN381">
        <v>0.82199999999999995</v>
      </c>
    </row>
    <row r="382" spans="1:40">
      <c r="A382">
        <v>2450</v>
      </c>
      <c r="B382" t="s">
        <v>691</v>
      </c>
      <c r="C382" t="s">
        <v>684</v>
      </c>
      <c r="D382" t="s">
        <v>685</v>
      </c>
      <c r="E382">
        <v>382</v>
      </c>
      <c r="F382">
        <v>1374</v>
      </c>
      <c r="G382">
        <v>96.548435429999998</v>
      </c>
      <c r="H382">
        <v>15</v>
      </c>
      <c r="I382">
        <v>0.15091092</v>
      </c>
      <c r="J382">
        <v>1389</v>
      </c>
      <c r="K382">
        <v>9204.1053090000005</v>
      </c>
      <c r="L382">
        <v>0.86199999999999999</v>
      </c>
      <c r="M382">
        <v>3.7783375000000001E-2</v>
      </c>
      <c r="N382">
        <v>0</v>
      </c>
      <c r="O382" t="s">
        <v>620</v>
      </c>
      <c r="P382">
        <f t="shared" si="47"/>
        <v>12.08410714</v>
      </c>
      <c r="Q382">
        <f t="shared" si="48"/>
        <v>1.6E-2</v>
      </c>
      <c r="R382">
        <f t="shared" si="49"/>
        <v>2.3E-2</v>
      </c>
      <c r="S382">
        <f t="shared" si="50"/>
        <v>0.86199999999999999</v>
      </c>
      <c r="T382">
        <f t="shared" si="51"/>
        <v>2.0242857139999999</v>
      </c>
      <c r="U382">
        <f t="shared" si="52"/>
        <v>7.7008737859999998</v>
      </c>
      <c r="V382">
        <f t="shared" si="53"/>
        <v>1.7000000000000001E-2</v>
      </c>
      <c r="W382">
        <f t="shared" si="54"/>
        <v>4.2000000000000003E-2</v>
      </c>
      <c r="X382">
        <f t="shared" si="55"/>
        <v>0.94099999999999995</v>
      </c>
      <c r="Y382">
        <v>136.9812532</v>
      </c>
      <c r="Z382">
        <v>0</v>
      </c>
      <c r="AA382">
        <v>236250</v>
      </c>
      <c r="AB382">
        <v>76158</v>
      </c>
      <c r="AC382">
        <v>1.7652984E-2</v>
      </c>
      <c r="AD382">
        <v>0.84750225300000004</v>
      </c>
      <c r="AF382">
        <v>12.08410714</v>
      </c>
      <c r="AG382">
        <v>1.6E-2</v>
      </c>
      <c r="AH382">
        <v>2.3E-2</v>
      </c>
      <c r="AI382">
        <v>0.86199999999999999</v>
      </c>
      <c r="AJ382">
        <v>2.0242857139999999</v>
      </c>
      <c r="AK382">
        <v>7.7008737859999998</v>
      </c>
      <c r="AL382">
        <v>1.7000000000000001E-2</v>
      </c>
      <c r="AM382">
        <v>4.2000000000000003E-2</v>
      </c>
      <c r="AN382">
        <v>0.94099999999999995</v>
      </c>
    </row>
    <row r="383" spans="1:40">
      <c r="A383">
        <v>2451</v>
      </c>
      <c r="B383" t="s">
        <v>683</v>
      </c>
      <c r="C383" t="s">
        <v>684</v>
      </c>
      <c r="D383" t="s">
        <v>685</v>
      </c>
      <c r="E383">
        <v>333</v>
      </c>
      <c r="F383">
        <v>1420</v>
      </c>
      <c r="G383">
        <v>60.321546300000001</v>
      </c>
      <c r="H383">
        <v>194</v>
      </c>
      <c r="I383">
        <v>9.4288046E-2</v>
      </c>
      <c r="J383">
        <v>1614</v>
      </c>
      <c r="K383">
        <v>17117.75849</v>
      </c>
      <c r="L383">
        <v>0.78800000000000003</v>
      </c>
      <c r="M383">
        <v>0.36812144200000002</v>
      </c>
      <c r="N383">
        <v>0</v>
      </c>
      <c r="O383" t="s">
        <v>613</v>
      </c>
      <c r="P383">
        <f t="shared" si="47"/>
        <v>12.441203700000001</v>
      </c>
      <c r="Q383">
        <f t="shared" si="48"/>
        <v>2.8000000000000001E-2</v>
      </c>
      <c r="R383">
        <f t="shared" si="49"/>
        <v>1.9E-2</v>
      </c>
      <c r="S383">
        <f t="shared" si="50"/>
        <v>0.78800000000000003</v>
      </c>
      <c r="T383">
        <f t="shared" si="51"/>
        <v>0.90600000000000003</v>
      </c>
      <c r="U383">
        <f t="shared" si="52"/>
        <v>6.6003638640000002</v>
      </c>
      <c r="V383">
        <f t="shared" si="53"/>
        <v>5.2999999999999999E-2</v>
      </c>
      <c r="W383">
        <f t="shared" si="54"/>
        <v>0.105</v>
      </c>
      <c r="X383">
        <f t="shared" si="55"/>
        <v>0.81200000000000006</v>
      </c>
      <c r="Y383">
        <v>233.21165880000001</v>
      </c>
      <c r="Z383">
        <v>0</v>
      </c>
      <c r="AA383">
        <v>75370</v>
      </c>
      <c r="AB383">
        <v>21403</v>
      </c>
      <c r="AC383">
        <v>2.4597187E-2</v>
      </c>
      <c r="AD383">
        <v>0.84342094400000001</v>
      </c>
      <c r="AF383">
        <v>12.441203700000001</v>
      </c>
      <c r="AG383">
        <v>2.8000000000000001E-2</v>
      </c>
      <c r="AH383">
        <v>1.9E-2</v>
      </c>
      <c r="AI383">
        <v>0.78800000000000003</v>
      </c>
      <c r="AJ383">
        <v>0.90600000000000003</v>
      </c>
      <c r="AK383">
        <v>6.6003638640000002</v>
      </c>
      <c r="AL383">
        <v>5.2999999999999999E-2</v>
      </c>
      <c r="AM383">
        <v>0.105</v>
      </c>
      <c r="AN383">
        <v>0.81200000000000006</v>
      </c>
    </row>
    <row r="384" spans="1:40">
      <c r="A384">
        <v>2452</v>
      </c>
      <c r="B384" t="s">
        <v>683</v>
      </c>
      <c r="C384" t="s">
        <v>684</v>
      </c>
      <c r="D384" t="s">
        <v>685</v>
      </c>
      <c r="E384">
        <v>350</v>
      </c>
      <c r="F384">
        <v>1463</v>
      </c>
      <c r="G384">
        <v>61.966479210000003</v>
      </c>
      <c r="H384">
        <v>17</v>
      </c>
      <c r="I384">
        <v>9.6860105000000002E-2</v>
      </c>
      <c r="J384">
        <v>1480</v>
      </c>
      <c r="K384">
        <v>15279.768690000001</v>
      </c>
      <c r="L384">
        <v>0.82299999999999995</v>
      </c>
      <c r="M384">
        <v>4.6321526000000002E-2</v>
      </c>
      <c r="N384">
        <v>0</v>
      </c>
      <c r="O384" t="s">
        <v>620</v>
      </c>
      <c r="P384">
        <f t="shared" si="47"/>
        <v>13.06205357</v>
      </c>
      <c r="Q384">
        <f t="shared" si="48"/>
        <v>3.1E-2</v>
      </c>
      <c r="R384">
        <f t="shared" si="49"/>
        <v>0.02</v>
      </c>
      <c r="S384">
        <f t="shared" si="50"/>
        <v>0.82299999999999995</v>
      </c>
      <c r="T384">
        <f t="shared" si="51"/>
        <v>1.905</v>
      </c>
      <c r="U384">
        <f t="shared" si="52"/>
        <v>6.5800616329999997</v>
      </c>
      <c r="V384">
        <f t="shared" si="53"/>
        <v>1.4999999999999999E-2</v>
      </c>
      <c r="W384">
        <f t="shared" si="54"/>
        <v>0.106</v>
      </c>
      <c r="X384">
        <f t="shared" si="55"/>
        <v>0.84799999999999998</v>
      </c>
      <c r="Y384">
        <v>270.59864160000001</v>
      </c>
      <c r="Z384">
        <v>0</v>
      </c>
      <c r="AA384">
        <v>75370</v>
      </c>
      <c r="AB384">
        <v>21403</v>
      </c>
      <c r="AC384">
        <v>2.4597187E-2</v>
      </c>
      <c r="AD384">
        <v>0.84342094400000001</v>
      </c>
      <c r="AF384">
        <v>13.06205357</v>
      </c>
      <c r="AG384">
        <v>3.1E-2</v>
      </c>
      <c r="AH384">
        <v>0.02</v>
      </c>
      <c r="AI384">
        <v>0.82299999999999995</v>
      </c>
      <c r="AJ384">
        <v>1.905</v>
      </c>
      <c r="AK384">
        <v>6.5800616329999997</v>
      </c>
      <c r="AL384">
        <v>1.4999999999999999E-2</v>
      </c>
      <c r="AM384">
        <v>0.106</v>
      </c>
      <c r="AN384">
        <v>0.84799999999999998</v>
      </c>
    </row>
    <row r="385" spans="1:40">
      <c r="A385">
        <v>2453</v>
      </c>
      <c r="B385" t="s">
        <v>691</v>
      </c>
      <c r="C385" t="s">
        <v>684</v>
      </c>
      <c r="D385" t="s">
        <v>685</v>
      </c>
      <c r="E385">
        <v>891</v>
      </c>
      <c r="F385">
        <v>2826</v>
      </c>
      <c r="G385">
        <v>100.5890806</v>
      </c>
      <c r="H385">
        <v>155</v>
      </c>
      <c r="I385">
        <v>0.15723115300000001</v>
      </c>
      <c r="J385">
        <v>2981</v>
      </c>
      <c r="K385">
        <v>18959.34707</v>
      </c>
      <c r="L385">
        <v>0.80900000000000005</v>
      </c>
      <c r="M385">
        <v>0.14818355599999999</v>
      </c>
      <c r="N385">
        <v>0</v>
      </c>
      <c r="O385" t="s">
        <v>620</v>
      </c>
      <c r="P385">
        <f t="shared" si="47"/>
        <v>13.200619830000001</v>
      </c>
      <c r="Q385">
        <f t="shared" si="48"/>
        <v>2.3E-2</v>
      </c>
      <c r="R385">
        <f t="shared" si="49"/>
        <v>1.6E-2</v>
      </c>
      <c r="S385">
        <f t="shared" si="50"/>
        <v>0.80900000000000005</v>
      </c>
      <c r="T385">
        <f t="shared" si="51"/>
        <v>2.102258065</v>
      </c>
      <c r="U385">
        <f t="shared" si="52"/>
        <v>6.5748108109999999</v>
      </c>
      <c r="V385">
        <f t="shared" si="53"/>
        <v>1.9E-2</v>
      </c>
      <c r="W385">
        <f t="shared" si="54"/>
        <v>5.8999999999999997E-2</v>
      </c>
      <c r="X385">
        <f t="shared" si="55"/>
        <v>0.9</v>
      </c>
      <c r="Y385">
        <v>50.862425999999999</v>
      </c>
      <c r="Z385">
        <v>0</v>
      </c>
      <c r="AA385">
        <v>236250</v>
      </c>
      <c r="AB385">
        <v>76158</v>
      </c>
      <c r="AC385">
        <v>1.7652984E-2</v>
      </c>
      <c r="AD385">
        <v>0.84750225300000004</v>
      </c>
      <c r="AF385">
        <v>13.200619830000001</v>
      </c>
      <c r="AG385">
        <v>2.3E-2</v>
      </c>
      <c r="AH385">
        <v>1.6E-2</v>
      </c>
      <c r="AI385">
        <v>0.80900000000000005</v>
      </c>
      <c r="AJ385">
        <v>2.102258065</v>
      </c>
      <c r="AK385">
        <v>6.5748108109999999</v>
      </c>
      <c r="AL385">
        <v>1.9E-2</v>
      </c>
      <c r="AM385">
        <v>5.8999999999999997E-2</v>
      </c>
      <c r="AN385">
        <v>0.9</v>
      </c>
    </row>
    <row r="386" spans="1:40">
      <c r="A386">
        <v>2454</v>
      </c>
      <c r="B386" t="s">
        <v>691</v>
      </c>
      <c r="C386" t="s">
        <v>684</v>
      </c>
      <c r="D386" t="s">
        <v>685</v>
      </c>
      <c r="E386">
        <v>205</v>
      </c>
      <c r="F386">
        <v>676</v>
      </c>
      <c r="G386">
        <v>76.251118820000002</v>
      </c>
      <c r="H386">
        <v>0</v>
      </c>
      <c r="I386">
        <v>0.119189198</v>
      </c>
      <c r="J386">
        <v>676</v>
      </c>
      <c r="K386">
        <v>5671.6549100000002</v>
      </c>
      <c r="L386">
        <v>0.80300000000000005</v>
      </c>
      <c r="M386">
        <v>0</v>
      </c>
      <c r="N386">
        <v>0</v>
      </c>
      <c r="O386" t="s">
        <v>620</v>
      </c>
      <c r="P386">
        <f t="shared" si="47"/>
        <v>14.36375</v>
      </c>
      <c r="Q386">
        <f t="shared" si="48"/>
        <v>2.1999999999999999E-2</v>
      </c>
      <c r="R386">
        <f t="shared" si="49"/>
        <v>2.1999999999999999E-2</v>
      </c>
      <c r="S386">
        <f t="shared" si="50"/>
        <v>0.80300000000000005</v>
      </c>
      <c r="T386">
        <f t="shared" si="51"/>
        <v>2.5550000000000002</v>
      </c>
      <c r="U386">
        <f t="shared" si="52"/>
        <v>6.708566308</v>
      </c>
      <c r="V386">
        <f t="shared" si="53"/>
        <v>4.2999999999999997E-2</v>
      </c>
      <c r="W386">
        <f t="shared" si="54"/>
        <v>6.4000000000000001E-2</v>
      </c>
      <c r="X386">
        <f t="shared" si="55"/>
        <v>0.85099999999999998</v>
      </c>
      <c r="Y386">
        <v>259.18864459999998</v>
      </c>
      <c r="Z386">
        <v>0</v>
      </c>
      <c r="AA386">
        <v>236250</v>
      </c>
      <c r="AB386">
        <v>76158</v>
      </c>
      <c r="AC386">
        <v>1.7652984E-2</v>
      </c>
      <c r="AD386">
        <v>0.84750225300000004</v>
      </c>
      <c r="AF386">
        <v>14.36375</v>
      </c>
      <c r="AG386">
        <v>2.1999999999999999E-2</v>
      </c>
      <c r="AH386">
        <v>2.1999999999999999E-2</v>
      </c>
      <c r="AI386">
        <v>0.80300000000000005</v>
      </c>
      <c r="AJ386">
        <v>2.5550000000000002</v>
      </c>
      <c r="AK386">
        <v>6.708566308</v>
      </c>
      <c r="AL386">
        <v>4.2999999999999997E-2</v>
      </c>
      <c r="AM386">
        <v>6.4000000000000001E-2</v>
      </c>
      <c r="AN386">
        <v>0.85099999999999998</v>
      </c>
    </row>
    <row r="387" spans="1:40">
      <c r="A387">
        <v>2455</v>
      </c>
      <c r="B387" t="s">
        <v>691</v>
      </c>
      <c r="C387" t="s">
        <v>684</v>
      </c>
      <c r="D387" t="s">
        <v>685</v>
      </c>
      <c r="E387">
        <v>742</v>
      </c>
      <c r="F387">
        <v>2667</v>
      </c>
      <c r="G387">
        <v>795.93018830000005</v>
      </c>
      <c r="H387">
        <v>787</v>
      </c>
      <c r="I387" s="515">
        <v>1.2440869640149199</v>
      </c>
      <c r="J387">
        <v>3454</v>
      </c>
      <c r="K387">
        <v>2776.333247</v>
      </c>
      <c r="L387">
        <v>0.83199999999999996</v>
      </c>
      <c r="M387">
        <v>0.51471549999999999</v>
      </c>
      <c r="N387">
        <v>0</v>
      </c>
      <c r="O387" t="s">
        <v>625</v>
      </c>
      <c r="P387">
        <f t="shared" si="47"/>
        <v>14.57947781</v>
      </c>
      <c r="Q387">
        <f t="shared" si="48"/>
        <v>1.2999999999999999E-2</v>
      </c>
      <c r="R387">
        <f t="shared" si="49"/>
        <v>0.03</v>
      </c>
      <c r="S387">
        <f t="shared" si="50"/>
        <v>0.83199999999999996</v>
      </c>
      <c r="T387">
        <f t="shared" si="51"/>
        <v>1.710138889</v>
      </c>
      <c r="U387">
        <f t="shared" si="52"/>
        <v>9.4159584180000007</v>
      </c>
      <c r="V387">
        <f t="shared" si="53"/>
        <v>0.02</v>
      </c>
      <c r="W387">
        <f t="shared" si="54"/>
        <v>4.5999999999999999E-2</v>
      </c>
      <c r="X387">
        <f t="shared" si="55"/>
        <v>0.93400000000000005</v>
      </c>
      <c r="Y387">
        <v>41.428134399999998</v>
      </c>
      <c r="Z387">
        <v>0</v>
      </c>
      <c r="AA387">
        <v>236250</v>
      </c>
      <c r="AB387">
        <v>76158</v>
      </c>
      <c r="AC387">
        <v>1.7652984E-2</v>
      </c>
      <c r="AD387">
        <v>0.84750225300000004</v>
      </c>
      <c r="AF387">
        <v>14.57947781</v>
      </c>
      <c r="AG387">
        <v>1.2999999999999999E-2</v>
      </c>
      <c r="AH387">
        <v>0.03</v>
      </c>
      <c r="AI387">
        <v>0.83199999999999996</v>
      </c>
      <c r="AJ387">
        <v>1.710138889</v>
      </c>
      <c r="AK387">
        <v>9.4159584180000007</v>
      </c>
      <c r="AL387">
        <v>0.02</v>
      </c>
      <c r="AM387">
        <v>4.5999999999999999E-2</v>
      </c>
      <c r="AN387">
        <v>0.93400000000000005</v>
      </c>
    </row>
    <row r="388" spans="1:40">
      <c r="A388">
        <v>2456</v>
      </c>
      <c r="B388" t="s">
        <v>691</v>
      </c>
      <c r="C388" t="s">
        <v>684</v>
      </c>
      <c r="D388" t="s">
        <v>685</v>
      </c>
      <c r="E388">
        <v>407</v>
      </c>
      <c r="F388">
        <v>1372</v>
      </c>
      <c r="G388">
        <v>80.658677670000003</v>
      </c>
      <c r="H388">
        <v>358</v>
      </c>
      <c r="I388">
        <v>0.12607174800000001</v>
      </c>
      <c r="J388">
        <v>1730</v>
      </c>
      <c r="K388">
        <v>13722.34483</v>
      </c>
      <c r="L388">
        <v>0.80100000000000005</v>
      </c>
      <c r="M388">
        <v>0.46797385600000002</v>
      </c>
      <c r="N388">
        <v>0</v>
      </c>
      <c r="O388" t="s">
        <v>620</v>
      </c>
      <c r="P388">
        <f t="shared" si="47"/>
        <v>11.736438359999999</v>
      </c>
      <c r="Q388">
        <f t="shared" si="48"/>
        <v>1.6E-2</v>
      </c>
      <c r="R388">
        <f t="shared" si="49"/>
        <v>3.5000000000000003E-2</v>
      </c>
      <c r="S388">
        <f t="shared" si="50"/>
        <v>0.80100000000000005</v>
      </c>
      <c r="T388">
        <f t="shared" si="51"/>
        <v>1.757619048</v>
      </c>
      <c r="U388">
        <f t="shared" si="52"/>
        <v>8.3477896999999999</v>
      </c>
      <c r="V388">
        <f t="shared" si="53"/>
        <v>0.06</v>
      </c>
      <c r="W388">
        <f t="shared" si="54"/>
        <v>0.06</v>
      </c>
      <c r="X388">
        <f t="shared" si="55"/>
        <v>0.86899999999999999</v>
      </c>
      <c r="Y388">
        <v>116.0540316</v>
      </c>
      <c r="Z388">
        <v>0</v>
      </c>
      <c r="AA388">
        <v>236250</v>
      </c>
      <c r="AB388">
        <v>76158</v>
      </c>
      <c r="AC388">
        <v>1.7652984E-2</v>
      </c>
      <c r="AD388">
        <v>0.84750225300000004</v>
      </c>
      <c r="AF388">
        <v>11.736438359999999</v>
      </c>
      <c r="AG388">
        <v>1.6E-2</v>
      </c>
      <c r="AH388">
        <v>3.5000000000000003E-2</v>
      </c>
      <c r="AI388">
        <v>0.80100000000000005</v>
      </c>
      <c r="AJ388">
        <v>1.757619048</v>
      </c>
      <c r="AK388">
        <v>8.3477896999999999</v>
      </c>
      <c r="AL388">
        <v>0.06</v>
      </c>
      <c r="AM388">
        <v>0.06</v>
      </c>
      <c r="AN388">
        <v>0.86899999999999999</v>
      </c>
    </row>
    <row r="389" spans="1:40">
      <c r="A389">
        <v>2457</v>
      </c>
      <c r="B389" t="s">
        <v>691</v>
      </c>
      <c r="C389" t="s">
        <v>684</v>
      </c>
      <c r="D389" t="s">
        <v>685</v>
      </c>
      <c r="E389">
        <v>872</v>
      </c>
      <c r="F389">
        <v>2946</v>
      </c>
      <c r="G389">
        <v>180.16089500000001</v>
      </c>
      <c r="H389">
        <v>151</v>
      </c>
      <c r="I389">
        <v>0.28161371899999998</v>
      </c>
      <c r="J389">
        <v>3097</v>
      </c>
      <c r="K389">
        <v>10997.333549999999</v>
      </c>
      <c r="L389">
        <v>0.76500000000000001</v>
      </c>
      <c r="M389">
        <v>0.147605083</v>
      </c>
      <c r="N389">
        <v>0</v>
      </c>
      <c r="O389" t="s">
        <v>620</v>
      </c>
      <c r="P389">
        <f t="shared" si="47"/>
        <v>13.65924528</v>
      </c>
      <c r="Q389">
        <f t="shared" si="48"/>
        <v>1.4999999999999999E-2</v>
      </c>
      <c r="R389">
        <f t="shared" si="49"/>
        <v>2.5999999999999999E-2</v>
      </c>
      <c r="S389">
        <f t="shared" si="50"/>
        <v>0.76500000000000001</v>
      </c>
      <c r="T389">
        <f t="shared" si="51"/>
        <v>1.813478261</v>
      </c>
      <c r="U389">
        <f t="shared" si="52"/>
        <v>8.9295416349999996</v>
      </c>
      <c r="V389">
        <f t="shared" si="53"/>
        <v>1.7999999999999999E-2</v>
      </c>
      <c r="W389">
        <f t="shared" si="54"/>
        <v>4.1000000000000002E-2</v>
      </c>
      <c r="X389">
        <f t="shared" si="55"/>
        <v>0.93500000000000005</v>
      </c>
      <c r="Y389">
        <v>167.0772298</v>
      </c>
      <c r="Z389">
        <v>0</v>
      </c>
      <c r="AA389">
        <v>236250</v>
      </c>
      <c r="AB389">
        <v>76158</v>
      </c>
      <c r="AC389">
        <v>1.7652984E-2</v>
      </c>
      <c r="AD389">
        <v>0.84750225300000004</v>
      </c>
      <c r="AF389">
        <v>13.65924528</v>
      </c>
      <c r="AG389">
        <v>1.4999999999999999E-2</v>
      </c>
      <c r="AH389">
        <v>2.5999999999999999E-2</v>
      </c>
      <c r="AI389">
        <v>0.76500000000000001</v>
      </c>
      <c r="AJ389">
        <v>1.813478261</v>
      </c>
      <c r="AK389">
        <v>8.9295416349999996</v>
      </c>
      <c r="AL389">
        <v>1.7999999999999999E-2</v>
      </c>
      <c r="AM389">
        <v>4.1000000000000002E-2</v>
      </c>
      <c r="AN389">
        <v>0.93500000000000005</v>
      </c>
    </row>
    <row r="390" spans="1:40">
      <c r="A390">
        <v>2458</v>
      </c>
      <c r="B390" t="s">
        <v>691</v>
      </c>
      <c r="C390" t="s">
        <v>684</v>
      </c>
      <c r="D390" t="s">
        <v>685</v>
      </c>
      <c r="E390">
        <v>348</v>
      </c>
      <c r="F390">
        <v>1146</v>
      </c>
      <c r="G390">
        <v>1364.1351219999999</v>
      </c>
      <c r="H390">
        <v>302</v>
      </c>
      <c r="I390" s="515">
        <v>2.1322402179497999</v>
      </c>
      <c r="J390">
        <v>1448</v>
      </c>
      <c r="K390">
        <v>679.09796830000005</v>
      </c>
      <c r="L390">
        <v>0.91400000000000003</v>
      </c>
      <c r="M390">
        <v>0.46461538499999999</v>
      </c>
      <c r="N390">
        <v>0</v>
      </c>
      <c r="O390" t="s">
        <v>625</v>
      </c>
      <c r="P390">
        <f t="shared" si="47"/>
        <v>15.14066298</v>
      </c>
      <c r="Q390">
        <f t="shared" si="48"/>
        <v>1.8070175438596476E-2</v>
      </c>
      <c r="R390">
        <f t="shared" si="49"/>
        <v>0.02</v>
      </c>
      <c r="S390">
        <f t="shared" si="50"/>
        <v>0.91400000000000003</v>
      </c>
      <c r="T390">
        <f t="shared" si="51"/>
        <v>2.2112500000000002</v>
      </c>
      <c r="U390">
        <f t="shared" si="52"/>
        <v>10.161511300000001</v>
      </c>
      <c r="V390">
        <f t="shared" si="53"/>
        <v>2.1999999999999999E-2</v>
      </c>
      <c r="W390">
        <f t="shared" si="54"/>
        <v>5.9146341463414652E-2</v>
      </c>
      <c r="X390">
        <f t="shared" si="55"/>
        <v>0.97799999999999998</v>
      </c>
      <c r="Y390">
        <v>7.0035546379999998</v>
      </c>
      <c r="Z390">
        <v>0</v>
      </c>
      <c r="AA390">
        <v>236250</v>
      </c>
      <c r="AB390">
        <v>76158</v>
      </c>
      <c r="AC390">
        <v>1.7652984E-2</v>
      </c>
      <c r="AD390">
        <v>0.84750225300000004</v>
      </c>
      <c r="AF390">
        <v>15.14066298</v>
      </c>
      <c r="AG390">
        <v>0</v>
      </c>
      <c r="AH390">
        <v>0.02</v>
      </c>
      <c r="AI390">
        <v>0.91400000000000003</v>
      </c>
      <c r="AJ390">
        <v>2.2112500000000002</v>
      </c>
      <c r="AK390">
        <v>10.161511300000001</v>
      </c>
      <c r="AL390">
        <v>2.1999999999999999E-2</v>
      </c>
      <c r="AM390">
        <v>0</v>
      </c>
      <c r="AN390">
        <v>0.97799999999999998</v>
      </c>
    </row>
    <row r="391" spans="1:40">
      <c r="A391">
        <v>2459</v>
      </c>
      <c r="B391" t="s">
        <v>691</v>
      </c>
      <c r="C391" t="s">
        <v>684</v>
      </c>
      <c r="D391" t="s">
        <v>685</v>
      </c>
      <c r="E391">
        <v>111</v>
      </c>
      <c r="F391">
        <v>342</v>
      </c>
      <c r="G391">
        <v>22.982312910000001</v>
      </c>
      <c r="H391">
        <v>51</v>
      </c>
      <c r="I391">
        <v>3.5922264000000002E-2</v>
      </c>
      <c r="J391">
        <v>393</v>
      </c>
      <c r="K391">
        <v>10940.2904</v>
      </c>
      <c r="L391">
        <v>0.80700000000000005</v>
      </c>
      <c r="M391">
        <v>0.31481481500000003</v>
      </c>
      <c r="N391">
        <v>0</v>
      </c>
      <c r="O391" t="s">
        <v>620</v>
      </c>
      <c r="P391">
        <f t="shared" si="47"/>
        <v>9.80755102</v>
      </c>
      <c r="Q391">
        <f t="shared" si="48"/>
        <v>1.2E-2</v>
      </c>
      <c r="R391">
        <f t="shared" si="49"/>
        <v>3.3000000000000002E-2</v>
      </c>
      <c r="S391">
        <f t="shared" si="50"/>
        <v>0.80700000000000005</v>
      </c>
      <c r="T391">
        <f t="shared" si="51"/>
        <v>1.9737499999999999</v>
      </c>
      <c r="U391">
        <f t="shared" si="52"/>
        <v>6.787216495</v>
      </c>
      <c r="V391">
        <f t="shared" si="53"/>
        <v>6.7000000000000004E-2</v>
      </c>
      <c r="W391">
        <f t="shared" si="54"/>
        <v>3.3000000000000002E-2</v>
      </c>
      <c r="X391">
        <f t="shared" si="55"/>
        <v>0.81699999999999995</v>
      </c>
      <c r="Y391">
        <v>185.4812594</v>
      </c>
      <c r="Z391">
        <v>0</v>
      </c>
      <c r="AA391">
        <v>236250</v>
      </c>
      <c r="AB391">
        <v>76158</v>
      </c>
      <c r="AC391">
        <v>1.7652984E-2</v>
      </c>
      <c r="AD391">
        <v>0.84750225300000004</v>
      </c>
      <c r="AF391">
        <v>9.80755102</v>
      </c>
      <c r="AG391">
        <v>1.2E-2</v>
      </c>
      <c r="AH391">
        <v>3.3000000000000002E-2</v>
      </c>
      <c r="AI391">
        <v>0.80700000000000005</v>
      </c>
      <c r="AJ391">
        <v>1.9737499999999999</v>
      </c>
      <c r="AK391">
        <v>6.787216495</v>
      </c>
      <c r="AL391">
        <v>6.7000000000000004E-2</v>
      </c>
      <c r="AM391">
        <v>3.3000000000000002E-2</v>
      </c>
      <c r="AN391">
        <v>0.81699999999999995</v>
      </c>
    </row>
    <row r="392" spans="1:40">
      <c r="A392">
        <v>2460</v>
      </c>
      <c r="B392" t="s">
        <v>691</v>
      </c>
      <c r="C392" t="s">
        <v>684</v>
      </c>
      <c r="D392" t="s">
        <v>685</v>
      </c>
      <c r="E392">
        <v>480</v>
      </c>
      <c r="F392">
        <v>1512</v>
      </c>
      <c r="G392">
        <v>132.55112130000001</v>
      </c>
      <c r="H392">
        <v>398</v>
      </c>
      <c r="I392">
        <v>0.20718582599999999</v>
      </c>
      <c r="J392">
        <v>1910</v>
      </c>
      <c r="K392">
        <v>9218.7773500000003</v>
      </c>
      <c r="L392">
        <v>0.79500000000000004</v>
      </c>
      <c r="M392">
        <v>0.453302961</v>
      </c>
      <c r="N392">
        <v>0</v>
      </c>
      <c r="O392" t="s">
        <v>620</v>
      </c>
      <c r="P392">
        <f t="shared" si="47"/>
        <v>13.271659189999999</v>
      </c>
      <c r="Q392">
        <f t="shared" si="48"/>
        <v>1.7000000000000001E-2</v>
      </c>
      <c r="R392">
        <f t="shared" si="49"/>
        <v>0.03</v>
      </c>
      <c r="S392">
        <f t="shared" si="50"/>
        <v>0.79500000000000004</v>
      </c>
      <c r="T392">
        <f t="shared" si="51"/>
        <v>1.9351063829999999</v>
      </c>
      <c r="U392">
        <f t="shared" si="52"/>
        <v>6.6972098769999997</v>
      </c>
      <c r="V392">
        <f t="shared" si="53"/>
        <v>3.9E-2</v>
      </c>
      <c r="W392">
        <f t="shared" si="54"/>
        <v>0.05</v>
      </c>
      <c r="X392">
        <f t="shared" si="55"/>
        <v>0.86399999999999999</v>
      </c>
      <c r="Y392">
        <v>107.9172848</v>
      </c>
      <c r="Z392">
        <v>0</v>
      </c>
      <c r="AA392">
        <v>236250</v>
      </c>
      <c r="AB392">
        <v>76158</v>
      </c>
      <c r="AC392">
        <v>1.7652984E-2</v>
      </c>
      <c r="AD392">
        <v>0.84750225300000004</v>
      </c>
      <c r="AF392">
        <v>13.271659189999999</v>
      </c>
      <c r="AG392">
        <v>1.7000000000000001E-2</v>
      </c>
      <c r="AH392">
        <v>0.03</v>
      </c>
      <c r="AI392">
        <v>0.79500000000000004</v>
      </c>
      <c r="AJ392">
        <v>1.9351063829999999</v>
      </c>
      <c r="AK392">
        <v>6.6972098769999997</v>
      </c>
      <c r="AL392">
        <v>3.9E-2</v>
      </c>
      <c r="AM392">
        <v>0.05</v>
      </c>
      <c r="AN392">
        <v>0.86399999999999999</v>
      </c>
    </row>
    <row r="393" spans="1:40">
      <c r="A393">
        <v>2461</v>
      </c>
      <c r="B393" t="s">
        <v>691</v>
      </c>
      <c r="C393" t="s">
        <v>684</v>
      </c>
      <c r="D393" t="s">
        <v>685</v>
      </c>
      <c r="E393">
        <v>753</v>
      </c>
      <c r="F393">
        <v>2413</v>
      </c>
      <c r="G393">
        <v>159.2790813</v>
      </c>
      <c r="H393">
        <v>64</v>
      </c>
      <c r="I393">
        <v>0.248963557</v>
      </c>
      <c r="J393">
        <v>2477</v>
      </c>
      <c r="K393">
        <v>9949.2473109999992</v>
      </c>
      <c r="L393">
        <v>0.84099999999999997</v>
      </c>
      <c r="M393">
        <v>7.8335373E-2</v>
      </c>
      <c r="N393">
        <v>0</v>
      </c>
      <c r="O393" t="s">
        <v>620</v>
      </c>
      <c r="P393">
        <f t="shared" si="47"/>
        <v>13.29430168</v>
      </c>
      <c r="Q393">
        <f t="shared" si="48"/>
        <v>1.6E-2</v>
      </c>
      <c r="R393">
        <f t="shared" si="49"/>
        <v>1.2999999999999999E-2</v>
      </c>
      <c r="S393">
        <f t="shared" si="50"/>
        <v>0.84099999999999997</v>
      </c>
      <c r="T393">
        <f t="shared" si="51"/>
        <v>2.323888889</v>
      </c>
      <c r="U393">
        <f t="shared" si="52"/>
        <v>6.605120898</v>
      </c>
      <c r="V393">
        <f t="shared" si="53"/>
        <v>4.3999999999999997E-2</v>
      </c>
      <c r="W393">
        <f t="shared" si="54"/>
        <v>5.2999999999999999E-2</v>
      </c>
      <c r="X393">
        <f t="shared" si="55"/>
        <v>0.86899999999999999</v>
      </c>
      <c r="Y393">
        <v>141.8201066</v>
      </c>
      <c r="Z393">
        <v>0</v>
      </c>
      <c r="AA393">
        <v>236250</v>
      </c>
      <c r="AB393">
        <v>76158</v>
      </c>
      <c r="AC393">
        <v>1.7652984E-2</v>
      </c>
      <c r="AD393">
        <v>0.84750225300000004</v>
      </c>
      <c r="AF393">
        <v>13.29430168</v>
      </c>
      <c r="AG393">
        <v>1.6E-2</v>
      </c>
      <c r="AH393">
        <v>1.2999999999999999E-2</v>
      </c>
      <c r="AI393">
        <v>0.84099999999999997</v>
      </c>
      <c r="AJ393">
        <v>2.323888889</v>
      </c>
      <c r="AK393">
        <v>6.605120898</v>
      </c>
      <c r="AL393">
        <v>4.3999999999999997E-2</v>
      </c>
      <c r="AM393">
        <v>5.2999999999999999E-2</v>
      </c>
      <c r="AN393">
        <v>0.86899999999999999</v>
      </c>
    </row>
    <row r="394" spans="1:40">
      <c r="A394">
        <v>2462</v>
      </c>
      <c r="B394" t="s">
        <v>691</v>
      </c>
      <c r="C394" t="s">
        <v>684</v>
      </c>
      <c r="D394" t="s">
        <v>685</v>
      </c>
      <c r="E394">
        <v>478</v>
      </c>
      <c r="F394">
        <v>1614</v>
      </c>
      <c r="G394">
        <v>172.9856805</v>
      </c>
      <c r="H394">
        <v>347</v>
      </c>
      <c r="I394">
        <v>0.27038599200000002</v>
      </c>
      <c r="J394">
        <v>1961</v>
      </c>
      <c r="K394">
        <v>7252.5946540000004</v>
      </c>
      <c r="L394">
        <v>0.84099999999999997</v>
      </c>
      <c r="M394">
        <v>0.42060606099999998</v>
      </c>
      <c r="N394">
        <v>0</v>
      </c>
      <c r="O394" t="s">
        <v>620</v>
      </c>
      <c r="P394">
        <f t="shared" si="47"/>
        <v>13.74179191</v>
      </c>
      <c r="Q394">
        <f t="shared" si="48"/>
        <v>8.9999999999999993E-3</v>
      </c>
      <c r="R394">
        <f t="shared" si="49"/>
        <v>2.1999999999999999E-2</v>
      </c>
      <c r="S394">
        <f t="shared" si="50"/>
        <v>0.84099999999999997</v>
      </c>
      <c r="T394">
        <f t="shared" si="51"/>
        <v>2.380416667</v>
      </c>
      <c r="U394">
        <f t="shared" si="52"/>
        <v>8.8262390350000004</v>
      </c>
      <c r="V394">
        <f t="shared" si="53"/>
        <v>1.0999999999999999E-2</v>
      </c>
      <c r="W394">
        <f t="shared" si="54"/>
        <v>3.3000000000000002E-2</v>
      </c>
      <c r="X394">
        <f t="shared" si="55"/>
        <v>0.94499999999999995</v>
      </c>
      <c r="Y394">
        <v>91.289302120000002</v>
      </c>
      <c r="Z394">
        <v>0</v>
      </c>
      <c r="AA394">
        <v>236250</v>
      </c>
      <c r="AB394">
        <v>76158</v>
      </c>
      <c r="AC394">
        <v>1.7652984E-2</v>
      </c>
      <c r="AD394">
        <v>0.84750225300000004</v>
      </c>
      <c r="AF394">
        <v>13.74179191</v>
      </c>
      <c r="AG394">
        <v>8.9999999999999993E-3</v>
      </c>
      <c r="AH394">
        <v>2.1999999999999999E-2</v>
      </c>
      <c r="AI394">
        <v>0.84099999999999997</v>
      </c>
      <c r="AJ394">
        <v>2.380416667</v>
      </c>
      <c r="AK394">
        <v>8.8262390350000004</v>
      </c>
      <c r="AL394">
        <v>1.0999999999999999E-2</v>
      </c>
      <c r="AM394">
        <v>3.3000000000000002E-2</v>
      </c>
      <c r="AN394">
        <v>0.94499999999999995</v>
      </c>
    </row>
    <row r="395" spans="1:40">
      <c r="A395">
        <v>2463</v>
      </c>
      <c r="B395" t="s">
        <v>691</v>
      </c>
      <c r="C395" t="s">
        <v>684</v>
      </c>
      <c r="D395" t="s">
        <v>685</v>
      </c>
      <c r="E395">
        <v>708</v>
      </c>
      <c r="F395">
        <v>2177</v>
      </c>
      <c r="G395">
        <v>115.3102665</v>
      </c>
      <c r="H395">
        <v>634</v>
      </c>
      <c r="I395">
        <v>0.18023489600000001</v>
      </c>
      <c r="J395">
        <v>2811</v>
      </c>
      <c r="K395">
        <v>15596.313819999999</v>
      </c>
      <c r="L395">
        <v>0.83299999999999996</v>
      </c>
      <c r="M395">
        <v>0.47242920999999999</v>
      </c>
      <c r="N395">
        <v>0</v>
      </c>
      <c r="O395" t="s">
        <v>620</v>
      </c>
      <c r="P395">
        <f t="shared" si="47"/>
        <v>14.28508547</v>
      </c>
      <c r="Q395">
        <f t="shared" si="48"/>
        <v>1.2E-2</v>
      </c>
      <c r="R395">
        <f t="shared" si="49"/>
        <v>1.6E-2</v>
      </c>
      <c r="S395">
        <f t="shared" si="50"/>
        <v>0.83299999999999996</v>
      </c>
      <c r="T395">
        <f t="shared" si="51"/>
        <v>2.8</v>
      </c>
      <c r="U395">
        <f t="shared" si="52"/>
        <v>8.6221656049999993</v>
      </c>
      <c r="V395">
        <f t="shared" si="53"/>
        <v>4.9000000000000002E-2</v>
      </c>
      <c r="W395">
        <f t="shared" si="54"/>
        <v>0.03</v>
      </c>
      <c r="X395">
        <f t="shared" si="55"/>
        <v>0.89</v>
      </c>
      <c r="Y395">
        <v>166.1810749</v>
      </c>
      <c r="Z395">
        <v>0</v>
      </c>
      <c r="AA395">
        <v>236250</v>
      </c>
      <c r="AB395">
        <v>76158</v>
      </c>
      <c r="AC395">
        <v>1.7652984E-2</v>
      </c>
      <c r="AD395">
        <v>0.84750225300000004</v>
      </c>
      <c r="AF395">
        <v>14.28508547</v>
      </c>
      <c r="AG395">
        <v>1.2E-2</v>
      </c>
      <c r="AH395">
        <v>1.6E-2</v>
      </c>
      <c r="AI395">
        <v>0.83299999999999996</v>
      </c>
      <c r="AJ395">
        <v>2.8</v>
      </c>
      <c r="AK395">
        <v>8.6221656049999993</v>
      </c>
      <c r="AL395">
        <v>4.9000000000000002E-2</v>
      </c>
      <c r="AM395">
        <v>0.03</v>
      </c>
      <c r="AN395">
        <v>0.89</v>
      </c>
    </row>
    <row r="396" spans="1:40">
      <c r="A396">
        <v>2464</v>
      </c>
      <c r="B396" t="s">
        <v>686</v>
      </c>
      <c r="C396" t="s">
        <v>687</v>
      </c>
      <c r="D396" t="s">
        <v>688</v>
      </c>
      <c r="E396">
        <v>553</v>
      </c>
      <c r="F396">
        <v>1253</v>
      </c>
      <c r="G396">
        <v>68.137969260000006</v>
      </c>
      <c r="H396">
        <v>441</v>
      </c>
      <c r="I396">
        <v>0.10651685</v>
      </c>
      <c r="J396">
        <v>1694</v>
      </c>
      <c r="K396">
        <v>15903.587090000001</v>
      </c>
      <c r="L396">
        <v>0.72899999999999998</v>
      </c>
      <c r="M396">
        <v>0.44366197200000002</v>
      </c>
      <c r="N396">
        <v>0</v>
      </c>
      <c r="O396" t="s">
        <v>613</v>
      </c>
      <c r="P396">
        <f t="shared" ref="P396:P459" si="56">IF(OR(IFERROR(AF396=0,TRUE),ISERROR(AF396)),AVERAGEIFS(AF:AF,$B:$B,$B396,AF:AF,"&gt;0"),AF396)</f>
        <v>14.0193125</v>
      </c>
      <c r="Q396">
        <f t="shared" ref="Q396:Q459" si="57">IF(OR(IFERROR(AG396=0,TRUE),ISERROR(AG396)),AVERAGEIFS(AG:AG,$B:$B,$B396,AG:AG,"&gt;0"),AG396)</f>
        <v>4.5999999999999999E-2</v>
      </c>
      <c r="R396">
        <f t="shared" ref="R396:R459" si="58">IF(OR(IFERROR(AH396=0,TRUE),ISERROR(AH396)),AVERAGEIFS(AH:AH,$B:$B,$B396,AH:AH,"&gt;0"),AH396)</f>
        <v>2.5000000000000001E-2</v>
      </c>
      <c r="S396">
        <f t="shared" ref="S396:S459" si="59">IF(OR(IFERROR(AI396=0,TRUE),ISERROR(AI396)),AVERAGEIFS(AI:AI,$B:$B,$B396,AI:AI,"&gt;0"),AI396)</f>
        <v>0.72899999999999998</v>
      </c>
      <c r="T396">
        <f t="shared" ref="T396:T459" si="60">IF(OR(IFERROR(AJ396=0,TRUE),ISERROR(AJ396)),AVERAGEIFS(AJ:AJ,$B:$B,$B396,AJ:AJ,"&gt;0"),AJ396)</f>
        <v>1.8491176469999999</v>
      </c>
      <c r="U396">
        <f t="shared" ref="U396:U459" si="61">IF(OR(IFERROR(AK396=0,TRUE),ISERROR(AK396)),AVERAGEIFS(AK:AK,$B:$B,$B396,AK:AK,"&gt;0"),AK396)</f>
        <v>7.4034031410000001</v>
      </c>
      <c r="V396">
        <f t="shared" ref="V396:V459" si="62">IF(OR(IFERROR(AL396=0,TRUE),ISERROR(AL396)),AVERAGEIFS(AL:AL,$B:$B,$B396,AL:AL,"&gt;0"),AL396)</f>
        <v>3.3000000000000002E-2</v>
      </c>
      <c r="W396">
        <f t="shared" ref="W396:W459" si="63">IF(OR(IFERROR(AM396=0,TRUE),ISERROR(AM396)),AVERAGEIFS(AM:AM,$B:$B,$B396,AM:AM,"&gt;0"),AM396)</f>
        <v>0.17599999999999999</v>
      </c>
      <c r="X396">
        <f t="shared" ref="X396:X459" si="64">IF(OR(IFERROR(AN396=0,TRUE),ISERROR(AN396)),AVERAGEIFS(AN:AN,$B:$B,$B396,AN:AN,"&gt;0"),AN396)</f>
        <v>0.76200000000000001</v>
      </c>
      <c r="Y396">
        <v>203.12962279999999</v>
      </c>
      <c r="Z396">
        <v>1</v>
      </c>
      <c r="AA396">
        <v>140316</v>
      </c>
      <c r="AB396">
        <v>49638</v>
      </c>
      <c r="AC396">
        <v>9.1283894000000004E-2</v>
      </c>
      <c r="AD396">
        <v>0.60339869999999995</v>
      </c>
      <c r="AF396">
        <v>14.0193125</v>
      </c>
      <c r="AG396">
        <v>4.5999999999999999E-2</v>
      </c>
      <c r="AH396">
        <v>2.5000000000000001E-2</v>
      </c>
      <c r="AI396">
        <v>0.72899999999999998</v>
      </c>
      <c r="AJ396">
        <v>1.8491176469999999</v>
      </c>
      <c r="AK396">
        <v>7.4034031410000001</v>
      </c>
      <c r="AL396">
        <v>3.3000000000000002E-2</v>
      </c>
      <c r="AM396">
        <v>0.17599999999999999</v>
      </c>
      <c r="AN396">
        <v>0.76200000000000001</v>
      </c>
    </row>
    <row r="397" spans="1:40">
      <c r="A397">
        <v>2465</v>
      </c>
      <c r="B397" t="s">
        <v>699</v>
      </c>
      <c r="C397" t="s">
        <v>687</v>
      </c>
      <c r="D397" t="s">
        <v>688</v>
      </c>
      <c r="E397">
        <v>283</v>
      </c>
      <c r="F397">
        <v>749</v>
      </c>
      <c r="G397">
        <v>41.976674410000001</v>
      </c>
      <c r="H397">
        <v>216</v>
      </c>
      <c r="I397">
        <v>6.5620476999999997E-2</v>
      </c>
      <c r="J397">
        <v>965</v>
      </c>
      <c r="K397">
        <v>14705.775449999999</v>
      </c>
      <c r="L397">
        <v>0.80600000000000005</v>
      </c>
      <c r="M397">
        <v>0.43286573099999998</v>
      </c>
      <c r="N397">
        <v>0</v>
      </c>
      <c r="O397" t="s">
        <v>613</v>
      </c>
      <c r="P397">
        <f t="shared" si="56"/>
        <v>10.657029700000001</v>
      </c>
      <c r="Q397">
        <f t="shared" si="57"/>
        <v>0.03</v>
      </c>
      <c r="R397">
        <f t="shared" si="58"/>
        <v>4.2000000000000003E-2</v>
      </c>
      <c r="S397">
        <f t="shared" si="59"/>
        <v>0.80600000000000005</v>
      </c>
      <c r="T397">
        <f t="shared" si="60"/>
        <v>1.9986206900000001</v>
      </c>
      <c r="U397">
        <f t="shared" si="61"/>
        <v>6.6808534320000001</v>
      </c>
      <c r="V397">
        <f t="shared" si="62"/>
        <v>5.6000000000000001E-2</v>
      </c>
      <c r="W397">
        <f t="shared" si="63"/>
        <v>0.10299999999999999</v>
      </c>
      <c r="X397">
        <f t="shared" si="64"/>
        <v>0.80200000000000005</v>
      </c>
      <c r="Y397">
        <v>264.47242039999998</v>
      </c>
      <c r="Z397">
        <v>0</v>
      </c>
      <c r="AA397">
        <v>20912</v>
      </c>
      <c r="AB397">
        <v>7469</v>
      </c>
      <c r="AC397">
        <v>5.5261644999999998E-2</v>
      </c>
      <c r="AD397">
        <v>0.74284071299999999</v>
      </c>
      <c r="AF397">
        <v>10.657029700000001</v>
      </c>
      <c r="AG397">
        <v>0.03</v>
      </c>
      <c r="AH397">
        <v>4.2000000000000003E-2</v>
      </c>
      <c r="AI397">
        <v>0.80600000000000005</v>
      </c>
      <c r="AJ397">
        <v>1.9986206900000001</v>
      </c>
      <c r="AK397">
        <v>6.6808534320000001</v>
      </c>
      <c r="AL397">
        <v>5.6000000000000001E-2</v>
      </c>
      <c r="AM397">
        <v>0.10299999999999999</v>
      </c>
      <c r="AN397">
        <v>0.80200000000000005</v>
      </c>
    </row>
    <row r="398" spans="1:40">
      <c r="A398">
        <v>2466</v>
      </c>
      <c r="B398" t="s">
        <v>699</v>
      </c>
      <c r="C398" t="s">
        <v>687</v>
      </c>
      <c r="D398" t="s">
        <v>688</v>
      </c>
      <c r="E398">
        <v>321</v>
      </c>
      <c r="F398">
        <v>791</v>
      </c>
      <c r="G398">
        <v>39.970076300000002</v>
      </c>
      <c r="H398">
        <v>84</v>
      </c>
      <c r="I398">
        <v>6.2484461999999998E-2</v>
      </c>
      <c r="J398">
        <v>875</v>
      </c>
      <c r="K398">
        <v>14003.481379999999</v>
      </c>
      <c r="L398">
        <v>0.74299999999999999</v>
      </c>
      <c r="M398">
        <v>0.20740740699999999</v>
      </c>
      <c r="N398">
        <v>1</v>
      </c>
      <c r="O398" t="s">
        <v>613</v>
      </c>
      <c r="P398">
        <f t="shared" si="56"/>
        <v>9.0893846150000002</v>
      </c>
      <c r="Q398">
        <f t="shared" si="57"/>
        <v>7.1999999999999995E-2</v>
      </c>
      <c r="R398">
        <f t="shared" si="58"/>
        <v>1.6E-2</v>
      </c>
      <c r="S398">
        <f t="shared" si="59"/>
        <v>0.74299999999999999</v>
      </c>
      <c r="T398">
        <f t="shared" si="60"/>
        <v>1.07375</v>
      </c>
      <c r="U398">
        <f t="shared" si="61"/>
        <v>6.3440000000000003</v>
      </c>
      <c r="V398">
        <f t="shared" si="62"/>
        <v>6.0187500000000012E-2</v>
      </c>
      <c r="W398">
        <f t="shared" si="63"/>
        <v>0.25800000000000001</v>
      </c>
      <c r="X398">
        <f t="shared" si="64"/>
        <v>0.69899999999999995</v>
      </c>
      <c r="Y398">
        <v>440.78959809999998</v>
      </c>
      <c r="Z398">
        <v>0</v>
      </c>
      <c r="AA398">
        <v>20912</v>
      </c>
      <c r="AB398">
        <v>7469</v>
      </c>
      <c r="AC398">
        <v>5.5261644999999998E-2</v>
      </c>
      <c r="AD398">
        <v>0.74284071299999999</v>
      </c>
      <c r="AF398">
        <v>9.0893846150000002</v>
      </c>
      <c r="AG398">
        <v>7.1999999999999995E-2</v>
      </c>
      <c r="AH398">
        <v>1.6E-2</v>
      </c>
      <c r="AI398">
        <v>0.74299999999999999</v>
      </c>
      <c r="AJ398">
        <v>1.07375</v>
      </c>
      <c r="AK398">
        <v>6.3440000000000003</v>
      </c>
      <c r="AL398">
        <v>0</v>
      </c>
      <c r="AM398">
        <v>0.25800000000000001</v>
      </c>
      <c r="AN398">
        <v>0.69899999999999995</v>
      </c>
    </row>
    <row r="399" spans="1:40">
      <c r="A399">
        <v>2467</v>
      </c>
      <c r="B399" t="s">
        <v>699</v>
      </c>
      <c r="C399" t="s">
        <v>687</v>
      </c>
      <c r="D399" t="s">
        <v>688</v>
      </c>
      <c r="E399">
        <v>236</v>
      </c>
      <c r="F399">
        <v>666</v>
      </c>
      <c r="G399">
        <v>32.08487822</v>
      </c>
      <c r="H399">
        <v>165</v>
      </c>
      <c r="I399">
        <v>5.0154354999999998E-2</v>
      </c>
      <c r="J399">
        <v>831</v>
      </c>
      <c r="K399">
        <v>16568.850299999998</v>
      </c>
      <c r="L399">
        <v>0.78700000000000003</v>
      </c>
      <c r="M399">
        <v>0.41147132199999997</v>
      </c>
      <c r="N399">
        <v>0</v>
      </c>
      <c r="O399" t="s">
        <v>613</v>
      </c>
      <c r="P399">
        <f t="shared" si="56"/>
        <v>11.66583333</v>
      </c>
      <c r="Q399">
        <f t="shared" si="57"/>
        <v>3.1E-2</v>
      </c>
      <c r="R399">
        <f t="shared" si="58"/>
        <v>2.8000000000000001E-2</v>
      </c>
      <c r="S399">
        <f t="shared" si="59"/>
        <v>0.78700000000000003</v>
      </c>
      <c r="T399">
        <f t="shared" si="60"/>
        <v>2.3631250000000001</v>
      </c>
      <c r="U399">
        <f t="shared" si="61"/>
        <v>5.9165291260000004</v>
      </c>
      <c r="V399">
        <f t="shared" si="62"/>
        <v>9.4E-2</v>
      </c>
      <c r="W399">
        <f t="shared" si="63"/>
        <v>0.14099999999999999</v>
      </c>
      <c r="X399">
        <f t="shared" si="64"/>
        <v>0.75</v>
      </c>
      <c r="Y399">
        <v>192.72391540000001</v>
      </c>
      <c r="Z399">
        <v>0</v>
      </c>
      <c r="AA399">
        <v>20912</v>
      </c>
      <c r="AB399">
        <v>7469</v>
      </c>
      <c r="AC399">
        <v>5.5261644999999998E-2</v>
      </c>
      <c r="AD399">
        <v>0.74284071299999999</v>
      </c>
      <c r="AF399">
        <v>11.66583333</v>
      </c>
      <c r="AG399">
        <v>3.1E-2</v>
      </c>
      <c r="AH399">
        <v>2.8000000000000001E-2</v>
      </c>
      <c r="AI399">
        <v>0.78700000000000003</v>
      </c>
      <c r="AJ399">
        <v>2.3631250000000001</v>
      </c>
      <c r="AK399">
        <v>5.9165291260000004</v>
      </c>
      <c r="AL399">
        <v>9.4E-2</v>
      </c>
      <c r="AM399">
        <v>0.14099999999999999</v>
      </c>
      <c r="AN399">
        <v>0.75</v>
      </c>
    </row>
    <row r="400" spans="1:40">
      <c r="A400">
        <v>2468</v>
      </c>
      <c r="B400" t="s">
        <v>686</v>
      </c>
      <c r="C400" t="s">
        <v>687</v>
      </c>
      <c r="D400" t="s">
        <v>688</v>
      </c>
      <c r="E400">
        <v>438</v>
      </c>
      <c r="F400">
        <v>948</v>
      </c>
      <c r="G400">
        <v>48.993136110000002</v>
      </c>
      <c r="H400">
        <v>212</v>
      </c>
      <c r="I400">
        <v>7.6584795999999997E-2</v>
      </c>
      <c r="J400">
        <v>1160</v>
      </c>
      <c r="K400">
        <v>15146.60952</v>
      </c>
      <c r="L400">
        <v>0.73699999999999999</v>
      </c>
      <c r="M400">
        <v>0.32615384600000003</v>
      </c>
      <c r="N400">
        <v>0</v>
      </c>
      <c r="O400" t="s">
        <v>613</v>
      </c>
      <c r="P400">
        <f t="shared" si="56"/>
        <v>12.251925930000001</v>
      </c>
      <c r="Q400">
        <f t="shared" si="57"/>
        <v>6.9000000000000006E-2</v>
      </c>
      <c r="R400">
        <f t="shared" si="58"/>
        <v>2.7E-2</v>
      </c>
      <c r="S400">
        <f t="shared" si="59"/>
        <v>0.73699999999999999</v>
      </c>
      <c r="T400">
        <f t="shared" si="60"/>
        <v>2.473461538</v>
      </c>
      <c r="U400">
        <f t="shared" si="61"/>
        <v>7.0077095810000003</v>
      </c>
      <c r="V400">
        <f t="shared" si="62"/>
        <v>7.6999999999999999E-2</v>
      </c>
      <c r="W400">
        <f t="shared" si="63"/>
        <v>0.11600000000000001</v>
      </c>
      <c r="X400">
        <f t="shared" si="64"/>
        <v>0.746</v>
      </c>
      <c r="Y400">
        <v>230.17760949999999</v>
      </c>
      <c r="Z400">
        <v>1</v>
      </c>
      <c r="AA400">
        <v>140316</v>
      </c>
      <c r="AB400">
        <v>49638</v>
      </c>
      <c r="AC400">
        <v>9.1283894000000004E-2</v>
      </c>
      <c r="AD400">
        <v>0.60339869999999995</v>
      </c>
      <c r="AF400">
        <v>12.251925930000001</v>
      </c>
      <c r="AG400">
        <v>6.9000000000000006E-2</v>
      </c>
      <c r="AH400">
        <v>2.7E-2</v>
      </c>
      <c r="AI400">
        <v>0.73699999999999999</v>
      </c>
      <c r="AJ400">
        <v>2.473461538</v>
      </c>
      <c r="AK400">
        <v>7.0077095810000003</v>
      </c>
      <c r="AL400">
        <v>7.6999999999999999E-2</v>
      </c>
      <c r="AM400">
        <v>0.11600000000000001</v>
      </c>
      <c r="AN400">
        <v>0.746</v>
      </c>
    </row>
    <row r="401" spans="1:40">
      <c r="A401">
        <v>2469</v>
      </c>
      <c r="B401" t="s">
        <v>686</v>
      </c>
      <c r="C401" t="s">
        <v>687</v>
      </c>
      <c r="D401" t="s">
        <v>688</v>
      </c>
      <c r="E401">
        <v>449</v>
      </c>
      <c r="F401">
        <v>969</v>
      </c>
      <c r="G401">
        <v>51.371107930000001</v>
      </c>
      <c r="H401">
        <v>352</v>
      </c>
      <c r="I401">
        <v>8.0302697000000006E-2</v>
      </c>
      <c r="J401">
        <v>1321</v>
      </c>
      <c r="K401">
        <v>16450.256959999999</v>
      </c>
      <c r="L401">
        <v>0.73399999999999999</v>
      </c>
      <c r="M401">
        <v>0.43945068700000001</v>
      </c>
      <c r="N401">
        <v>0</v>
      </c>
      <c r="O401" t="s">
        <v>613</v>
      </c>
      <c r="P401">
        <f t="shared" si="56"/>
        <v>13.58131313</v>
      </c>
      <c r="Q401">
        <f t="shared" si="57"/>
        <v>6.0999999999999999E-2</v>
      </c>
      <c r="R401">
        <f t="shared" si="58"/>
        <v>0.03</v>
      </c>
      <c r="S401">
        <f t="shared" si="59"/>
        <v>0.73399999999999999</v>
      </c>
      <c r="T401">
        <f t="shared" si="60"/>
        <v>2.0019999999999998</v>
      </c>
      <c r="U401">
        <f t="shared" si="61"/>
        <v>6.6939896369999996</v>
      </c>
      <c r="V401">
        <f t="shared" si="62"/>
        <v>8.1000000000000003E-2</v>
      </c>
      <c r="W401">
        <f t="shared" si="63"/>
        <v>0.16800000000000001</v>
      </c>
      <c r="X401">
        <f t="shared" si="64"/>
        <v>0.66400000000000003</v>
      </c>
      <c r="Y401">
        <v>173.62750030000001</v>
      </c>
      <c r="Z401">
        <v>1</v>
      </c>
      <c r="AA401">
        <v>140316</v>
      </c>
      <c r="AB401">
        <v>49638</v>
      </c>
      <c r="AC401">
        <v>9.1283894000000004E-2</v>
      </c>
      <c r="AD401">
        <v>0.60339869999999995</v>
      </c>
      <c r="AF401">
        <v>13.58131313</v>
      </c>
      <c r="AG401">
        <v>6.0999999999999999E-2</v>
      </c>
      <c r="AH401">
        <v>0.03</v>
      </c>
      <c r="AI401">
        <v>0.73399999999999999</v>
      </c>
      <c r="AJ401">
        <v>2.0019999999999998</v>
      </c>
      <c r="AK401">
        <v>6.6939896369999996</v>
      </c>
      <c r="AL401">
        <v>8.1000000000000003E-2</v>
      </c>
      <c r="AM401">
        <v>0.16800000000000001</v>
      </c>
      <c r="AN401">
        <v>0.66400000000000003</v>
      </c>
    </row>
    <row r="402" spans="1:40">
      <c r="A402">
        <v>2470</v>
      </c>
      <c r="B402" t="s">
        <v>689</v>
      </c>
      <c r="C402" t="s">
        <v>687</v>
      </c>
      <c r="D402" t="s">
        <v>688</v>
      </c>
      <c r="E402">
        <v>949</v>
      </c>
      <c r="F402">
        <v>1616</v>
      </c>
      <c r="G402">
        <v>33.288051430000003</v>
      </c>
      <c r="H402">
        <v>396</v>
      </c>
      <c r="I402">
        <v>5.2032263000000002E-2</v>
      </c>
      <c r="J402">
        <v>2012</v>
      </c>
      <c r="K402">
        <v>38668.316229999997</v>
      </c>
      <c r="L402">
        <v>0.67900000000000005</v>
      </c>
      <c r="M402">
        <v>0.29442379200000002</v>
      </c>
      <c r="N402">
        <v>0</v>
      </c>
      <c r="O402" t="s">
        <v>606</v>
      </c>
      <c r="P402">
        <f t="shared" si="56"/>
        <v>8.45505</v>
      </c>
      <c r="Q402">
        <f t="shared" si="57"/>
        <v>5.5E-2</v>
      </c>
      <c r="R402">
        <f t="shared" si="58"/>
        <v>6.0999999999999999E-2</v>
      </c>
      <c r="S402">
        <f t="shared" si="59"/>
        <v>0.67900000000000005</v>
      </c>
      <c r="T402">
        <f t="shared" si="60"/>
        <v>2.2069999999999999</v>
      </c>
      <c r="U402">
        <f t="shared" si="61"/>
        <v>5.7565560639999998</v>
      </c>
      <c r="V402">
        <f t="shared" si="62"/>
        <v>8.4000000000000005E-2</v>
      </c>
      <c r="W402">
        <f t="shared" si="63"/>
        <v>0.152</v>
      </c>
      <c r="X402">
        <f t="shared" si="64"/>
        <v>0.61899999999999999</v>
      </c>
      <c r="Y402">
        <v>85.798553990000002</v>
      </c>
      <c r="Z402">
        <v>0</v>
      </c>
      <c r="AA402">
        <v>454184</v>
      </c>
      <c r="AB402">
        <v>170596</v>
      </c>
      <c r="AC402">
        <v>6.5715274000000004E-2</v>
      </c>
      <c r="AD402">
        <v>0.72549415100000003</v>
      </c>
      <c r="AF402">
        <v>8.45505</v>
      </c>
      <c r="AG402">
        <v>5.5E-2</v>
      </c>
      <c r="AH402">
        <v>6.0999999999999999E-2</v>
      </c>
      <c r="AI402">
        <v>0.67900000000000005</v>
      </c>
      <c r="AJ402">
        <v>2.2069999999999999</v>
      </c>
      <c r="AK402">
        <v>5.7565560639999998</v>
      </c>
      <c r="AL402">
        <v>8.4000000000000005E-2</v>
      </c>
      <c r="AM402">
        <v>0.152</v>
      </c>
      <c r="AN402">
        <v>0.61899999999999999</v>
      </c>
    </row>
    <row r="403" spans="1:40">
      <c r="A403">
        <v>2471</v>
      </c>
      <c r="B403" t="s">
        <v>689</v>
      </c>
      <c r="C403" t="s">
        <v>687</v>
      </c>
      <c r="D403" t="s">
        <v>688</v>
      </c>
      <c r="E403">
        <v>871</v>
      </c>
      <c r="F403">
        <v>1563</v>
      </c>
      <c r="G403">
        <v>49.794975549999997</v>
      </c>
      <c r="H403">
        <v>500</v>
      </c>
      <c r="I403">
        <v>7.7837123999999994E-2</v>
      </c>
      <c r="J403">
        <v>2063</v>
      </c>
      <c r="K403">
        <v>26504.06251</v>
      </c>
      <c r="L403">
        <v>0.69899999999999995</v>
      </c>
      <c r="M403">
        <v>0.36469730099999997</v>
      </c>
      <c r="N403">
        <v>0</v>
      </c>
      <c r="O403" t="s">
        <v>613</v>
      </c>
      <c r="P403">
        <f t="shared" si="56"/>
        <v>8.9441618500000004</v>
      </c>
      <c r="Q403">
        <f t="shared" si="57"/>
        <v>4.2999999999999997E-2</v>
      </c>
      <c r="R403">
        <f t="shared" si="58"/>
        <v>3.6999999999999998E-2</v>
      </c>
      <c r="S403">
        <f t="shared" si="59"/>
        <v>0.69899999999999995</v>
      </c>
      <c r="T403">
        <f t="shared" si="60"/>
        <v>1.9363999999999999</v>
      </c>
      <c r="U403">
        <f t="shared" si="61"/>
        <v>5.9422124859999998</v>
      </c>
      <c r="V403">
        <f t="shared" si="62"/>
        <v>7.9000000000000001E-2</v>
      </c>
      <c r="W403">
        <f t="shared" si="63"/>
        <v>0.13700000000000001</v>
      </c>
      <c r="X403">
        <f t="shared" si="64"/>
        <v>0.71799999999999997</v>
      </c>
      <c r="Y403">
        <v>95.868585600000003</v>
      </c>
      <c r="Z403">
        <v>0</v>
      </c>
      <c r="AA403">
        <v>454184</v>
      </c>
      <c r="AB403">
        <v>170596</v>
      </c>
      <c r="AC403">
        <v>6.5715274000000004E-2</v>
      </c>
      <c r="AD403">
        <v>0.72549415100000003</v>
      </c>
      <c r="AF403">
        <v>8.9441618500000004</v>
      </c>
      <c r="AG403">
        <v>4.2999999999999997E-2</v>
      </c>
      <c r="AH403">
        <v>3.6999999999999998E-2</v>
      </c>
      <c r="AI403">
        <v>0.69899999999999995</v>
      </c>
      <c r="AJ403">
        <v>1.9363999999999999</v>
      </c>
      <c r="AK403">
        <v>5.9422124859999998</v>
      </c>
      <c r="AL403">
        <v>7.9000000000000001E-2</v>
      </c>
      <c r="AM403">
        <v>0.13700000000000001</v>
      </c>
      <c r="AN403">
        <v>0.71799999999999997</v>
      </c>
    </row>
    <row r="404" spans="1:40">
      <c r="A404">
        <v>2472</v>
      </c>
      <c r="B404" t="s">
        <v>689</v>
      </c>
      <c r="C404" t="s">
        <v>687</v>
      </c>
      <c r="D404" t="s">
        <v>688</v>
      </c>
      <c r="E404">
        <v>411</v>
      </c>
      <c r="F404">
        <v>812</v>
      </c>
      <c r="G404">
        <v>33.995423340000002</v>
      </c>
      <c r="H404">
        <v>752</v>
      </c>
      <c r="I404">
        <v>5.3143970999999998E-2</v>
      </c>
      <c r="J404">
        <v>1564</v>
      </c>
      <c r="K404">
        <v>29429.490689999999</v>
      </c>
      <c r="L404">
        <v>0.77800000000000002</v>
      </c>
      <c r="M404">
        <v>0.64660361099999997</v>
      </c>
      <c r="N404">
        <v>0</v>
      </c>
      <c r="O404" t="s">
        <v>613</v>
      </c>
      <c r="P404">
        <f t="shared" si="56"/>
        <v>11.019866670000001</v>
      </c>
      <c r="Q404">
        <f t="shared" si="57"/>
        <v>2.8000000000000001E-2</v>
      </c>
      <c r="R404">
        <f t="shared" si="58"/>
        <v>4.7E-2</v>
      </c>
      <c r="S404">
        <f t="shared" si="59"/>
        <v>0.77800000000000002</v>
      </c>
      <c r="T404">
        <f t="shared" si="60"/>
        <v>2.3449295769999998</v>
      </c>
      <c r="U404">
        <f t="shared" si="61"/>
        <v>5.9611020779999997</v>
      </c>
      <c r="V404">
        <f t="shared" si="62"/>
        <v>6.5000000000000002E-2</v>
      </c>
      <c r="W404">
        <f t="shared" si="63"/>
        <v>0.109</v>
      </c>
      <c r="X404">
        <f t="shared" si="64"/>
        <v>0.746</v>
      </c>
      <c r="Y404">
        <v>219.07545210000001</v>
      </c>
      <c r="Z404">
        <v>0</v>
      </c>
      <c r="AA404">
        <v>454184</v>
      </c>
      <c r="AB404">
        <v>170596</v>
      </c>
      <c r="AC404">
        <v>6.5715274000000004E-2</v>
      </c>
      <c r="AD404">
        <v>0.72549415100000003</v>
      </c>
      <c r="AF404">
        <v>11.019866670000001</v>
      </c>
      <c r="AG404">
        <v>2.8000000000000001E-2</v>
      </c>
      <c r="AH404">
        <v>4.7E-2</v>
      </c>
      <c r="AI404">
        <v>0.77800000000000002</v>
      </c>
      <c r="AJ404">
        <v>2.3449295769999998</v>
      </c>
      <c r="AK404">
        <v>5.9611020779999997</v>
      </c>
      <c r="AL404">
        <v>6.5000000000000002E-2</v>
      </c>
      <c r="AM404">
        <v>0.109</v>
      </c>
      <c r="AN404">
        <v>0.746</v>
      </c>
    </row>
    <row r="405" spans="1:40">
      <c r="A405">
        <v>2473</v>
      </c>
      <c r="B405" t="s">
        <v>689</v>
      </c>
      <c r="C405" t="s">
        <v>687</v>
      </c>
      <c r="D405" t="s">
        <v>688</v>
      </c>
      <c r="E405">
        <v>676</v>
      </c>
      <c r="F405">
        <v>1357</v>
      </c>
      <c r="G405">
        <v>80.740736209999994</v>
      </c>
      <c r="H405">
        <v>393</v>
      </c>
      <c r="I405">
        <v>0.12620677899999999</v>
      </c>
      <c r="J405">
        <v>1750</v>
      </c>
      <c r="K405">
        <v>13866.13313</v>
      </c>
      <c r="L405">
        <v>0.76600000000000001</v>
      </c>
      <c r="M405">
        <v>0.367633302</v>
      </c>
      <c r="N405">
        <v>0</v>
      </c>
      <c r="O405" t="s">
        <v>613</v>
      </c>
      <c r="P405">
        <f t="shared" si="56"/>
        <v>10.40635294</v>
      </c>
      <c r="Q405">
        <f t="shared" si="57"/>
        <v>4.8000000000000001E-2</v>
      </c>
      <c r="R405">
        <f t="shared" si="58"/>
        <v>3.5000000000000003E-2</v>
      </c>
      <c r="S405">
        <f t="shared" si="59"/>
        <v>0.76600000000000001</v>
      </c>
      <c r="T405">
        <f t="shared" si="60"/>
        <v>2.542241379</v>
      </c>
      <c r="U405">
        <f t="shared" si="61"/>
        <v>5.6807613010000004</v>
      </c>
      <c r="V405">
        <f t="shared" si="62"/>
        <v>0.12</v>
      </c>
      <c r="W405">
        <f t="shared" si="63"/>
        <v>0.157</v>
      </c>
      <c r="X405">
        <f t="shared" si="64"/>
        <v>0.70199999999999996</v>
      </c>
      <c r="Y405">
        <v>158.4304995</v>
      </c>
      <c r="Z405">
        <v>0</v>
      </c>
      <c r="AA405">
        <v>454184</v>
      </c>
      <c r="AB405">
        <v>170596</v>
      </c>
      <c r="AC405">
        <v>6.5715274000000004E-2</v>
      </c>
      <c r="AD405">
        <v>0.72549415100000003</v>
      </c>
      <c r="AF405">
        <v>10.40635294</v>
      </c>
      <c r="AG405">
        <v>4.8000000000000001E-2</v>
      </c>
      <c r="AH405">
        <v>3.5000000000000003E-2</v>
      </c>
      <c r="AI405">
        <v>0.76600000000000001</v>
      </c>
      <c r="AJ405">
        <v>2.542241379</v>
      </c>
      <c r="AK405">
        <v>5.6807613010000004</v>
      </c>
      <c r="AL405">
        <v>0.12</v>
      </c>
      <c r="AM405">
        <v>0.157</v>
      </c>
      <c r="AN405">
        <v>0.70199999999999996</v>
      </c>
    </row>
    <row r="406" spans="1:40">
      <c r="A406">
        <v>2474</v>
      </c>
      <c r="B406" t="s">
        <v>689</v>
      </c>
      <c r="C406" t="s">
        <v>687</v>
      </c>
      <c r="D406" t="s">
        <v>688</v>
      </c>
      <c r="E406">
        <v>356</v>
      </c>
      <c r="F406">
        <v>989</v>
      </c>
      <c r="G406">
        <v>23.766571509999999</v>
      </c>
      <c r="H406">
        <v>6</v>
      </c>
      <c r="I406">
        <v>3.7151906999999998E-2</v>
      </c>
      <c r="J406">
        <v>995</v>
      </c>
      <c r="K406">
        <v>26781.936119999998</v>
      </c>
      <c r="L406">
        <v>0.67400000000000004</v>
      </c>
      <c r="M406">
        <v>1.6574585999999999E-2</v>
      </c>
      <c r="N406">
        <v>0</v>
      </c>
      <c r="O406" t="s">
        <v>613</v>
      </c>
      <c r="P406">
        <f t="shared" si="56"/>
        <v>8.2537931029999996</v>
      </c>
      <c r="Q406">
        <f t="shared" si="57"/>
        <v>0.1</v>
      </c>
      <c r="R406">
        <f t="shared" si="58"/>
        <v>4.5999999999999999E-2</v>
      </c>
      <c r="S406">
        <f t="shared" si="59"/>
        <v>0.67400000000000004</v>
      </c>
      <c r="T406">
        <f t="shared" si="60"/>
        <v>2.1549999999999998</v>
      </c>
      <c r="U406">
        <f t="shared" si="61"/>
        <v>6.000659722</v>
      </c>
      <c r="V406">
        <f t="shared" si="62"/>
        <v>8.2000000000000003E-2</v>
      </c>
      <c r="W406">
        <f t="shared" si="63"/>
        <v>0.26800000000000002</v>
      </c>
      <c r="X406">
        <f t="shared" si="64"/>
        <v>0.59799999999999998</v>
      </c>
      <c r="Y406">
        <v>188.355131</v>
      </c>
      <c r="Z406">
        <v>0</v>
      </c>
      <c r="AA406">
        <v>454184</v>
      </c>
      <c r="AB406">
        <v>170596</v>
      </c>
      <c r="AC406">
        <v>6.5715274000000004E-2</v>
      </c>
      <c r="AD406">
        <v>0.72549415100000003</v>
      </c>
      <c r="AF406">
        <v>8.2537931029999996</v>
      </c>
      <c r="AG406">
        <v>0.1</v>
      </c>
      <c r="AH406">
        <v>4.5999999999999999E-2</v>
      </c>
      <c r="AI406">
        <v>0.67400000000000004</v>
      </c>
      <c r="AJ406">
        <v>2.1549999999999998</v>
      </c>
      <c r="AK406">
        <v>6.000659722</v>
      </c>
      <c r="AL406">
        <v>8.2000000000000003E-2</v>
      </c>
      <c r="AM406">
        <v>0.26800000000000002</v>
      </c>
      <c r="AN406">
        <v>0.59799999999999998</v>
      </c>
    </row>
    <row r="407" spans="1:40">
      <c r="A407">
        <v>2475</v>
      </c>
      <c r="B407" t="s">
        <v>689</v>
      </c>
      <c r="C407" t="s">
        <v>687</v>
      </c>
      <c r="D407" t="s">
        <v>688</v>
      </c>
      <c r="E407">
        <v>335</v>
      </c>
      <c r="F407">
        <v>852</v>
      </c>
      <c r="G407">
        <v>23.688944729999999</v>
      </c>
      <c r="H407">
        <v>17</v>
      </c>
      <c r="I407">
        <v>3.7030995999999997E-2</v>
      </c>
      <c r="J407">
        <v>869</v>
      </c>
      <c r="K407">
        <v>23466.82763</v>
      </c>
      <c r="L407">
        <v>0.68600000000000005</v>
      </c>
      <c r="M407">
        <v>4.8295455000000001E-2</v>
      </c>
      <c r="N407">
        <v>0</v>
      </c>
      <c r="O407" t="s">
        <v>613</v>
      </c>
      <c r="P407">
        <f t="shared" si="56"/>
        <v>9.9890909089999997</v>
      </c>
      <c r="Q407">
        <f t="shared" si="57"/>
        <v>9.8000000000000004E-2</v>
      </c>
      <c r="R407">
        <f t="shared" si="58"/>
        <v>4.9000000000000002E-2</v>
      </c>
      <c r="S407">
        <f t="shared" si="59"/>
        <v>0.68600000000000005</v>
      </c>
      <c r="T407">
        <f t="shared" si="60"/>
        <v>1.7933333330000001</v>
      </c>
      <c r="U407">
        <f t="shared" si="61"/>
        <v>5.887708978</v>
      </c>
      <c r="V407">
        <f t="shared" si="62"/>
        <v>3.2000000000000001E-2</v>
      </c>
      <c r="W407">
        <f t="shared" si="63"/>
        <v>0.28000000000000003</v>
      </c>
      <c r="X407">
        <f t="shared" si="64"/>
        <v>0.61599999999999999</v>
      </c>
      <c r="Y407">
        <v>206.86024789999999</v>
      </c>
      <c r="Z407">
        <v>0</v>
      </c>
      <c r="AA407">
        <v>454184</v>
      </c>
      <c r="AB407">
        <v>170596</v>
      </c>
      <c r="AC407">
        <v>6.5715274000000004E-2</v>
      </c>
      <c r="AD407">
        <v>0.72549415100000003</v>
      </c>
      <c r="AF407">
        <v>9.9890909089999997</v>
      </c>
      <c r="AG407">
        <v>9.8000000000000004E-2</v>
      </c>
      <c r="AH407">
        <v>4.9000000000000002E-2</v>
      </c>
      <c r="AI407">
        <v>0.68600000000000005</v>
      </c>
      <c r="AJ407">
        <v>1.7933333330000001</v>
      </c>
      <c r="AK407">
        <v>5.887708978</v>
      </c>
      <c r="AL407">
        <v>3.2000000000000001E-2</v>
      </c>
      <c r="AM407">
        <v>0.28000000000000003</v>
      </c>
      <c r="AN407">
        <v>0.61599999999999999</v>
      </c>
    </row>
    <row r="408" spans="1:40">
      <c r="A408">
        <v>2476</v>
      </c>
      <c r="B408" t="s">
        <v>704</v>
      </c>
      <c r="C408" t="s">
        <v>687</v>
      </c>
      <c r="D408" t="s">
        <v>688</v>
      </c>
      <c r="E408">
        <v>485</v>
      </c>
      <c r="F408">
        <v>1381</v>
      </c>
      <c r="G408">
        <v>167.1543538</v>
      </c>
      <c r="H408">
        <v>269</v>
      </c>
      <c r="I408">
        <v>0.26129002699999998</v>
      </c>
      <c r="J408">
        <v>1650</v>
      </c>
      <c r="K408">
        <v>6314.8219580000004</v>
      </c>
      <c r="L408">
        <v>0.82199999999999995</v>
      </c>
      <c r="M408">
        <v>0.35676392600000001</v>
      </c>
      <c r="N408">
        <v>0</v>
      </c>
      <c r="O408" t="s">
        <v>620</v>
      </c>
      <c r="P408">
        <f t="shared" si="56"/>
        <v>10.510992910000001</v>
      </c>
      <c r="Q408">
        <f t="shared" si="57"/>
        <v>4.8000000000000001E-2</v>
      </c>
      <c r="R408">
        <f t="shared" si="58"/>
        <v>3.5000000000000003E-2</v>
      </c>
      <c r="S408">
        <f t="shared" si="59"/>
        <v>0.82199999999999995</v>
      </c>
      <c r="T408">
        <f t="shared" si="60"/>
        <v>2.8120588240000002</v>
      </c>
      <c r="U408">
        <f t="shared" si="61"/>
        <v>6.8151036270000001</v>
      </c>
      <c r="V408">
        <f t="shared" si="62"/>
        <v>8.2000000000000003E-2</v>
      </c>
      <c r="W408">
        <f t="shared" si="63"/>
        <v>0.16400000000000001</v>
      </c>
      <c r="X408">
        <f t="shared" si="64"/>
        <v>0.72299999999999998</v>
      </c>
      <c r="Y408">
        <v>102.3419375</v>
      </c>
      <c r="Z408">
        <v>0</v>
      </c>
      <c r="AA408">
        <v>11276</v>
      </c>
      <c r="AB408">
        <v>3933</v>
      </c>
      <c r="AC408">
        <v>3.4575116000000003E-2</v>
      </c>
      <c r="AD408">
        <v>0.79388848300000003</v>
      </c>
      <c r="AF408">
        <v>10.510992910000001</v>
      </c>
      <c r="AG408">
        <v>4.8000000000000001E-2</v>
      </c>
      <c r="AH408">
        <v>3.5000000000000003E-2</v>
      </c>
      <c r="AI408">
        <v>0.82199999999999995</v>
      </c>
      <c r="AJ408">
        <v>2.8120588240000002</v>
      </c>
      <c r="AK408">
        <v>6.8151036270000001</v>
      </c>
      <c r="AL408">
        <v>8.2000000000000003E-2</v>
      </c>
      <c r="AM408">
        <v>0.16400000000000001</v>
      </c>
      <c r="AN408">
        <v>0.72299999999999998</v>
      </c>
    </row>
    <row r="409" spans="1:40">
      <c r="A409">
        <v>2477</v>
      </c>
      <c r="B409" t="s">
        <v>689</v>
      </c>
      <c r="C409" t="s">
        <v>687</v>
      </c>
      <c r="D409" t="s">
        <v>688</v>
      </c>
      <c r="E409">
        <v>270</v>
      </c>
      <c r="F409">
        <v>899</v>
      </c>
      <c r="G409">
        <v>29.729805880000001</v>
      </c>
      <c r="H409">
        <v>0</v>
      </c>
      <c r="I409">
        <v>4.6474508999999997E-2</v>
      </c>
      <c r="J409">
        <v>899</v>
      </c>
      <c r="K409">
        <v>19343.937559999998</v>
      </c>
      <c r="L409">
        <v>0.625</v>
      </c>
      <c r="M409">
        <v>0</v>
      </c>
      <c r="N409">
        <v>0</v>
      </c>
      <c r="O409" t="s">
        <v>613</v>
      </c>
      <c r="P409">
        <f t="shared" si="56"/>
        <v>10.49074074</v>
      </c>
      <c r="Q409">
        <f t="shared" si="57"/>
        <v>0.08</v>
      </c>
      <c r="R409">
        <f t="shared" si="58"/>
        <v>2.4E-2</v>
      </c>
      <c r="S409">
        <f t="shared" si="59"/>
        <v>0.625</v>
      </c>
      <c r="T409">
        <f t="shared" si="60"/>
        <v>1.9314285710000001</v>
      </c>
      <c r="U409">
        <f t="shared" si="61"/>
        <v>5.3877272730000003</v>
      </c>
      <c r="V409">
        <f t="shared" si="62"/>
        <v>2.3E-2</v>
      </c>
      <c r="W409">
        <f t="shared" si="63"/>
        <v>0.33300000000000002</v>
      </c>
      <c r="X409">
        <f t="shared" si="64"/>
        <v>0.621</v>
      </c>
      <c r="Y409">
        <v>107.7832097</v>
      </c>
      <c r="Z409">
        <v>0</v>
      </c>
      <c r="AA409">
        <v>454184</v>
      </c>
      <c r="AB409">
        <v>170596</v>
      </c>
      <c r="AC409">
        <v>6.5715274000000004E-2</v>
      </c>
      <c r="AD409">
        <v>0.72549415100000003</v>
      </c>
      <c r="AF409">
        <v>10.49074074</v>
      </c>
      <c r="AG409">
        <v>0.08</v>
      </c>
      <c r="AH409">
        <v>2.4E-2</v>
      </c>
      <c r="AI409">
        <v>0.625</v>
      </c>
      <c r="AJ409">
        <v>1.9314285710000001</v>
      </c>
      <c r="AK409">
        <v>5.3877272730000003</v>
      </c>
      <c r="AL409">
        <v>2.3E-2</v>
      </c>
      <c r="AM409">
        <v>0.33300000000000002</v>
      </c>
      <c r="AN409">
        <v>0.621</v>
      </c>
    </row>
    <row r="410" spans="1:40">
      <c r="A410">
        <v>2478</v>
      </c>
      <c r="B410" t="s">
        <v>689</v>
      </c>
      <c r="C410" t="s">
        <v>687</v>
      </c>
      <c r="D410" t="s">
        <v>688</v>
      </c>
      <c r="E410">
        <v>385</v>
      </c>
      <c r="F410">
        <v>1067</v>
      </c>
      <c r="G410">
        <v>70.685851439999993</v>
      </c>
      <c r="H410">
        <v>0</v>
      </c>
      <c r="I410">
        <v>0.11049192300000001</v>
      </c>
      <c r="J410">
        <v>1067</v>
      </c>
      <c r="K410">
        <v>9656.8144620000003</v>
      </c>
      <c r="L410">
        <v>0.78400000000000003</v>
      </c>
      <c r="M410">
        <v>0</v>
      </c>
      <c r="N410">
        <v>0</v>
      </c>
      <c r="O410" t="s">
        <v>620</v>
      </c>
      <c r="P410">
        <f t="shared" si="56"/>
        <v>10.13032967</v>
      </c>
      <c r="Q410">
        <f t="shared" si="57"/>
        <v>4.2999999999999997E-2</v>
      </c>
      <c r="R410">
        <f t="shared" si="58"/>
        <v>3.5999999999999997E-2</v>
      </c>
      <c r="S410">
        <f t="shared" si="59"/>
        <v>0.78400000000000003</v>
      </c>
      <c r="T410">
        <f t="shared" si="60"/>
        <v>2.8395000000000001</v>
      </c>
      <c r="U410">
        <f t="shared" si="61"/>
        <v>6.6952985070000004</v>
      </c>
      <c r="V410">
        <f t="shared" si="62"/>
        <v>7.0000000000000007E-2</v>
      </c>
      <c r="W410">
        <f t="shared" si="63"/>
        <v>0.13900000000000001</v>
      </c>
      <c r="X410">
        <f t="shared" si="64"/>
        <v>0.79100000000000004</v>
      </c>
      <c r="Y410">
        <v>116.5537514</v>
      </c>
      <c r="Z410">
        <v>0</v>
      </c>
      <c r="AA410">
        <v>454184</v>
      </c>
      <c r="AB410">
        <v>170596</v>
      </c>
      <c r="AC410">
        <v>6.5715274000000004E-2</v>
      </c>
      <c r="AD410">
        <v>0.72549415100000003</v>
      </c>
      <c r="AF410">
        <v>10.13032967</v>
      </c>
      <c r="AG410">
        <v>4.2999999999999997E-2</v>
      </c>
      <c r="AH410">
        <v>3.5999999999999997E-2</v>
      </c>
      <c r="AI410">
        <v>0.78400000000000003</v>
      </c>
      <c r="AJ410">
        <v>2.8395000000000001</v>
      </c>
      <c r="AK410">
        <v>6.6952985070000004</v>
      </c>
      <c r="AL410">
        <v>7.0000000000000007E-2</v>
      </c>
      <c r="AM410">
        <v>0.13900000000000001</v>
      </c>
      <c r="AN410">
        <v>0.79100000000000004</v>
      </c>
    </row>
    <row r="411" spans="1:40">
      <c r="A411">
        <v>2479</v>
      </c>
      <c r="B411" t="s">
        <v>703</v>
      </c>
      <c r="C411" t="s">
        <v>696</v>
      </c>
      <c r="D411" t="s">
        <v>697</v>
      </c>
      <c r="E411">
        <v>253</v>
      </c>
      <c r="F411">
        <v>843</v>
      </c>
      <c r="G411">
        <v>60.393227430000003</v>
      </c>
      <c r="H411">
        <v>0</v>
      </c>
      <c r="I411">
        <v>9.4395343000000007E-2</v>
      </c>
      <c r="J411">
        <v>843</v>
      </c>
      <c r="K411">
        <v>8930.5253119999998</v>
      </c>
      <c r="L411">
        <v>0.81499999999999995</v>
      </c>
      <c r="M411">
        <v>0</v>
      </c>
      <c r="N411">
        <v>0</v>
      </c>
      <c r="O411" t="s">
        <v>620</v>
      </c>
      <c r="P411">
        <f t="shared" si="56"/>
        <v>13.226923080000001</v>
      </c>
      <c r="Q411">
        <f t="shared" si="57"/>
        <v>3.5000000000000003E-2</v>
      </c>
      <c r="R411">
        <f t="shared" si="58"/>
        <v>3.2000000000000001E-2</v>
      </c>
      <c r="S411">
        <f t="shared" si="59"/>
        <v>0.81499999999999995</v>
      </c>
      <c r="T411">
        <f t="shared" si="60"/>
        <v>1.65</v>
      </c>
      <c r="U411">
        <f t="shared" si="61"/>
        <v>6.4189591080000001</v>
      </c>
      <c r="V411">
        <f t="shared" si="62"/>
        <v>7.3999999999999996E-2</v>
      </c>
      <c r="W411">
        <f t="shared" si="63"/>
        <v>0.16700000000000001</v>
      </c>
      <c r="X411">
        <f t="shared" si="64"/>
        <v>0.72199999999999998</v>
      </c>
      <c r="Y411">
        <v>117.61797489999999</v>
      </c>
      <c r="Z411">
        <v>0</v>
      </c>
      <c r="AA411">
        <v>27567</v>
      </c>
      <c r="AB411">
        <v>8371</v>
      </c>
      <c r="AC411">
        <v>2.6639960000000001E-2</v>
      </c>
      <c r="AD411">
        <v>0.83875813700000001</v>
      </c>
      <c r="AF411">
        <v>13.226923080000001</v>
      </c>
      <c r="AG411">
        <v>3.5000000000000003E-2</v>
      </c>
      <c r="AH411">
        <v>3.2000000000000001E-2</v>
      </c>
      <c r="AI411">
        <v>0.81499999999999995</v>
      </c>
      <c r="AJ411">
        <v>1.65</v>
      </c>
      <c r="AK411">
        <v>6.4189591080000001</v>
      </c>
      <c r="AL411">
        <v>7.3999999999999996E-2</v>
      </c>
      <c r="AM411">
        <v>0.16700000000000001</v>
      </c>
      <c r="AN411">
        <v>0.72199999999999998</v>
      </c>
    </row>
    <row r="412" spans="1:40">
      <c r="A412">
        <v>2480</v>
      </c>
      <c r="B412" t="s">
        <v>705</v>
      </c>
      <c r="C412" t="s">
        <v>696</v>
      </c>
      <c r="D412" t="s">
        <v>697</v>
      </c>
      <c r="E412">
        <v>446</v>
      </c>
      <c r="F412">
        <v>1940</v>
      </c>
      <c r="G412">
        <v>47.842837039999999</v>
      </c>
      <c r="H412">
        <v>200</v>
      </c>
      <c r="I412">
        <v>7.4778581999999996E-2</v>
      </c>
      <c r="J412">
        <v>2140</v>
      </c>
      <c r="K412">
        <v>28617.820009999999</v>
      </c>
      <c r="L412">
        <v>0.77700000000000002</v>
      </c>
      <c r="M412">
        <v>0.30959752299999999</v>
      </c>
      <c r="N412">
        <v>0</v>
      </c>
      <c r="O412" t="s">
        <v>620</v>
      </c>
      <c r="P412">
        <f t="shared" si="56"/>
        <v>12.006163519999999</v>
      </c>
      <c r="Q412">
        <f t="shared" si="57"/>
        <v>2.7E-2</v>
      </c>
      <c r="R412">
        <f t="shared" si="58"/>
        <v>1.4999999999999999E-2</v>
      </c>
      <c r="S412">
        <f t="shared" si="59"/>
        <v>0.77700000000000002</v>
      </c>
      <c r="T412">
        <f t="shared" si="60"/>
        <v>1.775555556</v>
      </c>
      <c r="U412">
        <f t="shared" si="61"/>
        <v>6.2060131429999998</v>
      </c>
      <c r="V412">
        <f t="shared" si="62"/>
        <v>1.4999999999999999E-2</v>
      </c>
      <c r="W412">
        <f t="shared" si="63"/>
        <v>0.129</v>
      </c>
      <c r="X412">
        <f t="shared" si="64"/>
        <v>0.82</v>
      </c>
      <c r="Y412">
        <v>58.383663319999997</v>
      </c>
      <c r="Z412">
        <v>0</v>
      </c>
      <c r="AA412">
        <v>152832</v>
      </c>
      <c r="AB412">
        <v>45686</v>
      </c>
      <c r="AC412">
        <v>2.1596295000000001E-2</v>
      </c>
      <c r="AD412">
        <v>0.84212384500000004</v>
      </c>
      <c r="AF412">
        <v>12.006163519999999</v>
      </c>
      <c r="AG412">
        <v>2.7E-2</v>
      </c>
      <c r="AH412">
        <v>1.4999999999999999E-2</v>
      </c>
      <c r="AI412">
        <v>0.77700000000000002</v>
      </c>
      <c r="AJ412">
        <v>1.775555556</v>
      </c>
      <c r="AK412">
        <v>6.2060131429999998</v>
      </c>
      <c r="AL412">
        <v>1.4999999999999999E-2</v>
      </c>
      <c r="AM412">
        <v>0.129</v>
      </c>
      <c r="AN412">
        <v>0.82</v>
      </c>
    </row>
    <row r="413" spans="1:40">
      <c r="A413">
        <v>2481</v>
      </c>
      <c r="B413" t="s">
        <v>699</v>
      </c>
      <c r="C413" t="s">
        <v>687</v>
      </c>
      <c r="D413" t="s">
        <v>688</v>
      </c>
      <c r="E413">
        <v>430</v>
      </c>
      <c r="F413">
        <v>1064</v>
      </c>
      <c r="G413">
        <v>34.01866837</v>
      </c>
      <c r="H413">
        <v>252</v>
      </c>
      <c r="I413">
        <v>5.3175778999999999E-2</v>
      </c>
      <c r="J413">
        <v>1316</v>
      </c>
      <c r="K413">
        <v>24748.109469999999</v>
      </c>
      <c r="L413">
        <v>0.73399999999999999</v>
      </c>
      <c r="M413">
        <v>0.369501466</v>
      </c>
      <c r="N413">
        <v>0</v>
      </c>
      <c r="O413" t="s">
        <v>613</v>
      </c>
      <c r="P413">
        <f t="shared" si="56"/>
        <v>10.64532258</v>
      </c>
      <c r="Q413">
        <f t="shared" si="57"/>
        <v>8.3000000000000004E-2</v>
      </c>
      <c r="R413">
        <f t="shared" si="58"/>
        <v>2.3E-2</v>
      </c>
      <c r="S413">
        <f t="shared" si="59"/>
        <v>0.73399999999999999</v>
      </c>
      <c r="T413">
        <f t="shared" si="60"/>
        <v>2.5929166669999999</v>
      </c>
      <c r="U413">
        <f t="shared" si="61"/>
        <v>6.3971829109999998</v>
      </c>
      <c r="V413">
        <f t="shared" si="62"/>
        <v>4.9000000000000002E-2</v>
      </c>
      <c r="W413">
        <f t="shared" si="63"/>
        <v>0.14599999999999999</v>
      </c>
      <c r="X413">
        <f t="shared" si="64"/>
        <v>0.75600000000000001</v>
      </c>
      <c r="Y413">
        <v>163.49787850000001</v>
      </c>
      <c r="Z413">
        <v>0</v>
      </c>
      <c r="AA413">
        <v>20912</v>
      </c>
      <c r="AB413">
        <v>7469</v>
      </c>
      <c r="AC413">
        <v>5.5261644999999998E-2</v>
      </c>
      <c r="AD413">
        <v>0.74284071299999999</v>
      </c>
      <c r="AF413">
        <v>10.64532258</v>
      </c>
      <c r="AG413">
        <v>8.3000000000000004E-2</v>
      </c>
      <c r="AH413">
        <v>2.3E-2</v>
      </c>
      <c r="AI413">
        <v>0.73399999999999999</v>
      </c>
      <c r="AJ413">
        <v>2.5929166669999999</v>
      </c>
      <c r="AK413">
        <v>6.3971829109999998</v>
      </c>
      <c r="AL413">
        <v>4.9000000000000002E-2</v>
      </c>
      <c r="AM413">
        <v>0.14599999999999999</v>
      </c>
      <c r="AN413">
        <v>0.75600000000000001</v>
      </c>
    </row>
    <row r="414" spans="1:40">
      <c r="A414">
        <v>2482</v>
      </c>
      <c r="B414" t="s">
        <v>699</v>
      </c>
      <c r="C414" t="s">
        <v>687</v>
      </c>
      <c r="D414" t="s">
        <v>688</v>
      </c>
      <c r="E414">
        <v>354</v>
      </c>
      <c r="F414">
        <v>950</v>
      </c>
      <c r="G414">
        <v>44.898654659999998</v>
      </c>
      <c r="H414">
        <v>353</v>
      </c>
      <c r="I414">
        <v>7.0181983000000003E-2</v>
      </c>
      <c r="J414">
        <v>1303</v>
      </c>
      <c r="K414">
        <v>18566.01857</v>
      </c>
      <c r="L414">
        <v>0.77200000000000002</v>
      </c>
      <c r="M414">
        <v>0.49929278599999999</v>
      </c>
      <c r="N414">
        <v>0</v>
      </c>
      <c r="O414" t="s">
        <v>613</v>
      </c>
      <c r="P414">
        <f t="shared" si="56"/>
        <v>13.42947826</v>
      </c>
      <c r="Q414">
        <f t="shared" si="57"/>
        <v>5.8999999999999997E-2</v>
      </c>
      <c r="R414">
        <f t="shared" si="58"/>
        <v>2.4E-2</v>
      </c>
      <c r="S414">
        <f t="shared" si="59"/>
        <v>0.77200000000000002</v>
      </c>
      <c r="T414">
        <f t="shared" si="60"/>
        <v>2.3289473680000001</v>
      </c>
      <c r="U414">
        <f t="shared" si="61"/>
        <v>7.4179553260000004</v>
      </c>
      <c r="V414">
        <f t="shared" si="62"/>
        <v>7.6999999999999999E-2</v>
      </c>
      <c r="W414">
        <f t="shared" si="63"/>
        <v>0.155</v>
      </c>
      <c r="X414">
        <f t="shared" si="64"/>
        <v>0.74199999999999999</v>
      </c>
      <c r="Y414">
        <v>123.1310936</v>
      </c>
      <c r="Z414">
        <v>0</v>
      </c>
      <c r="AA414">
        <v>20912</v>
      </c>
      <c r="AB414">
        <v>7469</v>
      </c>
      <c r="AC414">
        <v>5.5261644999999998E-2</v>
      </c>
      <c r="AD414">
        <v>0.74284071299999999</v>
      </c>
      <c r="AF414">
        <v>13.42947826</v>
      </c>
      <c r="AG414">
        <v>5.8999999999999997E-2</v>
      </c>
      <c r="AH414">
        <v>2.4E-2</v>
      </c>
      <c r="AI414">
        <v>0.77200000000000002</v>
      </c>
      <c r="AJ414">
        <v>2.3289473680000001</v>
      </c>
      <c r="AK414">
        <v>7.4179553260000004</v>
      </c>
      <c r="AL414">
        <v>7.6999999999999999E-2</v>
      </c>
      <c r="AM414">
        <v>0.155</v>
      </c>
      <c r="AN414">
        <v>0.74199999999999999</v>
      </c>
    </row>
    <row r="415" spans="1:40">
      <c r="A415">
        <v>2483</v>
      </c>
      <c r="B415" t="s">
        <v>699</v>
      </c>
      <c r="C415" t="s">
        <v>687</v>
      </c>
      <c r="D415" t="s">
        <v>688</v>
      </c>
      <c r="E415">
        <v>585</v>
      </c>
      <c r="F415">
        <v>1552</v>
      </c>
      <c r="G415">
        <v>96.782415119999996</v>
      </c>
      <c r="H415">
        <v>252</v>
      </c>
      <c r="I415">
        <v>0.151283113</v>
      </c>
      <c r="J415">
        <v>1804</v>
      </c>
      <c r="K415">
        <v>11924.66207</v>
      </c>
      <c r="L415">
        <v>0.73699999999999999</v>
      </c>
      <c r="M415">
        <v>0.30107526899999998</v>
      </c>
      <c r="N415">
        <v>0</v>
      </c>
      <c r="O415" t="s">
        <v>613</v>
      </c>
      <c r="P415">
        <f t="shared" si="56"/>
        <v>12.18221591</v>
      </c>
      <c r="Q415">
        <f t="shared" si="57"/>
        <v>3.2000000000000001E-2</v>
      </c>
      <c r="R415">
        <f t="shared" si="58"/>
        <v>0.04</v>
      </c>
      <c r="S415">
        <f t="shared" si="59"/>
        <v>0.73699999999999999</v>
      </c>
      <c r="T415">
        <f t="shared" si="60"/>
        <v>1.9505454550000001</v>
      </c>
      <c r="U415">
        <f t="shared" si="61"/>
        <v>6.4192747700000004</v>
      </c>
      <c r="V415">
        <f t="shared" si="62"/>
        <v>8.5999999999999993E-2</v>
      </c>
      <c r="W415">
        <f t="shared" si="63"/>
        <v>0.107</v>
      </c>
      <c r="X415">
        <f t="shared" si="64"/>
        <v>0.755</v>
      </c>
      <c r="Y415">
        <v>179.70466400000001</v>
      </c>
      <c r="Z415">
        <v>0</v>
      </c>
      <c r="AA415">
        <v>20912</v>
      </c>
      <c r="AB415">
        <v>7469</v>
      </c>
      <c r="AC415">
        <v>5.5261644999999998E-2</v>
      </c>
      <c r="AD415">
        <v>0.74284071299999999</v>
      </c>
      <c r="AF415">
        <v>12.18221591</v>
      </c>
      <c r="AG415">
        <v>3.2000000000000001E-2</v>
      </c>
      <c r="AH415">
        <v>0.04</v>
      </c>
      <c r="AI415">
        <v>0.73699999999999999</v>
      </c>
      <c r="AJ415">
        <v>1.9505454550000001</v>
      </c>
      <c r="AK415">
        <v>6.4192747700000004</v>
      </c>
      <c r="AL415">
        <v>8.5999999999999993E-2</v>
      </c>
      <c r="AM415">
        <v>0.107</v>
      </c>
      <c r="AN415">
        <v>0.755</v>
      </c>
    </row>
    <row r="416" spans="1:40">
      <c r="A416">
        <v>2484</v>
      </c>
      <c r="B416" t="s">
        <v>691</v>
      </c>
      <c r="C416" t="s">
        <v>684</v>
      </c>
      <c r="D416" t="s">
        <v>685</v>
      </c>
      <c r="E416">
        <v>801</v>
      </c>
      <c r="F416">
        <v>2261</v>
      </c>
      <c r="G416">
        <v>223.54979320000001</v>
      </c>
      <c r="H416">
        <v>129</v>
      </c>
      <c r="I416">
        <v>0.34942849999999998</v>
      </c>
      <c r="J416">
        <v>2390</v>
      </c>
      <c r="K416">
        <v>6839.7397460000002</v>
      </c>
      <c r="L416">
        <v>0.84</v>
      </c>
      <c r="M416">
        <v>0.138709677</v>
      </c>
      <c r="N416">
        <v>0</v>
      </c>
      <c r="O416" t="s">
        <v>620</v>
      </c>
      <c r="P416">
        <f t="shared" si="56"/>
        <v>13.39257576</v>
      </c>
      <c r="Q416">
        <f t="shared" si="57"/>
        <v>1.6E-2</v>
      </c>
      <c r="R416">
        <f t="shared" si="58"/>
        <v>2.1999999999999999E-2</v>
      </c>
      <c r="S416">
        <f t="shared" si="59"/>
        <v>0.84</v>
      </c>
      <c r="T416">
        <f t="shared" si="60"/>
        <v>2.2367857139999998</v>
      </c>
      <c r="U416">
        <f t="shared" si="61"/>
        <v>8.1046313800000007</v>
      </c>
      <c r="V416">
        <f t="shared" si="62"/>
        <v>5.0000000000000001E-3</v>
      </c>
      <c r="W416">
        <f t="shared" si="63"/>
        <v>8.1000000000000003E-2</v>
      </c>
      <c r="X416">
        <f t="shared" si="64"/>
        <v>0.89600000000000002</v>
      </c>
      <c r="Y416">
        <v>111.4204725</v>
      </c>
      <c r="Z416">
        <v>0</v>
      </c>
      <c r="AA416">
        <v>236250</v>
      </c>
      <c r="AB416">
        <v>76158</v>
      </c>
      <c r="AC416">
        <v>1.7652984E-2</v>
      </c>
      <c r="AD416">
        <v>0.84750225300000004</v>
      </c>
      <c r="AF416">
        <v>13.39257576</v>
      </c>
      <c r="AG416">
        <v>1.6E-2</v>
      </c>
      <c r="AH416">
        <v>2.1999999999999999E-2</v>
      </c>
      <c r="AI416">
        <v>0.84</v>
      </c>
      <c r="AJ416">
        <v>2.2367857139999998</v>
      </c>
      <c r="AK416">
        <v>8.1046313800000007</v>
      </c>
      <c r="AL416">
        <v>5.0000000000000001E-3</v>
      </c>
      <c r="AM416">
        <v>8.1000000000000003E-2</v>
      </c>
      <c r="AN416">
        <v>0.89600000000000002</v>
      </c>
    </row>
    <row r="417" spans="1:40">
      <c r="A417">
        <v>2485</v>
      </c>
      <c r="B417" t="s">
        <v>705</v>
      </c>
      <c r="C417" t="s">
        <v>696</v>
      </c>
      <c r="D417" t="s">
        <v>697</v>
      </c>
      <c r="E417">
        <v>376</v>
      </c>
      <c r="F417">
        <v>1195</v>
      </c>
      <c r="G417">
        <v>84.684781209999997</v>
      </c>
      <c r="H417">
        <v>176</v>
      </c>
      <c r="I417">
        <v>0.13237220699999999</v>
      </c>
      <c r="J417">
        <v>1371</v>
      </c>
      <c r="K417">
        <v>10357.15904</v>
      </c>
      <c r="L417">
        <v>0.81299999999999994</v>
      </c>
      <c r="M417">
        <v>0.31884057999999998</v>
      </c>
      <c r="N417">
        <v>0</v>
      </c>
      <c r="O417" t="s">
        <v>620</v>
      </c>
      <c r="P417">
        <f t="shared" si="56"/>
        <v>15.319860139999999</v>
      </c>
      <c r="Q417">
        <f t="shared" si="57"/>
        <v>3.1E-2</v>
      </c>
      <c r="R417">
        <f t="shared" si="58"/>
        <v>1.6E-2</v>
      </c>
      <c r="S417">
        <f t="shared" si="59"/>
        <v>0.81299999999999994</v>
      </c>
      <c r="T417">
        <f t="shared" si="60"/>
        <v>2.0642857139999999</v>
      </c>
      <c r="U417">
        <f t="shared" si="61"/>
        <v>8.7959766760000004</v>
      </c>
      <c r="V417">
        <f t="shared" si="62"/>
        <v>3.8837398373983721E-2</v>
      </c>
      <c r="W417">
        <f t="shared" si="63"/>
        <v>0.125</v>
      </c>
      <c r="X417">
        <f t="shared" si="64"/>
        <v>0.85099999999999998</v>
      </c>
      <c r="Y417">
        <v>140.4363802</v>
      </c>
      <c r="Z417">
        <v>0</v>
      </c>
      <c r="AA417">
        <v>152832</v>
      </c>
      <c r="AB417">
        <v>45686</v>
      </c>
      <c r="AC417">
        <v>2.1596295000000001E-2</v>
      </c>
      <c r="AD417">
        <v>0.84212384500000004</v>
      </c>
      <c r="AF417">
        <v>15.319860139999999</v>
      </c>
      <c r="AG417">
        <v>3.1E-2</v>
      </c>
      <c r="AH417">
        <v>1.6E-2</v>
      </c>
      <c r="AI417">
        <v>0.81299999999999994</v>
      </c>
      <c r="AJ417">
        <v>2.0642857139999999</v>
      </c>
      <c r="AK417">
        <v>8.7959766760000004</v>
      </c>
      <c r="AL417">
        <v>0</v>
      </c>
      <c r="AM417">
        <v>0.125</v>
      </c>
      <c r="AN417">
        <v>0.85099999999999998</v>
      </c>
    </row>
    <row r="418" spans="1:40">
      <c r="A418">
        <v>2486</v>
      </c>
      <c r="B418" t="s">
        <v>691</v>
      </c>
      <c r="C418" t="s">
        <v>684</v>
      </c>
      <c r="D418" t="s">
        <v>685</v>
      </c>
      <c r="E418">
        <v>728</v>
      </c>
      <c r="F418">
        <v>2235</v>
      </c>
      <c r="G418">
        <v>170.46686199999999</v>
      </c>
      <c r="H418">
        <v>267</v>
      </c>
      <c r="I418">
        <v>0.26644937800000001</v>
      </c>
      <c r="J418">
        <v>2502</v>
      </c>
      <c r="K418">
        <v>9390.1514009999992</v>
      </c>
      <c r="L418">
        <v>0.79700000000000004</v>
      </c>
      <c r="M418">
        <v>0.26834170899999998</v>
      </c>
      <c r="N418">
        <v>0</v>
      </c>
      <c r="O418" t="s">
        <v>620</v>
      </c>
      <c r="P418">
        <f t="shared" si="56"/>
        <v>10.717292580000001</v>
      </c>
      <c r="Q418">
        <f t="shared" si="57"/>
        <v>0.01</v>
      </c>
      <c r="R418">
        <f t="shared" si="58"/>
        <v>2.3E-2</v>
      </c>
      <c r="S418">
        <f t="shared" si="59"/>
        <v>0.79700000000000004</v>
      </c>
      <c r="T418">
        <f t="shared" si="60"/>
        <v>1.8542105259999999</v>
      </c>
      <c r="U418">
        <f t="shared" si="61"/>
        <v>7.8157142860000004</v>
      </c>
      <c r="V418">
        <f t="shared" si="62"/>
        <v>5.2999999999999999E-2</v>
      </c>
      <c r="W418">
        <f t="shared" si="63"/>
        <v>2.7E-2</v>
      </c>
      <c r="X418">
        <f t="shared" si="64"/>
        <v>0.874</v>
      </c>
      <c r="Y418">
        <v>195.9288555</v>
      </c>
      <c r="Z418">
        <v>0</v>
      </c>
      <c r="AA418">
        <v>236250</v>
      </c>
      <c r="AB418">
        <v>76158</v>
      </c>
      <c r="AC418">
        <v>1.7652984E-2</v>
      </c>
      <c r="AD418">
        <v>0.84750225300000004</v>
      </c>
      <c r="AF418">
        <v>10.717292580000001</v>
      </c>
      <c r="AG418">
        <v>0.01</v>
      </c>
      <c r="AH418">
        <v>2.3E-2</v>
      </c>
      <c r="AI418">
        <v>0.79700000000000004</v>
      </c>
      <c r="AJ418">
        <v>1.8542105259999999</v>
      </c>
      <c r="AK418">
        <v>7.8157142860000004</v>
      </c>
      <c r="AL418">
        <v>5.2999999999999999E-2</v>
      </c>
      <c r="AM418">
        <v>2.7E-2</v>
      </c>
      <c r="AN418">
        <v>0.874</v>
      </c>
    </row>
    <row r="419" spans="1:40">
      <c r="A419">
        <v>2487</v>
      </c>
      <c r="B419" t="s">
        <v>706</v>
      </c>
      <c r="C419" t="s">
        <v>684</v>
      </c>
      <c r="D419" t="s">
        <v>685</v>
      </c>
      <c r="E419">
        <v>478</v>
      </c>
      <c r="F419">
        <v>1740</v>
      </c>
      <c r="G419">
        <v>129.4995926</v>
      </c>
      <c r="H419">
        <v>40</v>
      </c>
      <c r="I419">
        <v>0.2024195</v>
      </c>
      <c r="J419">
        <v>1780</v>
      </c>
      <c r="K419">
        <v>8793.6191920000001</v>
      </c>
      <c r="L419">
        <v>0.86799999999999999</v>
      </c>
      <c r="M419">
        <v>7.7220076999999998E-2</v>
      </c>
      <c r="N419">
        <v>0</v>
      </c>
      <c r="O419" t="s">
        <v>620</v>
      </c>
      <c r="P419">
        <f t="shared" si="56"/>
        <v>12.1753211</v>
      </c>
      <c r="Q419">
        <f t="shared" si="57"/>
        <v>1.0999999999999999E-2</v>
      </c>
      <c r="R419">
        <f t="shared" si="58"/>
        <v>6.0000000000000001E-3</v>
      </c>
      <c r="S419">
        <f t="shared" si="59"/>
        <v>0.86799999999999999</v>
      </c>
      <c r="T419">
        <f t="shared" si="60"/>
        <v>3.568333333</v>
      </c>
      <c r="U419">
        <f t="shared" si="61"/>
        <v>7.1205728519999996</v>
      </c>
      <c r="V419">
        <f t="shared" si="62"/>
        <v>2.642857142857144E-2</v>
      </c>
      <c r="W419">
        <f t="shared" si="63"/>
        <v>3.4000000000000002E-2</v>
      </c>
      <c r="X419">
        <f t="shared" si="64"/>
        <v>0.93200000000000005</v>
      </c>
      <c r="Y419">
        <v>77.273236060000002</v>
      </c>
      <c r="Z419">
        <v>0</v>
      </c>
      <c r="AA419">
        <v>47401</v>
      </c>
      <c r="AB419">
        <v>14616</v>
      </c>
      <c r="AC419">
        <v>1.1721782E-2</v>
      </c>
      <c r="AD419">
        <v>0.85588417900000002</v>
      </c>
      <c r="AF419">
        <v>12.1753211</v>
      </c>
      <c r="AG419">
        <v>1.0999999999999999E-2</v>
      </c>
      <c r="AH419">
        <v>6.0000000000000001E-3</v>
      </c>
      <c r="AI419">
        <v>0.86799999999999999</v>
      </c>
      <c r="AJ419">
        <v>3.568333333</v>
      </c>
      <c r="AK419">
        <v>7.1205728519999996</v>
      </c>
      <c r="AL419">
        <v>0</v>
      </c>
      <c r="AM419">
        <v>3.4000000000000002E-2</v>
      </c>
      <c r="AN419">
        <v>0.93200000000000005</v>
      </c>
    </row>
    <row r="420" spans="1:40">
      <c r="A420">
        <v>2488</v>
      </c>
      <c r="B420" t="s">
        <v>706</v>
      </c>
      <c r="C420" t="s">
        <v>684</v>
      </c>
      <c r="D420" t="s">
        <v>685</v>
      </c>
      <c r="E420">
        <v>730</v>
      </c>
      <c r="F420">
        <v>2562</v>
      </c>
      <c r="G420">
        <v>185.33348129999999</v>
      </c>
      <c r="H420">
        <v>918</v>
      </c>
      <c r="I420">
        <v>0.28968277399999998</v>
      </c>
      <c r="J420">
        <v>3480</v>
      </c>
      <c r="K420">
        <v>12013.14097</v>
      </c>
      <c r="L420">
        <v>0.83799999999999997</v>
      </c>
      <c r="M420">
        <v>0.55703883499999995</v>
      </c>
      <c r="N420">
        <v>0</v>
      </c>
      <c r="O420" t="s">
        <v>620</v>
      </c>
      <c r="P420">
        <f t="shared" si="56"/>
        <v>14.98410256</v>
      </c>
      <c r="Q420">
        <f t="shared" si="57"/>
        <v>7.0000000000000001E-3</v>
      </c>
      <c r="R420">
        <f t="shared" si="58"/>
        <v>1.0999999999999999E-2</v>
      </c>
      <c r="S420">
        <f t="shared" si="59"/>
        <v>0.83799999999999997</v>
      </c>
      <c r="T420">
        <f t="shared" si="60"/>
        <v>1.7629999999999999</v>
      </c>
      <c r="U420">
        <f t="shared" si="61"/>
        <v>9.1696058090000001</v>
      </c>
      <c r="V420">
        <f t="shared" si="62"/>
        <v>6.0000000000000001E-3</v>
      </c>
      <c r="W420">
        <f t="shared" si="63"/>
        <v>1.9E-2</v>
      </c>
      <c r="X420">
        <f t="shared" si="64"/>
        <v>0.96299999999999997</v>
      </c>
      <c r="Y420">
        <v>87.220752719999993</v>
      </c>
      <c r="Z420">
        <v>0</v>
      </c>
      <c r="AA420">
        <v>47401</v>
      </c>
      <c r="AB420">
        <v>14616</v>
      </c>
      <c r="AC420">
        <v>1.1721782E-2</v>
      </c>
      <c r="AD420">
        <v>0.85588417900000002</v>
      </c>
      <c r="AF420">
        <v>14.98410256</v>
      </c>
      <c r="AG420">
        <v>7.0000000000000001E-3</v>
      </c>
      <c r="AH420">
        <v>1.0999999999999999E-2</v>
      </c>
      <c r="AI420">
        <v>0.83799999999999997</v>
      </c>
      <c r="AJ420">
        <v>1.7629999999999999</v>
      </c>
      <c r="AK420">
        <v>9.1696058090000001</v>
      </c>
      <c r="AL420">
        <v>6.0000000000000001E-3</v>
      </c>
      <c r="AM420">
        <v>1.9E-2</v>
      </c>
      <c r="AN420">
        <v>0.96299999999999997</v>
      </c>
    </row>
    <row r="421" spans="1:40">
      <c r="A421">
        <v>2489</v>
      </c>
      <c r="B421" t="s">
        <v>706</v>
      </c>
      <c r="C421" t="s">
        <v>684</v>
      </c>
      <c r="D421" t="s">
        <v>685</v>
      </c>
      <c r="E421">
        <v>770</v>
      </c>
      <c r="F421">
        <v>2716</v>
      </c>
      <c r="G421">
        <v>152.1828482</v>
      </c>
      <c r="H421">
        <v>845</v>
      </c>
      <c r="I421">
        <v>0.237876385</v>
      </c>
      <c r="J421">
        <v>3561</v>
      </c>
      <c r="K421">
        <v>14969.960129999999</v>
      </c>
      <c r="L421">
        <v>0.82299999999999995</v>
      </c>
      <c r="M421">
        <v>0.52321981399999995</v>
      </c>
      <c r="N421">
        <v>0</v>
      </c>
      <c r="O421" t="s">
        <v>620</v>
      </c>
      <c r="P421">
        <f t="shared" si="56"/>
        <v>15.2664539</v>
      </c>
      <c r="Q421">
        <f t="shared" si="57"/>
        <v>1.7000000000000001E-2</v>
      </c>
      <c r="R421">
        <f t="shared" si="58"/>
        <v>2.4E-2</v>
      </c>
      <c r="S421">
        <f t="shared" si="59"/>
        <v>0.82299999999999995</v>
      </c>
      <c r="T421">
        <f t="shared" si="60"/>
        <v>1.9110416670000001</v>
      </c>
      <c r="U421">
        <f t="shared" si="61"/>
        <v>7.6522120100000004</v>
      </c>
      <c r="V421">
        <f t="shared" si="62"/>
        <v>4.3999999999999997E-2</v>
      </c>
      <c r="W421">
        <f t="shared" si="63"/>
        <v>6.2E-2</v>
      </c>
      <c r="X421">
        <f t="shared" si="64"/>
        <v>0.88100000000000001</v>
      </c>
      <c r="Y421">
        <v>84.077245579999996</v>
      </c>
      <c r="Z421">
        <v>0</v>
      </c>
      <c r="AA421">
        <v>47401</v>
      </c>
      <c r="AB421">
        <v>14616</v>
      </c>
      <c r="AC421">
        <v>1.1721782E-2</v>
      </c>
      <c r="AD421">
        <v>0.85588417900000002</v>
      </c>
      <c r="AF421">
        <v>15.2664539</v>
      </c>
      <c r="AG421">
        <v>1.7000000000000001E-2</v>
      </c>
      <c r="AH421">
        <v>2.4E-2</v>
      </c>
      <c r="AI421">
        <v>0.82299999999999995</v>
      </c>
      <c r="AJ421">
        <v>1.9110416670000001</v>
      </c>
      <c r="AK421">
        <v>7.6522120100000004</v>
      </c>
      <c r="AL421">
        <v>4.3999999999999997E-2</v>
      </c>
      <c r="AM421">
        <v>6.2E-2</v>
      </c>
      <c r="AN421">
        <v>0.88100000000000001</v>
      </c>
    </row>
    <row r="422" spans="1:40">
      <c r="A422">
        <v>2490</v>
      </c>
      <c r="B422" t="s">
        <v>692</v>
      </c>
      <c r="C422" t="s">
        <v>693</v>
      </c>
      <c r="D422" t="s">
        <v>694</v>
      </c>
      <c r="E422">
        <v>238</v>
      </c>
      <c r="F422">
        <v>718</v>
      </c>
      <c r="G422">
        <v>58.575433330000003</v>
      </c>
      <c r="H422">
        <v>0</v>
      </c>
      <c r="I422">
        <v>9.1557454999999996E-2</v>
      </c>
      <c r="J422">
        <v>718</v>
      </c>
      <c r="K422">
        <v>7842.0703149999999</v>
      </c>
      <c r="L422">
        <v>0.86099999999999999</v>
      </c>
      <c r="M422">
        <v>0</v>
      </c>
      <c r="N422">
        <v>0</v>
      </c>
      <c r="O422" t="s">
        <v>620</v>
      </c>
      <c r="P422">
        <f t="shared" si="56"/>
        <v>15.83961538</v>
      </c>
      <c r="Q422">
        <f t="shared" si="57"/>
        <v>3.3000000000000002E-2</v>
      </c>
      <c r="R422">
        <f t="shared" si="58"/>
        <v>1.6E-2</v>
      </c>
      <c r="S422">
        <f t="shared" si="59"/>
        <v>0.86099999999999999</v>
      </c>
      <c r="T422">
        <f t="shared" si="60"/>
        <v>2.8866666670000001</v>
      </c>
      <c r="U422">
        <f t="shared" si="61"/>
        <v>7.7773355259999999</v>
      </c>
      <c r="V422">
        <f t="shared" si="62"/>
        <v>0.09</v>
      </c>
      <c r="W422">
        <f t="shared" si="63"/>
        <v>0.09</v>
      </c>
      <c r="X422">
        <f t="shared" si="64"/>
        <v>0.77600000000000002</v>
      </c>
      <c r="Y422">
        <v>123.8357232</v>
      </c>
      <c r="Z422">
        <v>0</v>
      </c>
      <c r="AA422">
        <v>77808</v>
      </c>
      <c r="AB422">
        <v>27489</v>
      </c>
      <c r="AC422">
        <v>1.1225541E-2</v>
      </c>
      <c r="AD422">
        <v>0.835708267</v>
      </c>
      <c r="AF422">
        <v>15.83961538</v>
      </c>
      <c r="AG422">
        <v>3.3000000000000002E-2</v>
      </c>
      <c r="AH422">
        <v>1.6E-2</v>
      </c>
      <c r="AI422">
        <v>0.86099999999999999</v>
      </c>
      <c r="AJ422">
        <v>2.8866666670000001</v>
      </c>
      <c r="AK422">
        <v>7.7773355259999999</v>
      </c>
      <c r="AL422">
        <v>0.09</v>
      </c>
      <c r="AM422">
        <v>0.09</v>
      </c>
      <c r="AN422">
        <v>0.77600000000000002</v>
      </c>
    </row>
    <row r="423" spans="1:40">
      <c r="A423">
        <v>2491</v>
      </c>
      <c r="B423" t="s">
        <v>686</v>
      </c>
      <c r="C423" t="s">
        <v>687</v>
      </c>
      <c r="D423" t="s">
        <v>688</v>
      </c>
      <c r="E423">
        <v>539</v>
      </c>
      <c r="F423">
        <v>1348</v>
      </c>
      <c r="G423">
        <v>107.1276136</v>
      </c>
      <c r="H423">
        <v>134</v>
      </c>
      <c r="I423">
        <v>0.16745717299999999</v>
      </c>
      <c r="J423">
        <v>1482</v>
      </c>
      <c r="K423">
        <v>8850.0239999999994</v>
      </c>
      <c r="L423">
        <v>0.81599999999999995</v>
      </c>
      <c r="M423">
        <v>0.19910847000000001</v>
      </c>
      <c r="N423">
        <v>0</v>
      </c>
      <c r="O423" t="s">
        <v>620</v>
      </c>
      <c r="P423">
        <f t="shared" si="56"/>
        <v>11.248319329999999</v>
      </c>
      <c r="Q423">
        <f t="shared" si="57"/>
        <v>1.4E-2</v>
      </c>
      <c r="R423">
        <f t="shared" si="58"/>
        <v>3.9E-2</v>
      </c>
      <c r="S423">
        <f t="shared" si="59"/>
        <v>0.81599999999999995</v>
      </c>
      <c r="T423">
        <f t="shared" si="60"/>
        <v>2.398823529</v>
      </c>
      <c r="U423">
        <f t="shared" si="61"/>
        <v>6.1494610779999999</v>
      </c>
      <c r="V423">
        <f t="shared" si="62"/>
        <v>5.0999999999999997E-2</v>
      </c>
      <c r="W423">
        <f t="shared" si="63"/>
        <v>5.0999999999999997E-2</v>
      </c>
      <c r="X423">
        <f t="shared" si="64"/>
        <v>0.86899999999999999</v>
      </c>
      <c r="Y423">
        <v>113.5321424</v>
      </c>
      <c r="Z423">
        <v>1</v>
      </c>
      <c r="AA423">
        <v>140316</v>
      </c>
      <c r="AB423">
        <v>49638</v>
      </c>
      <c r="AC423">
        <v>9.1283894000000004E-2</v>
      </c>
      <c r="AD423">
        <v>0.60339869999999995</v>
      </c>
      <c r="AF423">
        <v>11.248319329999999</v>
      </c>
      <c r="AG423">
        <v>1.4E-2</v>
      </c>
      <c r="AH423">
        <v>3.9E-2</v>
      </c>
      <c r="AI423">
        <v>0.81599999999999995</v>
      </c>
      <c r="AJ423">
        <v>2.398823529</v>
      </c>
      <c r="AK423">
        <v>6.1494610779999999</v>
      </c>
      <c r="AL423">
        <v>5.0999999999999997E-2</v>
      </c>
      <c r="AM423">
        <v>5.0999999999999997E-2</v>
      </c>
      <c r="AN423">
        <v>0.86899999999999999</v>
      </c>
    </row>
    <row r="424" spans="1:40">
      <c r="A424">
        <v>2492</v>
      </c>
      <c r="B424" t="s">
        <v>686</v>
      </c>
      <c r="C424" t="s">
        <v>687</v>
      </c>
      <c r="D424" t="s">
        <v>688</v>
      </c>
      <c r="E424">
        <v>324</v>
      </c>
      <c r="F424">
        <v>797</v>
      </c>
      <c r="G424">
        <v>76.988319090000005</v>
      </c>
      <c r="H424">
        <v>106</v>
      </c>
      <c r="I424">
        <v>0.120344939</v>
      </c>
      <c r="J424">
        <v>903</v>
      </c>
      <c r="K424">
        <v>7503.4314489999997</v>
      </c>
      <c r="L424">
        <v>0.83699999999999997</v>
      </c>
      <c r="M424">
        <v>0.24651162800000001</v>
      </c>
      <c r="N424">
        <v>0</v>
      </c>
      <c r="O424" t="s">
        <v>620</v>
      </c>
      <c r="P424">
        <f t="shared" si="56"/>
        <v>9.8770833329999999</v>
      </c>
      <c r="Q424">
        <f t="shared" si="57"/>
        <v>4.2999999999999997E-2</v>
      </c>
      <c r="R424">
        <f t="shared" si="58"/>
        <v>5.8000000000000003E-2</v>
      </c>
      <c r="S424">
        <f t="shared" si="59"/>
        <v>0.83699999999999997</v>
      </c>
      <c r="T424">
        <f t="shared" si="60"/>
        <v>2.1875</v>
      </c>
      <c r="U424">
        <f t="shared" si="61"/>
        <v>7.1740862940000003</v>
      </c>
      <c r="V424">
        <f t="shared" si="62"/>
        <v>5.2999999999999999E-2</v>
      </c>
      <c r="W424">
        <f t="shared" si="63"/>
        <v>0.18099999999999999</v>
      </c>
      <c r="X424">
        <f t="shared" si="64"/>
        <v>0.76600000000000001</v>
      </c>
      <c r="Y424">
        <v>138.4461665</v>
      </c>
      <c r="Z424">
        <v>1</v>
      </c>
      <c r="AA424">
        <v>140316</v>
      </c>
      <c r="AB424">
        <v>49638</v>
      </c>
      <c r="AC424">
        <v>9.1283894000000004E-2</v>
      </c>
      <c r="AD424">
        <v>0.60339869999999995</v>
      </c>
      <c r="AF424">
        <v>9.8770833329999999</v>
      </c>
      <c r="AG424">
        <v>4.2999999999999997E-2</v>
      </c>
      <c r="AH424">
        <v>5.8000000000000003E-2</v>
      </c>
      <c r="AI424">
        <v>0.83699999999999997</v>
      </c>
      <c r="AJ424">
        <v>2.1875</v>
      </c>
      <c r="AK424">
        <v>7.1740862940000003</v>
      </c>
      <c r="AL424">
        <v>5.2999999999999999E-2</v>
      </c>
      <c r="AM424">
        <v>0.18099999999999999</v>
      </c>
      <c r="AN424">
        <v>0.76600000000000001</v>
      </c>
    </row>
    <row r="425" spans="1:40">
      <c r="A425">
        <v>2493</v>
      </c>
      <c r="B425" t="s">
        <v>686</v>
      </c>
      <c r="C425" t="s">
        <v>687</v>
      </c>
      <c r="D425" t="s">
        <v>688</v>
      </c>
      <c r="E425">
        <v>568</v>
      </c>
      <c r="F425">
        <v>1381</v>
      </c>
      <c r="G425">
        <v>110.18782590000001</v>
      </c>
      <c r="H425">
        <v>28</v>
      </c>
      <c r="I425">
        <v>0.17224863200000001</v>
      </c>
      <c r="J425">
        <v>1409</v>
      </c>
      <c r="K425">
        <v>8180.035938</v>
      </c>
      <c r="L425">
        <v>0.79500000000000004</v>
      </c>
      <c r="M425">
        <v>4.6979866000000002E-2</v>
      </c>
      <c r="N425">
        <v>0</v>
      </c>
      <c r="O425" t="s">
        <v>620</v>
      </c>
      <c r="P425">
        <f t="shared" si="56"/>
        <v>10.516016260000001</v>
      </c>
      <c r="Q425">
        <f t="shared" si="57"/>
        <v>3.9E-2</v>
      </c>
      <c r="R425">
        <f t="shared" si="58"/>
        <v>4.4999999999999998E-2</v>
      </c>
      <c r="S425">
        <f t="shared" si="59"/>
        <v>0.79500000000000004</v>
      </c>
      <c r="T425">
        <f t="shared" si="60"/>
        <v>2.0866666669999998</v>
      </c>
      <c r="U425">
        <f t="shared" si="61"/>
        <v>6.4957024790000002</v>
      </c>
      <c r="V425">
        <f t="shared" si="62"/>
        <v>5.1999999999999998E-2</v>
      </c>
      <c r="W425">
        <f t="shared" si="63"/>
        <v>0.13600000000000001</v>
      </c>
      <c r="X425">
        <f t="shared" si="64"/>
        <v>0.79900000000000004</v>
      </c>
      <c r="Y425">
        <v>93.184898869999998</v>
      </c>
      <c r="Z425">
        <v>1</v>
      </c>
      <c r="AA425">
        <v>140316</v>
      </c>
      <c r="AB425">
        <v>49638</v>
      </c>
      <c r="AC425">
        <v>9.1283894000000004E-2</v>
      </c>
      <c r="AD425">
        <v>0.60339869999999995</v>
      </c>
      <c r="AF425">
        <v>10.516016260000001</v>
      </c>
      <c r="AG425">
        <v>3.9E-2</v>
      </c>
      <c r="AH425">
        <v>4.4999999999999998E-2</v>
      </c>
      <c r="AI425">
        <v>0.79500000000000004</v>
      </c>
      <c r="AJ425">
        <v>2.0866666669999998</v>
      </c>
      <c r="AK425">
        <v>6.4957024790000002</v>
      </c>
      <c r="AL425">
        <v>5.1999999999999998E-2</v>
      </c>
      <c r="AM425">
        <v>0.13600000000000001</v>
      </c>
      <c r="AN425">
        <v>0.79900000000000004</v>
      </c>
    </row>
    <row r="426" spans="1:40">
      <c r="A426">
        <v>2494</v>
      </c>
      <c r="B426" t="s">
        <v>686</v>
      </c>
      <c r="C426" t="s">
        <v>687</v>
      </c>
      <c r="D426" t="s">
        <v>688</v>
      </c>
      <c r="E426">
        <v>560</v>
      </c>
      <c r="F426">
        <v>1378</v>
      </c>
      <c r="G426">
        <v>118.6703686</v>
      </c>
      <c r="H426">
        <v>0</v>
      </c>
      <c r="I426">
        <v>0.185498732</v>
      </c>
      <c r="J426">
        <v>1378</v>
      </c>
      <c r="K426">
        <v>7428.6222079999998</v>
      </c>
      <c r="L426">
        <v>0.69099999999999995</v>
      </c>
      <c r="M426">
        <v>0</v>
      </c>
      <c r="N426">
        <v>0</v>
      </c>
      <c r="O426" t="s">
        <v>613</v>
      </c>
      <c r="P426">
        <f t="shared" si="56"/>
        <v>10.106630429999999</v>
      </c>
      <c r="Q426">
        <f t="shared" si="57"/>
        <v>3.3000000000000002E-2</v>
      </c>
      <c r="R426">
        <f t="shared" si="58"/>
        <v>4.7E-2</v>
      </c>
      <c r="S426">
        <f t="shared" si="59"/>
        <v>0.69099999999999995</v>
      </c>
      <c r="T426">
        <f t="shared" si="60"/>
        <v>1.7474285709999999</v>
      </c>
      <c r="U426">
        <f t="shared" si="61"/>
        <v>5.4038476949999996</v>
      </c>
      <c r="V426">
        <f t="shared" si="62"/>
        <v>0.10100000000000001</v>
      </c>
      <c r="W426">
        <f t="shared" si="63"/>
        <v>0.123</v>
      </c>
      <c r="X426">
        <f t="shared" si="64"/>
        <v>0.66700000000000004</v>
      </c>
      <c r="Y426">
        <v>127.3411491</v>
      </c>
      <c r="Z426">
        <v>1</v>
      </c>
      <c r="AA426">
        <v>140316</v>
      </c>
      <c r="AB426">
        <v>49638</v>
      </c>
      <c r="AC426">
        <v>9.1283894000000004E-2</v>
      </c>
      <c r="AD426">
        <v>0.60339869999999995</v>
      </c>
      <c r="AF426">
        <v>10.106630429999999</v>
      </c>
      <c r="AG426">
        <v>3.3000000000000002E-2</v>
      </c>
      <c r="AH426">
        <v>4.7E-2</v>
      </c>
      <c r="AI426">
        <v>0.69099999999999995</v>
      </c>
      <c r="AJ426">
        <v>1.7474285709999999</v>
      </c>
      <c r="AK426">
        <v>5.4038476949999996</v>
      </c>
      <c r="AL426">
        <v>0.10100000000000001</v>
      </c>
      <c r="AM426">
        <v>0.123</v>
      </c>
      <c r="AN426">
        <v>0.66700000000000004</v>
      </c>
    </row>
    <row r="427" spans="1:40">
      <c r="A427">
        <v>2495</v>
      </c>
      <c r="B427" t="s">
        <v>686</v>
      </c>
      <c r="C427" t="s">
        <v>687</v>
      </c>
      <c r="D427" t="s">
        <v>688</v>
      </c>
      <c r="E427">
        <v>529</v>
      </c>
      <c r="F427">
        <v>1296</v>
      </c>
      <c r="G427">
        <v>123.0047792</v>
      </c>
      <c r="H427">
        <v>35</v>
      </c>
      <c r="I427">
        <v>0.19228257700000001</v>
      </c>
      <c r="J427">
        <v>1331</v>
      </c>
      <c r="K427">
        <v>6922.1040240000002</v>
      </c>
      <c r="L427">
        <v>0.70199999999999996</v>
      </c>
      <c r="M427">
        <v>6.2056738E-2</v>
      </c>
      <c r="N427">
        <v>0</v>
      </c>
      <c r="O427" t="s">
        <v>620</v>
      </c>
      <c r="P427">
        <f t="shared" si="56"/>
        <v>8.2087037039999995</v>
      </c>
      <c r="Q427">
        <f t="shared" si="57"/>
        <v>3.7999999999999999E-2</v>
      </c>
      <c r="R427">
        <f t="shared" si="58"/>
        <v>5.8000000000000003E-2</v>
      </c>
      <c r="S427">
        <f t="shared" si="59"/>
        <v>0.70199999999999996</v>
      </c>
      <c r="T427">
        <f t="shared" si="60"/>
        <v>1.8753191490000001</v>
      </c>
      <c r="U427">
        <f t="shared" si="61"/>
        <v>5.9423518519999998</v>
      </c>
      <c r="V427">
        <f t="shared" si="62"/>
        <v>8.5000000000000006E-2</v>
      </c>
      <c r="W427">
        <f t="shared" si="63"/>
        <v>0.109</v>
      </c>
      <c r="X427">
        <f t="shared" si="64"/>
        <v>0.76800000000000002</v>
      </c>
      <c r="Y427">
        <v>168.06993420000001</v>
      </c>
      <c r="Z427">
        <v>1</v>
      </c>
      <c r="AA427">
        <v>140316</v>
      </c>
      <c r="AB427">
        <v>49638</v>
      </c>
      <c r="AC427">
        <v>9.1283894000000004E-2</v>
      </c>
      <c r="AD427">
        <v>0.60339869999999995</v>
      </c>
      <c r="AF427">
        <v>8.2087037039999995</v>
      </c>
      <c r="AG427">
        <v>3.7999999999999999E-2</v>
      </c>
      <c r="AH427">
        <v>5.8000000000000003E-2</v>
      </c>
      <c r="AI427">
        <v>0.70199999999999996</v>
      </c>
      <c r="AJ427">
        <v>1.8753191490000001</v>
      </c>
      <c r="AK427">
        <v>5.9423518519999998</v>
      </c>
      <c r="AL427">
        <v>8.5000000000000006E-2</v>
      </c>
      <c r="AM427">
        <v>0.109</v>
      </c>
      <c r="AN427">
        <v>0.76800000000000002</v>
      </c>
    </row>
    <row r="428" spans="1:40">
      <c r="A428">
        <v>2496</v>
      </c>
      <c r="B428" t="s">
        <v>686</v>
      </c>
      <c r="C428" t="s">
        <v>687</v>
      </c>
      <c r="D428" t="s">
        <v>688</v>
      </c>
      <c r="E428">
        <v>304</v>
      </c>
      <c r="F428">
        <v>747</v>
      </c>
      <c r="G428">
        <v>71.388824290000002</v>
      </c>
      <c r="H428">
        <v>243</v>
      </c>
      <c r="I428">
        <v>0.111594229</v>
      </c>
      <c r="J428">
        <v>990</v>
      </c>
      <c r="K428">
        <v>8871.426496</v>
      </c>
      <c r="L428">
        <v>0.73099999999999998</v>
      </c>
      <c r="M428">
        <v>0.444241316</v>
      </c>
      <c r="N428">
        <v>0</v>
      </c>
      <c r="O428" t="s">
        <v>620</v>
      </c>
      <c r="P428">
        <f t="shared" si="56"/>
        <v>12.96763889</v>
      </c>
      <c r="Q428">
        <f t="shared" si="57"/>
        <v>2.4E-2</v>
      </c>
      <c r="R428">
        <f t="shared" si="58"/>
        <v>3.5999999999999997E-2</v>
      </c>
      <c r="S428">
        <f t="shared" si="59"/>
        <v>0.73099999999999998</v>
      </c>
      <c r="T428">
        <f t="shared" si="60"/>
        <v>2.3055555559999998</v>
      </c>
      <c r="U428">
        <f t="shared" si="61"/>
        <v>7.5632203389999999</v>
      </c>
      <c r="V428">
        <f t="shared" si="62"/>
        <v>9.2999999999999999E-2</v>
      </c>
      <c r="W428">
        <f t="shared" si="63"/>
        <v>0.124</v>
      </c>
      <c r="X428">
        <f t="shared" si="64"/>
        <v>0.74199999999999999</v>
      </c>
      <c r="Y428">
        <v>140.45305970000001</v>
      </c>
      <c r="Z428">
        <v>1</v>
      </c>
      <c r="AA428">
        <v>140316</v>
      </c>
      <c r="AB428">
        <v>49638</v>
      </c>
      <c r="AC428">
        <v>9.1283894000000004E-2</v>
      </c>
      <c r="AD428">
        <v>0.60339869999999995</v>
      </c>
      <c r="AF428">
        <v>12.96763889</v>
      </c>
      <c r="AG428">
        <v>2.4E-2</v>
      </c>
      <c r="AH428">
        <v>3.5999999999999997E-2</v>
      </c>
      <c r="AI428">
        <v>0.73099999999999998</v>
      </c>
      <c r="AJ428">
        <v>2.3055555559999998</v>
      </c>
      <c r="AK428">
        <v>7.5632203389999999</v>
      </c>
      <c r="AL428">
        <v>9.2999999999999999E-2</v>
      </c>
      <c r="AM428">
        <v>0.124</v>
      </c>
      <c r="AN428">
        <v>0.74199999999999999</v>
      </c>
    </row>
    <row r="429" spans="1:40">
      <c r="A429">
        <v>2497</v>
      </c>
      <c r="B429" t="s">
        <v>689</v>
      </c>
      <c r="C429" t="s">
        <v>687</v>
      </c>
      <c r="D429" t="s">
        <v>688</v>
      </c>
      <c r="E429">
        <v>259</v>
      </c>
      <c r="F429">
        <v>1005</v>
      </c>
      <c r="G429">
        <v>33.669010120000003</v>
      </c>
      <c r="H429">
        <v>133</v>
      </c>
      <c r="I429">
        <v>5.2629651E-2</v>
      </c>
      <c r="J429">
        <v>1138</v>
      </c>
      <c r="K429">
        <v>21622.79206</v>
      </c>
      <c r="L429">
        <v>0.73</v>
      </c>
      <c r="M429">
        <v>0.33928571400000002</v>
      </c>
      <c r="N429">
        <v>0</v>
      </c>
      <c r="O429" t="s">
        <v>613</v>
      </c>
      <c r="P429">
        <f t="shared" si="56"/>
        <v>10.723529409999999</v>
      </c>
      <c r="Q429">
        <f t="shared" si="57"/>
        <v>5.8999999999999997E-2</v>
      </c>
      <c r="R429">
        <f t="shared" si="58"/>
        <v>2.5999999999999999E-2</v>
      </c>
      <c r="S429">
        <f t="shared" si="59"/>
        <v>0.73</v>
      </c>
      <c r="T429">
        <f t="shared" si="60"/>
        <v>2.40625</v>
      </c>
      <c r="U429">
        <f t="shared" si="61"/>
        <v>6.2430090500000004</v>
      </c>
      <c r="V429">
        <f t="shared" si="62"/>
        <v>2.4E-2</v>
      </c>
      <c r="W429">
        <f t="shared" si="63"/>
        <v>0.247</v>
      </c>
      <c r="X429">
        <f t="shared" si="64"/>
        <v>0.6</v>
      </c>
      <c r="Y429">
        <v>232.01918499999999</v>
      </c>
      <c r="Z429">
        <v>0</v>
      </c>
      <c r="AA429">
        <v>454184</v>
      </c>
      <c r="AB429">
        <v>170596</v>
      </c>
      <c r="AC429">
        <v>6.5715274000000004E-2</v>
      </c>
      <c r="AD429">
        <v>0.72549415100000003</v>
      </c>
      <c r="AF429">
        <v>10.723529409999999</v>
      </c>
      <c r="AG429">
        <v>5.8999999999999997E-2</v>
      </c>
      <c r="AH429">
        <v>2.5999999999999999E-2</v>
      </c>
      <c r="AI429">
        <v>0.73</v>
      </c>
      <c r="AJ429">
        <v>2.40625</v>
      </c>
      <c r="AK429">
        <v>6.2430090500000004</v>
      </c>
      <c r="AL429">
        <v>2.4E-2</v>
      </c>
      <c r="AM429">
        <v>0.247</v>
      </c>
      <c r="AN429">
        <v>0.6</v>
      </c>
    </row>
    <row r="430" spans="1:40">
      <c r="A430">
        <v>2498</v>
      </c>
      <c r="B430" t="s">
        <v>689</v>
      </c>
      <c r="C430" t="s">
        <v>687</v>
      </c>
      <c r="D430" t="s">
        <v>688</v>
      </c>
      <c r="E430">
        <v>386</v>
      </c>
      <c r="F430">
        <v>1291</v>
      </c>
      <c r="G430">
        <v>40.06377827</v>
      </c>
      <c r="H430">
        <v>24</v>
      </c>
      <c r="I430">
        <v>6.2628002000000002E-2</v>
      </c>
      <c r="J430">
        <v>1315</v>
      </c>
      <c r="K430">
        <v>20996.997480000002</v>
      </c>
      <c r="L430">
        <v>0.71299999999999997</v>
      </c>
      <c r="M430">
        <v>5.8536585000000002E-2</v>
      </c>
      <c r="N430">
        <v>0</v>
      </c>
      <c r="O430" t="s">
        <v>613</v>
      </c>
      <c r="P430">
        <f t="shared" si="56"/>
        <v>11.35813725</v>
      </c>
      <c r="Q430">
        <f t="shared" si="57"/>
        <v>3.5999999999999997E-2</v>
      </c>
      <c r="R430">
        <f t="shared" si="58"/>
        <v>4.2000000000000003E-2</v>
      </c>
      <c r="S430">
        <f t="shared" si="59"/>
        <v>0.71299999999999997</v>
      </c>
      <c r="T430">
        <f t="shared" si="60"/>
        <v>2.0524390239999999</v>
      </c>
      <c r="U430">
        <f t="shared" si="61"/>
        <v>4.9544780639999999</v>
      </c>
      <c r="V430">
        <f t="shared" si="62"/>
        <v>0.114</v>
      </c>
      <c r="W430">
        <f t="shared" si="63"/>
        <v>0.129</v>
      </c>
      <c r="X430">
        <f t="shared" si="64"/>
        <v>0.72899999999999998</v>
      </c>
      <c r="Y430">
        <v>133.09773809999999</v>
      </c>
      <c r="Z430">
        <v>0</v>
      </c>
      <c r="AA430">
        <v>454184</v>
      </c>
      <c r="AB430">
        <v>170596</v>
      </c>
      <c r="AC430">
        <v>6.5715274000000004E-2</v>
      </c>
      <c r="AD430">
        <v>0.72549415100000003</v>
      </c>
      <c r="AF430">
        <v>11.35813725</v>
      </c>
      <c r="AG430">
        <v>3.5999999999999997E-2</v>
      </c>
      <c r="AH430">
        <v>4.2000000000000003E-2</v>
      </c>
      <c r="AI430">
        <v>0.71299999999999997</v>
      </c>
      <c r="AJ430">
        <v>2.0524390239999999</v>
      </c>
      <c r="AK430">
        <v>4.9544780639999999</v>
      </c>
      <c r="AL430">
        <v>0.114</v>
      </c>
      <c r="AM430">
        <v>0.129</v>
      </c>
      <c r="AN430">
        <v>0.72899999999999998</v>
      </c>
    </row>
    <row r="431" spans="1:40">
      <c r="A431">
        <v>2499</v>
      </c>
      <c r="B431" t="s">
        <v>702</v>
      </c>
      <c r="C431" t="s">
        <v>696</v>
      </c>
      <c r="D431" t="s">
        <v>697</v>
      </c>
      <c r="E431">
        <v>453</v>
      </c>
      <c r="F431">
        <v>1498</v>
      </c>
      <c r="G431">
        <v>82.794226019999996</v>
      </c>
      <c r="H431">
        <v>141</v>
      </c>
      <c r="I431">
        <v>0.129410424</v>
      </c>
      <c r="J431">
        <v>1639</v>
      </c>
      <c r="K431">
        <v>12665.13121</v>
      </c>
      <c r="L431">
        <v>0.79800000000000004</v>
      </c>
      <c r="M431">
        <v>0.237373737</v>
      </c>
      <c r="N431">
        <v>0</v>
      </c>
      <c r="O431" t="s">
        <v>620</v>
      </c>
      <c r="P431">
        <f t="shared" si="56"/>
        <v>12.486643839999999</v>
      </c>
      <c r="Q431">
        <f t="shared" si="57"/>
        <v>5.5E-2</v>
      </c>
      <c r="R431">
        <f t="shared" si="58"/>
        <v>1.9E-2</v>
      </c>
      <c r="S431">
        <f t="shared" si="59"/>
        <v>0.79800000000000004</v>
      </c>
      <c r="T431">
        <f t="shared" si="60"/>
        <v>1.7893749999999999</v>
      </c>
      <c r="U431">
        <f t="shared" si="61"/>
        <v>6.9992295840000001</v>
      </c>
      <c r="V431">
        <f t="shared" si="62"/>
        <v>1.0999999999999999E-2</v>
      </c>
      <c r="W431">
        <f t="shared" si="63"/>
        <v>0.159</v>
      </c>
      <c r="X431">
        <f t="shared" si="64"/>
        <v>0.77200000000000002</v>
      </c>
      <c r="Y431">
        <v>159.7066839</v>
      </c>
      <c r="Z431">
        <v>0</v>
      </c>
      <c r="AA431">
        <v>90778</v>
      </c>
      <c r="AB431">
        <v>31662</v>
      </c>
      <c r="AC431">
        <v>3.1753482E-2</v>
      </c>
      <c r="AD431">
        <v>0.82960131100000001</v>
      </c>
      <c r="AF431">
        <v>12.486643839999999</v>
      </c>
      <c r="AG431">
        <v>5.5E-2</v>
      </c>
      <c r="AH431">
        <v>1.9E-2</v>
      </c>
      <c r="AI431">
        <v>0.79800000000000004</v>
      </c>
      <c r="AJ431">
        <v>1.7893749999999999</v>
      </c>
      <c r="AK431">
        <v>6.9992295840000001</v>
      </c>
      <c r="AL431">
        <v>1.0999999999999999E-2</v>
      </c>
      <c r="AM431">
        <v>0.159</v>
      </c>
      <c r="AN431">
        <v>0.77200000000000002</v>
      </c>
    </row>
    <row r="432" spans="1:40">
      <c r="A432">
        <v>2500</v>
      </c>
      <c r="B432" t="s">
        <v>689</v>
      </c>
      <c r="C432" t="s">
        <v>687</v>
      </c>
      <c r="D432" t="s">
        <v>688</v>
      </c>
      <c r="E432">
        <v>360</v>
      </c>
      <c r="F432">
        <v>1093</v>
      </c>
      <c r="G432">
        <v>49.078151310000003</v>
      </c>
      <c r="H432">
        <v>456</v>
      </c>
      <c r="I432">
        <v>7.6718139000000005E-2</v>
      </c>
      <c r="J432">
        <v>1549</v>
      </c>
      <c r="K432">
        <v>20190.792170000001</v>
      </c>
      <c r="L432">
        <v>0.78400000000000003</v>
      </c>
      <c r="M432">
        <v>0.55882352899999999</v>
      </c>
      <c r="N432">
        <v>0</v>
      </c>
      <c r="O432" t="s">
        <v>613</v>
      </c>
      <c r="P432">
        <f t="shared" si="56"/>
        <v>10.0142446</v>
      </c>
      <c r="Q432">
        <f t="shared" si="57"/>
        <v>4.5999999999999999E-2</v>
      </c>
      <c r="R432">
        <f t="shared" si="58"/>
        <v>1.4E-2</v>
      </c>
      <c r="S432">
        <f t="shared" si="59"/>
        <v>0.78400000000000003</v>
      </c>
      <c r="T432">
        <f t="shared" si="60"/>
        <v>2.0895238100000002</v>
      </c>
      <c r="U432">
        <f t="shared" si="61"/>
        <v>5.9474456990000002</v>
      </c>
      <c r="V432">
        <f t="shared" si="62"/>
        <v>2.3E-2</v>
      </c>
      <c r="W432">
        <f t="shared" si="63"/>
        <v>0.14499999999999999</v>
      </c>
      <c r="X432">
        <f t="shared" si="64"/>
        <v>0.80800000000000005</v>
      </c>
      <c r="Y432">
        <v>82.809882579999993</v>
      </c>
      <c r="Z432">
        <v>0</v>
      </c>
      <c r="AA432">
        <v>454184</v>
      </c>
      <c r="AB432">
        <v>170596</v>
      </c>
      <c r="AC432">
        <v>6.5715274000000004E-2</v>
      </c>
      <c r="AD432">
        <v>0.72549415100000003</v>
      </c>
      <c r="AF432">
        <v>10.0142446</v>
      </c>
      <c r="AG432">
        <v>4.5999999999999999E-2</v>
      </c>
      <c r="AH432">
        <v>1.4E-2</v>
      </c>
      <c r="AI432">
        <v>0.78400000000000003</v>
      </c>
      <c r="AJ432">
        <v>2.0895238100000002</v>
      </c>
      <c r="AK432">
        <v>5.9474456990000002</v>
      </c>
      <c r="AL432">
        <v>2.3E-2</v>
      </c>
      <c r="AM432">
        <v>0.14499999999999999</v>
      </c>
      <c r="AN432">
        <v>0.80800000000000005</v>
      </c>
    </row>
    <row r="433" spans="1:40">
      <c r="A433">
        <v>2501</v>
      </c>
      <c r="B433" t="s">
        <v>689</v>
      </c>
      <c r="C433" t="s">
        <v>687</v>
      </c>
      <c r="D433" t="s">
        <v>688</v>
      </c>
      <c r="E433">
        <v>0</v>
      </c>
      <c r="F433">
        <v>310</v>
      </c>
      <c r="G433">
        <v>74.128854799999999</v>
      </c>
      <c r="H433">
        <v>240</v>
      </c>
      <c r="I433">
        <v>0.115876271</v>
      </c>
      <c r="J433">
        <v>550</v>
      </c>
      <c r="K433">
        <v>4746.4420049999999</v>
      </c>
      <c r="L433">
        <v>0.59799999999999998</v>
      </c>
      <c r="M433" s="515">
        <v>1</v>
      </c>
      <c r="N433">
        <v>0</v>
      </c>
      <c r="O433" t="s">
        <v>620</v>
      </c>
      <c r="P433">
        <f t="shared" si="56"/>
        <v>11.557234040000001</v>
      </c>
      <c r="Q433">
        <f t="shared" si="57"/>
        <v>5.8999999999999997E-2</v>
      </c>
      <c r="R433">
        <f t="shared" si="58"/>
        <v>2.8000000000000001E-2</v>
      </c>
      <c r="S433">
        <f t="shared" si="59"/>
        <v>0.59799999999999998</v>
      </c>
      <c r="T433">
        <f t="shared" si="60"/>
        <v>2.002857143</v>
      </c>
      <c r="U433">
        <f t="shared" si="61"/>
        <v>5.8605509180000004</v>
      </c>
      <c r="V433">
        <f t="shared" si="62"/>
        <v>0.03</v>
      </c>
      <c r="W433">
        <f t="shared" si="63"/>
        <v>0.182</v>
      </c>
      <c r="X433">
        <f t="shared" si="64"/>
        <v>0.71199999999999997</v>
      </c>
      <c r="Y433">
        <v>263.3268046</v>
      </c>
      <c r="Z433">
        <v>0</v>
      </c>
      <c r="AA433">
        <v>454184</v>
      </c>
      <c r="AB433">
        <v>170596</v>
      </c>
      <c r="AC433">
        <v>6.5715274000000004E-2</v>
      </c>
      <c r="AD433">
        <v>0.72549415100000003</v>
      </c>
      <c r="AF433">
        <v>11.557234040000001</v>
      </c>
      <c r="AG433">
        <v>5.8999999999999997E-2</v>
      </c>
      <c r="AH433">
        <v>2.8000000000000001E-2</v>
      </c>
      <c r="AI433">
        <v>0.59799999999999998</v>
      </c>
      <c r="AJ433">
        <v>2.002857143</v>
      </c>
      <c r="AK433">
        <v>5.8605509180000004</v>
      </c>
      <c r="AL433">
        <v>0.03</v>
      </c>
      <c r="AM433">
        <v>0.182</v>
      </c>
      <c r="AN433">
        <v>0.71199999999999997</v>
      </c>
    </row>
    <row r="434" spans="1:40">
      <c r="A434">
        <v>2502</v>
      </c>
      <c r="B434" t="s">
        <v>689</v>
      </c>
      <c r="C434" t="s">
        <v>687</v>
      </c>
      <c r="D434" t="s">
        <v>688</v>
      </c>
      <c r="E434">
        <v>418</v>
      </c>
      <c r="F434">
        <v>1072</v>
      </c>
      <c r="G434">
        <v>125.60127629999999</v>
      </c>
      <c r="H434">
        <v>46</v>
      </c>
      <c r="I434">
        <v>0.196335026</v>
      </c>
      <c r="J434">
        <v>1118</v>
      </c>
      <c r="K434">
        <v>5694.3481899999997</v>
      </c>
      <c r="L434">
        <v>0.83499999999999996</v>
      </c>
      <c r="M434">
        <v>9.9137930999999999E-2</v>
      </c>
      <c r="N434">
        <v>0</v>
      </c>
      <c r="O434" t="s">
        <v>620</v>
      </c>
      <c r="P434">
        <f t="shared" si="56"/>
        <v>11.73854701</v>
      </c>
      <c r="Q434">
        <f t="shared" si="57"/>
        <v>3.7999999999999999E-2</v>
      </c>
      <c r="R434">
        <f t="shared" si="58"/>
        <v>1.2999999999999999E-2</v>
      </c>
      <c r="S434">
        <f t="shared" si="59"/>
        <v>0.83499999999999996</v>
      </c>
      <c r="T434">
        <f t="shared" si="60"/>
        <v>5.52</v>
      </c>
      <c r="U434">
        <f t="shared" si="61"/>
        <v>8.0981310210000004</v>
      </c>
      <c r="V434">
        <f t="shared" si="62"/>
        <v>4.7E-2</v>
      </c>
      <c r="W434">
        <f t="shared" si="63"/>
        <v>0.16</v>
      </c>
      <c r="X434">
        <f t="shared" si="64"/>
        <v>0.78</v>
      </c>
      <c r="Y434">
        <v>81.43568338</v>
      </c>
      <c r="Z434">
        <v>0</v>
      </c>
      <c r="AA434">
        <v>454184</v>
      </c>
      <c r="AB434">
        <v>170596</v>
      </c>
      <c r="AC434">
        <v>6.5715274000000004E-2</v>
      </c>
      <c r="AD434">
        <v>0.72549415100000003</v>
      </c>
      <c r="AF434">
        <v>11.73854701</v>
      </c>
      <c r="AG434">
        <v>3.7999999999999999E-2</v>
      </c>
      <c r="AH434">
        <v>1.2999999999999999E-2</v>
      </c>
      <c r="AI434">
        <v>0.83499999999999996</v>
      </c>
      <c r="AJ434">
        <v>5.52</v>
      </c>
      <c r="AK434">
        <v>8.0981310210000004</v>
      </c>
      <c r="AL434">
        <v>4.7E-2</v>
      </c>
      <c r="AM434">
        <v>0.16</v>
      </c>
      <c r="AN434">
        <v>0.78</v>
      </c>
    </row>
    <row r="435" spans="1:40">
      <c r="A435">
        <v>2503</v>
      </c>
      <c r="B435" t="s">
        <v>691</v>
      </c>
      <c r="C435" t="s">
        <v>684</v>
      </c>
      <c r="D435" t="s">
        <v>685</v>
      </c>
      <c r="E435">
        <v>379</v>
      </c>
      <c r="F435">
        <v>1302</v>
      </c>
      <c r="G435">
        <v>117.6542736</v>
      </c>
      <c r="H435">
        <v>149</v>
      </c>
      <c r="I435">
        <v>0.18390393299999999</v>
      </c>
      <c r="J435">
        <v>1451</v>
      </c>
      <c r="K435">
        <v>7889.9889540000004</v>
      </c>
      <c r="L435">
        <v>0.81899999999999995</v>
      </c>
      <c r="M435">
        <v>0.28219696999999999</v>
      </c>
      <c r="N435">
        <v>0</v>
      </c>
      <c r="O435" t="s">
        <v>620</v>
      </c>
      <c r="P435">
        <f t="shared" si="56"/>
        <v>15.807313430000001</v>
      </c>
      <c r="Q435">
        <f t="shared" si="57"/>
        <v>0.02</v>
      </c>
      <c r="R435">
        <f t="shared" si="58"/>
        <v>3.2000000000000001E-2</v>
      </c>
      <c r="S435">
        <f t="shared" si="59"/>
        <v>0.81899999999999995</v>
      </c>
      <c r="T435">
        <f t="shared" si="60"/>
        <v>2.0709374999999999</v>
      </c>
      <c r="U435">
        <f t="shared" si="61"/>
        <v>7.2607487309999996</v>
      </c>
      <c r="V435">
        <f t="shared" si="62"/>
        <v>5.6000000000000001E-2</v>
      </c>
      <c r="W435">
        <f t="shared" si="63"/>
        <v>8.1000000000000003E-2</v>
      </c>
      <c r="X435">
        <f t="shared" si="64"/>
        <v>0.83799999999999997</v>
      </c>
      <c r="Y435">
        <v>144.87760589999999</v>
      </c>
      <c r="Z435">
        <v>0</v>
      </c>
      <c r="AA435">
        <v>236250</v>
      </c>
      <c r="AB435">
        <v>76158</v>
      </c>
      <c r="AC435">
        <v>1.7652984E-2</v>
      </c>
      <c r="AD435">
        <v>0.84750225300000004</v>
      </c>
      <c r="AF435">
        <v>15.807313430000001</v>
      </c>
      <c r="AG435">
        <v>0.02</v>
      </c>
      <c r="AH435">
        <v>3.2000000000000001E-2</v>
      </c>
      <c r="AI435">
        <v>0.81899999999999995</v>
      </c>
      <c r="AJ435">
        <v>2.0709374999999999</v>
      </c>
      <c r="AK435">
        <v>7.2607487309999996</v>
      </c>
      <c r="AL435">
        <v>5.6000000000000001E-2</v>
      </c>
      <c r="AM435">
        <v>8.1000000000000003E-2</v>
      </c>
      <c r="AN435">
        <v>0.83799999999999997</v>
      </c>
    </row>
    <row r="436" spans="1:40">
      <c r="A436">
        <v>2504</v>
      </c>
      <c r="B436" t="s">
        <v>686</v>
      </c>
      <c r="C436" t="s">
        <v>687</v>
      </c>
      <c r="D436" t="s">
        <v>688</v>
      </c>
      <c r="E436">
        <v>403</v>
      </c>
      <c r="F436">
        <v>986</v>
      </c>
      <c r="G436">
        <v>76.955885499999994</v>
      </c>
      <c r="H436">
        <v>70</v>
      </c>
      <c r="I436">
        <v>0.120289771</v>
      </c>
      <c r="J436">
        <v>1056</v>
      </c>
      <c r="K436">
        <v>8778.8013159999991</v>
      </c>
      <c r="L436">
        <v>0.80200000000000005</v>
      </c>
      <c r="M436">
        <v>0.147991543</v>
      </c>
      <c r="N436">
        <v>0</v>
      </c>
      <c r="O436" t="s">
        <v>620</v>
      </c>
      <c r="P436">
        <f t="shared" si="56"/>
        <v>9.1470833329999994</v>
      </c>
      <c r="Q436">
        <f t="shared" si="57"/>
        <v>0.02</v>
      </c>
      <c r="R436">
        <f t="shared" si="58"/>
        <v>2.8000000000000001E-2</v>
      </c>
      <c r="S436">
        <f t="shared" si="59"/>
        <v>0.80200000000000005</v>
      </c>
      <c r="T436">
        <f t="shared" si="60"/>
        <v>2.414090909</v>
      </c>
      <c r="U436">
        <f t="shared" si="61"/>
        <v>6.0110985460000004</v>
      </c>
      <c r="V436">
        <f t="shared" si="62"/>
        <v>5.8999999999999997E-2</v>
      </c>
      <c r="W436">
        <f t="shared" si="63"/>
        <v>0.13400000000000001</v>
      </c>
      <c r="X436">
        <f t="shared" si="64"/>
        <v>0.80700000000000005</v>
      </c>
      <c r="Y436">
        <v>94.419403079999995</v>
      </c>
      <c r="Z436">
        <v>1</v>
      </c>
      <c r="AA436">
        <v>140316</v>
      </c>
      <c r="AB436">
        <v>49638</v>
      </c>
      <c r="AC436">
        <v>9.1283894000000004E-2</v>
      </c>
      <c r="AD436">
        <v>0.60339869999999995</v>
      </c>
      <c r="AF436">
        <v>9.1470833329999994</v>
      </c>
      <c r="AG436">
        <v>0.02</v>
      </c>
      <c r="AH436">
        <v>2.8000000000000001E-2</v>
      </c>
      <c r="AI436">
        <v>0.80200000000000005</v>
      </c>
      <c r="AJ436">
        <v>2.414090909</v>
      </c>
      <c r="AK436">
        <v>6.0110985460000004</v>
      </c>
      <c r="AL436">
        <v>5.8999999999999997E-2</v>
      </c>
      <c r="AM436">
        <v>0.13400000000000001</v>
      </c>
      <c r="AN436">
        <v>0.80700000000000005</v>
      </c>
    </row>
    <row r="437" spans="1:40">
      <c r="A437">
        <v>2505</v>
      </c>
      <c r="B437" t="s">
        <v>699</v>
      </c>
      <c r="C437" t="s">
        <v>687</v>
      </c>
      <c r="D437" t="s">
        <v>688</v>
      </c>
      <c r="E437">
        <v>512</v>
      </c>
      <c r="F437">
        <v>1251</v>
      </c>
      <c r="G437">
        <v>40.246662950000001</v>
      </c>
      <c r="H437">
        <v>292</v>
      </c>
      <c r="I437">
        <v>6.2911834E-2</v>
      </c>
      <c r="J437">
        <v>1543</v>
      </c>
      <c r="K437">
        <v>24526.387200000001</v>
      </c>
      <c r="L437">
        <v>0.66800000000000004</v>
      </c>
      <c r="M437">
        <v>0.36318408000000002</v>
      </c>
      <c r="N437">
        <v>1</v>
      </c>
      <c r="O437" t="s">
        <v>613</v>
      </c>
      <c r="P437">
        <f t="shared" si="56"/>
        <v>12.097941179999999</v>
      </c>
      <c r="Q437">
        <f t="shared" si="57"/>
        <v>9.5000000000000001E-2</v>
      </c>
      <c r="R437">
        <f t="shared" si="58"/>
        <v>2.3E-2</v>
      </c>
      <c r="S437">
        <f t="shared" si="59"/>
        <v>0.66800000000000004</v>
      </c>
      <c r="T437">
        <f t="shared" si="60"/>
        <v>1.7575000000000001</v>
      </c>
      <c r="U437">
        <f t="shared" si="61"/>
        <v>6.8868852460000003</v>
      </c>
      <c r="V437">
        <f t="shared" si="62"/>
        <v>4.8000000000000001E-2</v>
      </c>
      <c r="W437">
        <f t="shared" si="63"/>
        <v>0.26200000000000001</v>
      </c>
      <c r="X437">
        <f t="shared" si="64"/>
        <v>0.60699999999999998</v>
      </c>
      <c r="Y437">
        <v>243.02758750000001</v>
      </c>
      <c r="Z437">
        <v>0</v>
      </c>
      <c r="AA437">
        <v>20912</v>
      </c>
      <c r="AB437">
        <v>7469</v>
      </c>
      <c r="AC437">
        <v>5.5261644999999998E-2</v>
      </c>
      <c r="AD437">
        <v>0.74284071299999999</v>
      </c>
      <c r="AF437">
        <v>12.097941179999999</v>
      </c>
      <c r="AG437">
        <v>9.5000000000000001E-2</v>
      </c>
      <c r="AH437">
        <v>2.3E-2</v>
      </c>
      <c r="AI437">
        <v>0.66800000000000004</v>
      </c>
      <c r="AJ437">
        <v>1.7575000000000001</v>
      </c>
      <c r="AK437">
        <v>6.8868852460000003</v>
      </c>
      <c r="AL437">
        <v>4.8000000000000001E-2</v>
      </c>
      <c r="AM437">
        <v>0.26200000000000001</v>
      </c>
      <c r="AN437">
        <v>0.60699999999999998</v>
      </c>
    </row>
    <row r="438" spans="1:40">
      <c r="A438">
        <v>2506</v>
      </c>
      <c r="B438" t="s">
        <v>689</v>
      </c>
      <c r="C438" t="s">
        <v>687</v>
      </c>
      <c r="D438" t="s">
        <v>688</v>
      </c>
      <c r="E438">
        <v>497</v>
      </c>
      <c r="F438">
        <v>1189</v>
      </c>
      <c r="G438">
        <v>22.24819158</v>
      </c>
      <c r="H438">
        <v>26</v>
      </c>
      <c r="I438">
        <v>3.4778910000000003E-2</v>
      </c>
      <c r="J438">
        <v>1215</v>
      </c>
      <c r="K438">
        <v>34934.964899999999</v>
      </c>
      <c r="L438">
        <v>0.61399999999999999</v>
      </c>
      <c r="M438">
        <v>4.9713193000000003E-2</v>
      </c>
      <c r="N438">
        <v>0</v>
      </c>
      <c r="O438" t="s">
        <v>606</v>
      </c>
      <c r="P438">
        <f t="shared" si="56"/>
        <v>6.343714286</v>
      </c>
      <c r="Q438">
        <f t="shared" si="57"/>
        <v>8.3000000000000004E-2</v>
      </c>
      <c r="R438">
        <f t="shared" si="58"/>
        <v>4.5999999999999999E-2</v>
      </c>
      <c r="S438">
        <f t="shared" si="59"/>
        <v>0.61399999999999999</v>
      </c>
      <c r="T438">
        <f t="shared" si="60"/>
        <v>1.68</v>
      </c>
      <c r="U438">
        <f t="shared" si="61"/>
        <v>4.2112165450000001</v>
      </c>
      <c r="V438">
        <f t="shared" si="62"/>
        <v>0.20499999999999999</v>
      </c>
      <c r="W438">
        <f t="shared" si="63"/>
        <v>0.24099999999999999</v>
      </c>
      <c r="X438">
        <f t="shared" si="64"/>
        <v>0.42199999999999999</v>
      </c>
      <c r="Y438">
        <v>173.2277005</v>
      </c>
      <c r="Z438">
        <v>0</v>
      </c>
      <c r="AA438">
        <v>454184</v>
      </c>
      <c r="AB438">
        <v>170596</v>
      </c>
      <c r="AC438">
        <v>6.5715274000000004E-2</v>
      </c>
      <c r="AD438">
        <v>0.72549415100000003</v>
      </c>
      <c r="AF438">
        <v>6.343714286</v>
      </c>
      <c r="AG438">
        <v>8.3000000000000004E-2</v>
      </c>
      <c r="AH438">
        <v>4.5999999999999999E-2</v>
      </c>
      <c r="AI438">
        <v>0.61399999999999999</v>
      </c>
      <c r="AJ438">
        <v>1.68</v>
      </c>
      <c r="AK438">
        <v>4.2112165450000001</v>
      </c>
      <c r="AL438">
        <v>0.20499999999999999</v>
      </c>
      <c r="AM438">
        <v>0.24099999999999999</v>
      </c>
      <c r="AN438">
        <v>0.42199999999999999</v>
      </c>
    </row>
    <row r="439" spans="1:40">
      <c r="A439">
        <v>2507</v>
      </c>
      <c r="B439" t="s">
        <v>689</v>
      </c>
      <c r="C439" t="s">
        <v>687</v>
      </c>
      <c r="D439" t="s">
        <v>688</v>
      </c>
      <c r="E439">
        <v>365</v>
      </c>
      <c r="F439">
        <v>1349</v>
      </c>
      <c r="G439">
        <v>45.992068260000003</v>
      </c>
      <c r="H439">
        <v>84</v>
      </c>
      <c r="I439">
        <v>7.1890366999999997E-2</v>
      </c>
      <c r="J439">
        <v>1433</v>
      </c>
      <c r="K439">
        <v>19933.129570000001</v>
      </c>
      <c r="L439">
        <v>0.749</v>
      </c>
      <c r="M439">
        <v>0.18708240500000001</v>
      </c>
      <c r="N439">
        <v>0</v>
      </c>
      <c r="O439" t="s">
        <v>613</v>
      </c>
      <c r="P439">
        <f t="shared" si="56"/>
        <v>11.288441560000001</v>
      </c>
      <c r="Q439">
        <f t="shared" si="57"/>
        <v>6.6000000000000003E-2</v>
      </c>
      <c r="R439">
        <f t="shared" si="58"/>
        <v>1.7000000000000001E-2</v>
      </c>
      <c r="S439">
        <f t="shared" si="59"/>
        <v>0.749</v>
      </c>
      <c r="T439">
        <f t="shared" si="60"/>
        <v>1.8474999999999999</v>
      </c>
      <c r="U439">
        <f t="shared" si="61"/>
        <v>5.5158577409999996</v>
      </c>
      <c r="V439">
        <f t="shared" si="62"/>
        <v>1.9E-2</v>
      </c>
      <c r="W439">
        <f t="shared" si="63"/>
        <v>0.24299999999999999</v>
      </c>
      <c r="X439">
        <f t="shared" si="64"/>
        <v>0.72</v>
      </c>
      <c r="Y439">
        <v>166.86370059999999</v>
      </c>
      <c r="Z439">
        <v>0</v>
      </c>
      <c r="AA439">
        <v>454184</v>
      </c>
      <c r="AB439">
        <v>170596</v>
      </c>
      <c r="AC439">
        <v>6.5715274000000004E-2</v>
      </c>
      <c r="AD439">
        <v>0.72549415100000003</v>
      </c>
      <c r="AF439">
        <v>11.288441560000001</v>
      </c>
      <c r="AG439">
        <v>6.6000000000000003E-2</v>
      </c>
      <c r="AH439">
        <v>1.7000000000000001E-2</v>
      </c>
      <c r="AI439">
        <v>0.749</v>
      </c>
      <c r="AJ439">
        <v>1.8474999999999999</v>
      </c>
      <c r="AK439">
        <v>5.5158577409999996</v>
      </c>
      <c r="AL439">
        <v>1.9E-2</v>
      </c>
      <c r="AM439">
        <v>0.24299999999999999</v>
      </c>
      <c r="AN439">
        <v>0.72</v>
      </c>
    </row>
    <row r="440" spans="1:40">
      <c r="A440">
        <v>2508</v>
      </c>
      <c r="B440" t="s">
        <v>683</v>
      </c>
      <c r="C440" t="s">
        <v>684</v>
      </c>
      <c r="D440" t="s">
        <v>685</v>
      </c>
      <c r="E440">
        <v>586</v>
      </c>
      <c r="F440">
        <v>1651</v>
      </c>
      <c r="G440">
        <v>171.33759330000001</v>
      </c>
      <c r="H440">
        <v>369</v>
      </c>
      <c r="I440">
        <v>0.26781125300000003</v>
      </c>
      <c r="J440">
        <v>2020</v>
      </c>
      <c r="K440">
        <v>7542.6255520000004</v>
      </c>
      <c r="L440">
        <v>0.89700000000000002</v>
      </c>
      <c r="M440">
        <v>0.386387435</v>
      </c>
      <c r="N440">
        <v>0</v>
      </c>
      <c r="O440" t="s">
        <v>620</v>
      </c>
      <c r="P440">
        <f t="shared" si="56"/>
        <v>11.550410960000001</v>
      </c>
      <c r="Q440">
        <f t="shared" si="57"/>
        <v>2.5999999999999999E-2</v>
      </c>
      <c r="R440">
        <f t="shared" si="58"/>
        <v>1.2E-2</v>
      </c>
      <c r="S440">
        <f t="shared" si="59"/>
        <v>0.89700000000000002</v>
      </c>
      <c r="T440">
        <f t="shared" si="60"/>
        <v>3.059285714</v>
      </c>
      <c r="U440">
        <f t="shared" si="61"/>
        <v>7.3360918369999997</v>
      </c>
      <c r="V440">
        <f t="shared" si="62"/>
        <v>3.5000000000000003E-2</v>
      </c>
      <c r="W440">
        <f t="shared" si="63"/>
        <v>9.1999999999999998E-2</v>
      </c>
      <c r="X440">
        <f t="shared" si="64"/>
        <v>0.84399999999999997</v>
      </c>
      <c r="Y440">
        <v>136.92647310000001</v>
      </c>
      <c r="Z440">
        <v>0</v>
      </c>
      <c r="AA440">
        <v>75370</v>
      </c>
      <c r="AB440">
        <v>21403</v>
      </c>
      <c r="AC440">
        <v>2.4597187E-2</v>
      </c>
      <c r="AD440">
        <v>0.84342094400000001</v>
      </c>
      <c r="AF440">
        <v>11.550410960000001</v>
      </c>
      <c r="AG440">
        <v>2.5999999999999999E-2</v>
      </c>
      <c r="AH440">
        <v>1.2E-2</v>
      </c>
      <c r="AI440">
        <v>0.89700000000000002</v>
      </c>
      <c r="AJ440">
        <v>3.059285714</v>
      </c>
      <c r="AK440">
        <v>7.3360918369999997</v>
      </c>
      <c r="AL440">
        <v>3.5000000000000003E-2</v>
      </c>
      <c r="AM440">
        <v>9.1999999999999998E-2</v>
      </c>
      <c r="AN440">
        <v>0.84399999999999997</v>
      </c>
    </row>
    <row r="441" spans="1:40">
      <c r="A441">
        <v>2509</v>
      </c>
      <c r="B441" t="s">
        <v>691</v>
      </c>
      <c r="C441" t="s">
        <v>684</v>
      </c>
      <c r="D441" t="s">
        <v>685</v>
      </c>
      <c r="E441">
        <v>351</v>
      </c>
      <c r="F441">
        <v>1007</v>
      </c>
      <c r="G441">
        <v>109.1275421</v>
      </c>
      <c r="H441">
        <v>172</v>
      </c>
      <c r="I441">
        <v>0.170570368</v>
      </c>
      <c r="J441">
        <v>1179</v>
      </c>
      <c r="K441">
        <v>6912.1032789999999</v>
      </c>
      <c r="L441">
        <v>0.89</v>
      </c>
      <c r="M441">
        <v>0.32887189300000003</v>
      </c>
      <c r="N441">
        <v>0</v>
      </c>
      <c r="O441" t="s">
        <v>620</v>
      </c>
      <c r="P441">
        <f t="shared" si="56"/>
        <v>13.37951389</v>
      </c>
      <c r="Q441">
        <f t="shared" si="57"/>
        <v>1.0999999999999999E-2</v>
      </c>
      <c r="R441">
        <f t="shared" si="58"/>
        <v>1.4999999999999999E-2</v>
      </c>
      <c r="S441">
        <f t="shared" si="59"/>
        <v>0.89</v>
      </c>
      <c r="T441">
        <f t="shared" si="60"/>
        <v>2.1807142860000002</v>
      </c>
      <c r="U441">
        <f t="shared" si="61"/>
        <v>6.6991276859999997</v>
      </c>
      <c r="V441">
        <f t="shared" si="62"/>
        <v>1.2999999999999999E-2</v>
      </c>
      <c r="W441">
        <f t="shared" si="63"/>
        <v>3.2000000000000001E-2</v>
      </c>
      <c r="X441">
        <f t="shared" si="64"/>
        <v>0.92900000000000005</v>
      </c>
      <c r="Y441">
        <v>117.1952854</v>
      </c>
      <c r="Z441">
        <v>0</v>
      </c>
      <c r="AA441">
        <v>236250</v>
      </c>
      <c r="AB441">
        <v>76158</v>
      </c>
      <c r="AC441">
        <v>1.7652984E-2</v>
      </c>
      <c r="AD441">
        <v>0.84750225300000004</v>
      </c>
      <c r="AF441">
        <v>13.37951389</v>
      </c>
      <c r="AG441">
        <v>1.0999999999999999E-2</v>
      </c>
      <c r="AH441">
        <v>1.4999999999999999E-2</v>
      </c>
      <c r="AI441">
        <v>0.89</v>
      </c>
      <c r="AJ441">
        <v>2.1807142860000002</v>
      </c>
      <c r="AK441">
        <v>6.6991276859999997</v>
      </c>
      <c r="AL441">
        <v>1.2999999999999999E-2</v>
      </c>
      <c r="AM441">
        <v>3.2000000000000001E-2</v>
      </c>
      <c r="AN441">
        <v>0.92900000000000005</v>
      </c>
    </row>
    <row r="442" spans="1:40">
      <c r="A442">
        <v>2510</v>
      </c>
      <c r="B442" t="s">
        <v>683</v>
      </c>
      <c r="C442" t="s">
        <v>684</v>
      </c>
      <c r="D442" t="s">
        <v>685</v>
      </c>
      <c r="E442">
        <v>683</v>
      </c>
      <c r="F442">
        <v>2509</v>
      </c>
      <c r="G442">
        <v>119.69215560000001</v>
      </c>
      <c r="H442">
        <v>27</v>
      </c>
      <c r="I442">
        <v>0.18709841799999999</v>
      </c>
      <c r="J442">
        <v>2536</v>
      </c>
      <c r="K442">
        <v>13554.363670000001</v>
      </c>
      <c r="L442">
        <v>0.82799999999999996</v>
      </c>
      <c r="M442">
        <v>3.8028169000000001E-2</v>
      </c>
      <c r="N442">
        <v>0</v>
      </c>
      <c r="O442" t="s">
        <v>620</v>
      </c>
      <c r="P442">
        <f t="shared" si="56"/>
        <v>11.939520959999999</v>
      </c>
      <c r="Q442">
        <f t="shared" si="57"/>
        <v>2.1000000000000001E-2</v>
      </c>
      <c r="R442">
        <f t="shared" si="58"/>
        <v>2.1000000000000001E-2</v>
      </c>
      <c r="S442">
        <f t="shared" si="59"/>
        <v>0.82799999999999996</v>
      </c>
      <c r="T442">
        <f t="shared" si="60"/>
        <v>1.9614285709999999</v>
      </c>
      <c r="U442">
        <f t="shared" si="61"/>
        <v>6.32767035</v>
      </c>
      <c r="V442">
        <f t="shared" si="62"/>
        <v>2.1999999999999999E-2</v>
      </c>
      <c r="W442">
        <f t="shared" si="63"/>
        <v>4.2999999999999997E-2</v>
      </c>
      <c r="X442">
        <f t="shared" si="64"/>
        <v>0.89800000000000002</v>
      </c>
      <c r="Y442">
        <v>165.23934270000001</v>
      </c>
      <c r="Z442">
        <v>0</v>
      </c>
      <c r="AA442">
        <v>75370</v>
      </c>
      <c r="AB442">
        <v>21403</v>
      </c>
      <c r="AC442">
        <v>2.4597187E-2</v>
      </c>
      <c r="AD442">
        <v>0.84342094400000001</v>
      </c>
      <c r="AF442">
        <v>11.939520959999999</v>
      </c>
      <c r="AG442">
        <v>2.1000000000000001E-2</v>
      </c>
      <c r="AH442">
        <v>2.1000000000000001E-2</v>
      </c>
      <c r="AI442">
        <v>0.82799999999999996</v>
      </c>
      <c r="AJ442">
        <v>1.9614285709999999</v>
      </c>
      <c r="AK442">
        <v>6.32767035</v>
      </c>
      <c r="AL442">
        <v>2.1999999999999999E-2</v>
      </c>
      <c r="AM442">
        <v>4.2999999999999997E-2</v>
      </c>
      <c r="AN442">
        <v>0.89800000000000002</v>
      </c>
    </row>
    <row r="443" spans="1:40">
      <c r="A443">
        <v>2511</v>
      </c>
      <c r="B443" t="s">
        <v>683</v>
      </c>
      <c r="C443" t="s">
        <v>684</v>
      </c>
      <c r="D443" t="s">
        <v>685</v>
      </c>
      <c r="E443">
        <v>205</v>
      </c>
      <c r="F443">
        <v>758</v>
      </c>
      <c r="G443">
        <v>94.160388819999994</v>
      </c>
      <c r="H443">
        <v>14</v>
      </c>
      <c r="I443">
        <v>0.14718494500000001</v>
      </c>
      <c r="J443">
        <v>772</v>
      </c>
      <c r="K443">
        <v>5245.1016639999998</v>
      </c>
      <c r="L443">
        <v>0.85199999999999998</v>
      </c>
      <c r="M443">
        <v>6.3926941000000001E-2</v>
      </c>
      <c r="N443">
        <v>0</v>
      </c>
      <c r="O443" t="s">
        <v>620</v>
      </c>
      <c r="P443">
        <f t="shared" si="56"/>
        <v>13.15705882</v>
      </c>
      <c r="Q443">
        <f t="shared" si="57"/>
        <v>2.4E-2</v>
      </c>
      <c r="R443">
        <f t="shared" si="58"/>
        <v>0.01</v>
      </c>
      <c r="S443">
        <f t="shared" si="59"/>
        <v>0.85199999999999998</v>
      </c>
      <c r="T443">
        <f t="shared" si="60"/>
        <v>1.49</v>
      </c>
      <c r="U443">
        <f t="shared" si="61"/>
        <v>6.3936705199999997</v>
      </c>
      <c r="V443">
        <f t="shared" si="62"/>
        <v>3.1E-2</v>
      </c>
      <c r="W443">
        <f t="shared" si="63"/>
        <v>9.1999999999999998E-2</v>
      </c>
      <c r="X443">
        <f t="shared" si="64"/>
        <v>0.78500000000000003</v>
      </c>
      <c r="Y443">
        <v>196.88232780000001</v>
      </c>
      <c r="Z443">
        <v>0</v>
      </c>
      <c r="AA443">
        <v>75370</v>
      </c>
      <c r="AB443">
        <v>21403</v>
      </c>
      <c r="AC443">
        <v>2.4597187E-2</v>
      </c>
      <c r="AD443">
        <v>0.84342094400000001</v>
      </c>
      <c r="AF443">
        <v>13.15705882</v>
      </c>
      <c r="AG443">
        <v>2.4E-2</v>
      </c>
      <c r="AH443">
        <v>0.01</v>
      </c>
      <c r="AI443">
        <v>0.85199999999999998</v>
      </c>
      <c r="AJ443">
        <v>1.49</v>
      </c>
      <c r="AK443">
        <v>6.3936705199999997</v>
      </c>
      <c r="AL443">
        <v>3.1E-2</v>
      </c>
      <c r="AM443">
        <v>9.1999999999999998E-2</v>
      </c>
      <c r="AN443">
        <v>0.78500000000000003</v>
      </c>
    </row>
    <row r="444" spans="1:40">
      <c r="A444">
        <v>2512</v>
      </c>
      <c r="B444" t="s">
        <v>691</v>
      </c>
      <c r="C444" t="s">
        <v>684</v>
      </c>
      <c r="D444" t="s">
        <v>685</v>
      </c>
      <c r="E444">
        <v>361</v>
      </c>
      <c r="F444">
        <v>1032</v>
      </c>
      <c r="G444">
        <v>77.335299899999995</v>
      </c>
      <c r="H444">
        <v>252</v>
      </c>
      <c r="I444">
        <v>0.120885574</v>
      </c>
      <c r="J444">
        <v>1284</v>
      </c>
      <c r="K444">
        <v>10621.61478</v>
      </c>
      <c r="L444">
        <v>0.85499999999999998</v>
      </c>
      <c r="M444">
        <v>0.41109298500000002</v>
      </c>
      <c r="N444">
        <v>0</v>
      </c>
      <c r="O444" t="s">
        <v>620</v>
      </c>
      <c r="P444">
        <f t="shared" si="56"/>
        <v>10.59781022</v>
      </c>
      <c r="Q444">
        <f t="shared" si="57"/>
        <v>1.2999999999999999E-2</v>
      </c>
      <c r="R444">
        <f t="shared" si="58"/>
        <v>1.0999999999999999E-2</v>
      </c>
      <c r="S444">
        <f t="shared" si="59"/>
        <v>0.85499999999999998</v>
      </c>
      <c r="T444">
        <f t="shared" si="60"/>
        <v>2</v>
      </c>
      <c r="U444">
        <f t="shared" si="61"/>
        <v>5.9268375139999998</v>
      </c>
      <c r="V444">
        <f t="shared" si="62"/>
        <v>1.2999999999999999E-2</v>
      </c>
      <c r="W444">
        <f t="shared" si="63"/>
        <v>0.06</v>
      </c>
      <c r="X444">
        <f t="shared" si="64"/>
        <v>0.91300000000000003</v>
      </c>
      <c r="Y444">
        <v>41.754874600000001</v>
      </c>
      <c r="Z444">
        <v>0</v>
      </c>
      <c r="AA444">
        <v>236250</v>
      </c>
      <c r="AB444">
        <v>76158</v>
      </c>
      <c r="AC444">
        <v>1.7652984E-2</v>
      </c>
      <c r="AD444">
        <v>0.84750225300000004</v>
      </c>
      <c r="AF444">
        <v>10.59781022</v>
      </c>
      <c r="AG444">
        <v>1.2999999999999999E-2</v>
      </c>
      <c r="AH444">
        <v>1.0999999999999999E-2</v>
      </c>
      <c r="AI444">
        <v>0.85499999999999998</v>
      </c>
      <c r="AJ444">
        <v>2</v>
      </c>
      <c r="AK444">
        <v>5.9268375139999998</v>
      </c>
      <c r="AL444">
        <v>1.2999999999999999E-2</v>
      </c>
      <c r="AM444">
        <v>0.06</v>
      </c>
      <c r="AN444">
        <v>0.91300000000000003</v>
      </c>
    </row>
    <row r="445" spans="1:40">
      <c r="A445">
        <v>2513</v>
      </c>
      <c r="B445" t="s">
        <v>692</v>
      </c>
      <c r="C445" t="s">
        <v>693</v>
      </c>
      <c r="D445" t="s">
        <v>694</v>
      </c>
      <c r="E445">
        <v>310</v>
      </c>
      <c r="F445">
        <v>1015</v>
      </c>
      <c r="G445">
        <v>286.47382729999998</v>
      </c>
      <c r="H445">
        <v>48</v>
      </c>
      <c r="I445">
        <v>0.44778572</v>
      </c>
      <c r="J445">
        <v>1063</v>
      </c>
      <c r="K445">
        <v>2373.9033039999999</v>
      </c>
      <c r="L445">
        <v>0.86699999999999999</v>
      </c>
      <c r="M445">
        <v>0.134078212</v>
      </c>
      <c r="N445">
        <v>0</v>
      </c>
      <c r="O445" t="s">
        <v>625</v>
      </c>
      <c r="P445">
        <f t="shared" si="56"/>
        <v>17.613478260000001</v>
      </c>
      <c r="Q445">
        <f t="shared" si="57"/>
        <v>1.2E-2</v>
      </c>
      <c r="R445">
        <f t="shared" si="58"/>
        <v>2.1000000000000001E-2</v>
      </c>
      <c r="S445">
        <f t="shared" si="59"/>
        <v>0.86699999999999999</v>
      </c>
      <c r="T445">
        <f t="shared" si="60"/>
        <v>1.76</v>
      </c>
      <c r="U445">
        <f t="shared" si="61"/>
        <v>9.3624204950000003</v>
      </c>
      <c r="V445">
        <f t="shared" si="62"/>
        <v>8.0000000000000002E-3</v>
      </c>
      <c r="W445">
        <f t="shared" si="63"/>
        <v>1.7000000000000001E-2</v>
      </c>
      <c r="X445">
        <f t="shared" si="64"/>
        <v>0.97499999999999998</v>
      </c>
      <c r="Y445">
        <v>50.838817990000003</v>
      </c>
      <c r="Z445">
        <v>0</v>
      </c>
      <c r="AA445">
        <v>77808</v>
      </c>
      <c r="AB445">
        <v>27489</v>
      </c>
      <c r="AC445">
        <v>1.1225541E-2</v>
      </c>
      <c r="AD445">
        <v>0.835708267</v>
      </c>
      <c r="AF445">
        <v>17.613478260000001</v>
      </c>
      <c r="AG445">
        <v>1.2E-2</v>
      </c>
      <c r="AH445">
        <v>2.1000000000000001E-2</v>
      </c>
      <c r="AI445">
        <v>0.86699999999999999</v>
      </c>
      <c r="AJ445">
        <v>1.76</v>
      </c>
      <c r="AK445">
        <v>9.3624204950000003</v>
      </c>
      <c r="AL445">
        <v>8.0000000000000002E-3</v>
      </c>
      <c r="AM445">
        <v>1.7000000000000001E-2</v>
      </c>
      <c r="AN445">
        <v>0.97499999999999998</v>
      </c>
    </row>
    <row r="446" spans="1:40">
      <c r="A446">
        <v>2514</v>
      </c>
      <c r="B446" t="s">
        <v>698</v>
      </c>
      <c r="C446" t="s">
        <v>693</v>
      </c>
      <c r="D446" t="s">
        <v>694</v>
      </c>
      <c r="E446">
        <v>779</v>
      </c>
      <c r="F446">
        <v>1916</v>
      </c>
      <c r="G446">
        <v>229.61152509999999</v>
      </c>
      <c r="H446">
        <v>88</v>
      </c>
      <c r="I446">
        <v>0.35890159399999999</v>
      </c>
      <c r="J446">
        <v>2004</v>
      </c>
      <c r="K446">
        <v>5583.7032589999999</v>
      </c>
      <c r="L446">
        <v>0.78100000000000003</v>
      </c>
      <c r="M446">
        <v>0.10149942300000001</v>
      </c>
      <c r="N446">
        <v>0</v>
      </c>
      <c r="O446" t="s">
        <v>625</v>
      </c>
      <c r="P446">
        <f t="shared" si="56"/>
        <v>14.19333333</v>
      </c>
      <c r="Q446">
        <f t="shared" si="57"/>
        <v>1.0999999999999999E-2</v>
      </c>
      <c r="R446">
        <f t="shared" si="58"/>
        <v>0.03</v>
      </c>
      <c r="S446">
        <f t="shared" si="59"/>
        <v>0.78100000000000003</v>
      </c>
      <c r="T446">
        <f t="shared" si="60"/>
        <v>1.6229411760000001</v>
      </c>
      <c r="U446">
        <f t="shared" si="61"/>
        <v>6.7603318080000001</v>
      </c>
      <c r="V446">
        <f t="shared" si="62"/>
        <v>5.7000000000000002E-2</v>
      </c>
      <c r="W446">
        <f t="shared" si="63"/>
        <v>5.7000000000000002E-2</v>
      </c>
      <c r="X446">
        <f t="shared" si="64"/>
        <v>0.83499999999999996</v>
      </c>
      <c r="Y446">
        <v>117.5350131</v>
      </c>
      <c r="Z446">
        <v>0</v>
      </c>
      <c r="AA446">
        <v>88250</v>
      </c>
      <c r="AB446">
        <v>31723</v>
      </c>
      <c r="AC446">
        <v>1.0795895999999999E-2</v>
      </c>
      <c r="AD446">
        <v>0.817760245</v>
      </c>
      <c r="AF446">
        <v>14.19333333</v>
      </c>
      <c r="AG446">
        <v>1.0999999999999999E-2</v>
      </c>
      <c r="AH446">
        <v>0.03</v>
      </c>
      <c r="AI446">
        <v>0.78100000000000003</v>
      </c>
      <c r="AJ446">
        <v>1.6229411760000001</v>
      </c>
      <c r="AK446">
        <v>6.7603318080000001</v>
      </c>
      <c r="AL446">
        <v>5.7000000000000002E-2</v>
      </c>
      <c r="AM446">
        <v>5.7000000000000002E-2</v>
      </c>
      <c r="AN446">
        <v>0.83499999999999996</v>
      </c>
    </row>
    <row r="447" spans="1:40">
      <c r="A447">
        <v>2515</v>
      </c>
      <c r="B447" t="s">
        <v>698</v>
      </c>
      <c r="C447" t="s">
        <v>693</v>
      </c>
      <c r="D447" t="s">
        <v>694</v>
      </c>
      <c r="E447">
        <v>741</v>
      </c>
      <c r="F447">
        <v>2450</v>
      </c>
      <c r="G447">
        <v>163.90176009999999</v>
      </c>
      <c r="H447">
        <v>118</v>
      </c>
      <c r="I447">
        <v>0.25619209999999998</v>
      </c>
      <c r="J447">
        <v>2568</v>
      </c>
      <c r="K447">
        <v>10023.728289999999</v>
      </c>
      <c r="L447">
        <v>0.78200000000000003</v>
      </c>
      <c r="M447">
        <v>0.137369034</v>
      </c>
      <c r="N447">
        <v>0</v>
      </c>
      <c r="O447" t="s">
        <v>620</v>
      </c>
      <c r="P447">
        <f t="shared" si="56"/>
        <v>16.208539819999999</v>
      </c>
      <c r="Q447">
        <f t="shared" si="57"/>
        <v>1.4999999999999999E-2</v>
      </c>
      <c r="R447">
        <f t="shared" si="58"/>
        <v>3.3000000000000002E-2</v>
      </c>
      <c r="S447">
        <f t="shared" si="59"/>
        <v>0.78200000000000003</v>
      </c>
      <c r="T447">
        <f t="shared" si="60"/>
        <v>2.5140476189999998</v>
      </c>
      <c r="U447">
        <f t="shared" si="61"/>
        <v>7.5129067459999996</v>
      </c>
      <c r="V447">
        <f t="shared" si="62"/>
        <v>5.6000000000000001E-2</v>
      </c>
      <c r="W447">
        <f t="shared" si="63"/>
        <v>0.04</v>
      </c>
      <c r="X447">
        <f t="shared" si="64"/>
        <v>0.9</v>
      </c>
      <c r="Y447">
        <v>109.32225649999999</v>
      </c>
      <c r="Z447">
        <v>0</v>
      </c>
      <c r="AA447">
        <v>88250</v>
      </c>
      <c r="AB447">
        <v>31723</v>
      </c>
      <c r="AC447">
        <v>1.0795895999999999E-2</v>
      </c>
      <c r="AD447">
        <v>0.817760245</v>
      </c>
      <c r="AF447">
        <v>16.208539819999999</v>
      </c>
      <c r="AG447">
        <v>1.4999999999999999E-2</v>
      </c>
      <c r="AH447">
        <v>3.3000000000000002E-2</v>
      </c>
      <c r="AI447">
        <v>0.78200000000000003</v>
      </c>
      <c r="AJ447">
        <v>2.5140476189999998</v>
      </c>
      <c r="AK447">
        <v>7.5129067459999996</v>
      </c>
      <c r="AL447">
        <v>5.6000000000000001E-2</v>
      </c>
      <c r="AM447">
        <v>0.04</v>
      </c>
      <c r="AN447">
        <v>0.9</v>
      </c>
    </row>
    <row r="448" spans="1:40">
      <c r="A448">
        <v>2516</v>
      </c>
      <c r="B448" t="s">
        <v>686</v>
      </c>
      <c r="C448" t="s">
        <v>687</v>
      </c>
      <c r="D448" t="s">
        <v>688</v>
      </c>
      <c r="E448">
        <v>442</v>
      </c>
      <c r="F448">
        <v>919</v>
      </c>
      <c r="G448">
        <v>39.415130120000001</v>
      </c>
      <c r="H448">
        <v>29</v>
      </c>
      <c r="I448">
        <v>6.1614135E-2</v>
      </c>
      <c r="J448">
        <v>948</v>
      </c>
      <c r="K448">
        <v>15386.079830000001</v>
      </c>
      <c r="L448">
        <v>0.66800000000000004</v>
      </c>
      <c r="M448">
        <v>6.1571124999999997E-2</v>
      </c>
      <c r="N448">
        <v>1</v>
      </c>
      <c r="O448" t="s">
        <v>613</v>
      </c>
      <c r="P448">
        <f t="shared" si="56"/>
        <v>10.165074629999999</v>
      </c>
      <c r="Q448">
        <f t="shared" si="57"/>
        <v>5.0999999999999997E-2</v>
      </c>
      <c r="R448">
        <f t="shared" si="58"/>
        <v>4.7E-2</v>
      </c>
      <c r="S448">
        <f t="shared" si="59"/>
        <v>0.66800000000000004</v>
      </c>
      <c r="T448">
        <f t="shared" si="60"/>
        <v>1.481071429</v>
      </c>
      <c r="U448">
        <f t="shared" si="61"/>
        <v>5.644607046</v>
      </c>
      <c r="V448">
        <f t="shared" si="62"/>
        <v>0.13700000000000001</v>
      </c>
      <c r="W448">
        <f t="shared" si="63"/>
        <v>0.108</v>
      </c>
      <c r="X448">
        <f t="shared" si="64"/>
        <v>0.65700000000000003</v>
      </c>
      <c r="Y448">
        <v>114.8306592</v>
      </c>
      <c r="Z448">
        <v>1</v>
      </c>
      <c r="AA448">
        <v>140316</v>
      </c>
      <c r="AB448">
        <v>49638</v>
      </c>
      <c r="AC448">
        <v>9.1283894000000004E-2</v>
      </c>
      <c r="AD448">
        <v>0.60339869999999995</v>
      </c>
      <c r="AF448">
        <v>10.165074629999999</v>
      </c>
      <c r="AG448">
        <v>5.0999999999999997E-2</v>
      </c>
      <c r="AH448">
        <v>4.7E-2</v>
      </c>
      <c r="AI448">
        <v>0.66800000000000004</v>
      </c>
      <c r="AJ448">
        <v>1.481071429</v>
      </c>
      <c r="AK448">
        <v>5.644607046</v>
      </c>
      <c r="AL448">
        <v>0.13700000000000001</v>
      </c>
      <c r="AM448">
        <v>0.108</v>
      </c>
      <c r="AN448">
        <v>0.65700000000000003</v>
      </c>
    </row>
    <row r="449" spans="1:40">
      <c r="A449">
        <v>2517</v>
      </c>
      <c r="B449" t="s">
        <v>686</v>
      </c>
      <c r="C449" t="s">
        <v>687</v>
      </c>
      <c r="D449" t="s">
        <v>688</v>
      </c>
      <c r="E449">
        <v>535</v>
      </c>
      <c r="F449">
        <v>1249</v>
      </c>
      <c r="G449">
        <v>124.016401</v>
      </c>
      <c r="H449">
        <v>0</v>
      </c>
      <c r="I449">
        <v>0.19385804000000001</v>
      </c>
      <c r="J449">
        <v>1249</v>
      </c>
      <c r="K449">
        <v>6442.8589089999996</v>
      </c>
      <c r="L449">
        <v>0.66400000000000003</v>
      </c>
      <c r="M449">
        <v>0</v>
      </c>
      <c r="N449">
        <v>0</v>
      </c>
      <c r="O449" t="s">
        <v>613</v>
      </c>
      <c r="P449">
        <f t="shared" si="56"/>
        <v>10.220752689999999</v>
      </c>
      <c r="Q449">
        <f t="shared" si="57"/>
        <v>0.06</v>
      </c>
      <c r="R449">
        <f t="shared" si="58"/>
        <v>6.2E-2</v>
      </c>
      <c r="S449">
        <f t="shared" si="59"/>
        <v>0.66400000000000003</v>
      </c>
      <c r="T449">
        <f t="shared" si="60"/>
        <v>2.2427777780000002</v>
      </c>
      <c r="U449">
        <f t="shared" si="61"/>
        <v>7.03302139</v>
      </c>
      <c r="V449">
        <f t="shared" si="62"/>
        <v>9.7000000000000003E-2</v>
      </c>
      <c r="W449">
        <f t="shared" si="63"/>
        <v>0.17</v>
      </c>
      <c r="X449">
        <f t="shared" si="64"/>
        <v>0.56399999999999995</v>
      </c>
      <c r="Y449">
        <v>99.222058369999999</v>
      </c>
      <c r="Z449">
        <v>1</v>
      </c>
      <c r="AA449">
        <v>140316</v>
      </c>
      <c r="AB449">
        <v>49638</v>
      </c>
      <c r="AC449">
        <v>9.1283894000000004E-2</v>
      </c>
      <c r="AD449">
        <v>0.60339869999999995</v>
      </c>
      <c r="AF449">
        <v>10.220752689999999</v>
      </c>
      <c r="AG449">
        <v>0.06</v>
      </c>
      <c r="AH449">
        <v>6.2E-2</v>
      </c>
      <c r="AI449">
        <v>0.66400000000000003</v>
      </c>
      <c r="AJ449">
        <v>2.2427777780000002</v>
      </c>
      <c r="AK449">
        <v>7.03302139</v>
      </c>
      <c r="AL449">
        <v>9.7000000000000003E-2</v>
      </c>
      <c r="AM449">
        <v>0.17</v>
      </c>
      <c r="AN449">
        <v>0.56399999999999995</v>
      </c>
    </row>
    <row r="450" spans="1:40">
      <c r="A450">
        <v>2518</v>
      </c>
      <c r="B450" t="s">
        <v>686</v>
      </c>
      <c r="C450" t="s">
        <v>687</v>
      </c>
      <c r="D450" t="s">
        <v>688</v>
      </c>
      <c r="E450">
        <v>572</v>
      </c>
      <c r="F450">
        <v>1800</v>
      </c>
      <c r="G450">
        <v>38.395427789999999</v>
      </c>
      <c r="H450">
        <v>24</v>
      </c>
      <c r="I450">
        <v>6.0021629999999999E-2</v>
      </c>
      <c r="J450">
        <v>1824</v>
      </c>
      <c r="K450">
        <v>30389.044750000001</v>
      </c>
      <c r="L450">
        <v>0.54400000000000004</v>
      </c>
      <c r="M450">
        <v>4.0268456000000001E-2</v>
      </c>
      <c r="N450">
        <v>0</v>
      </c>
      <c r="O450" t="s">
        <v>606</v>
      </c>
      <c r="P450">
        <f t="shared" si="56"/>
        <v>9.8005376339999994</v>
      </c>
      <c r="Q450">
        <f t="shared" si="57"/>
        <v>4.3999999999999997E-2</v>
      </c>
      <c r="R450">
        <f t="shared" si="58"/>
        <v>6.8000000000000005E-2</v>
      </c>
      <c r="S450">
        <f t="shared" si="59"/>
        <v>0.54400000000000004</v>
      </c>
      <c r="T450">
        <f t="shared" si="60"/>
        <v>1.2322916669999999</v>
      </c>
      <c r="U450">
        <f t="shared" si="61"/>
        <v>6.2605691060000002</v>
      </c>
      <c r="V450">
        <f t="shared" si="62"/>
        <v>0.14799999999999999</v>
      </c>
      <c r="W450">
        <f t="shared" si="63"/>
        <v>0.114</v>
      </c>
      <c r="X450">
        <f t="shared" si="64"/>
        <v>0.52800000000000002</v>
      </c>
      <c r="Y450">
        <v>249.16178059999999</v>
      </c>
      <c r="Z450">
        <v>1</v>
      </c>
      <c r="AA450">
        <v>140316</v>
      </c>
      <c r="AB450">
        <v>49638</v>
      </c>
      <c r="AC450">
        <v>9.1283894000000004E-2</v>
      </c>
      <c r="AD450">
        <v>0.60339869999999995</v>
      </c>
      <c r="AF450">
        <v>9.8005376339999994</v>
      </c>
      <c r="AG450">
        <v>4.3999999999999997E-2</v>
      </c>
      <c r="AH450">
        <v>6.8000000000000005E-2</v>
      </c>
      <c r="AI450">
        <v>0.54400000000000004</v>
      </c>
      <c r="AJ450">
        <v>1.2322916669999999</v>
      </c>
      <c r="AK450">
        <v>6.2605691060000002</v>
      </c>
      <c r="AL450">
        <v>0.14799999999999999</v>
      </c>
      <c r="AM450">
        <v>0.114</v>
      </c>
      <c r="AN450">
        <v>0.52800000000000002</v>
      </c>
    </row>
    <row r="451" spans="1:40">
      <c r="A451">
        <v>2519</v>
      </c>
      <c r="B451" t="s">
        <v>686</v>
      </c>
      <c r="C451" t="s">
        <v>687</v>
      </c>
      <c r="D451" t="s">
        <v>688</v>
      </c>
      <c r="E451">
        <v>689</v>
      </c>
      <c r="F451">
        <v>1441</v>
      </c>
      <c r="G451">
        <v>59.759313679999998</v>
      </c>
      <c r="H451">
        <v>77</v>
      </c>
      <c r="I451">
        <v>9.3418221999999995E-2</v>
      </c>
      <c r="J451">
        <v>1518</v>
      </c>
      <c r="K451">
        <v>16249.506439999999</v>
      </c>
      <c r="L451">
        <v>0.69199999999999995</v>
      </c>
      <c r="M451">
        <v>0.100522193</v>
      </c>
      <c r="N451">
        <v>1</v>
      </c>
      <c r="O451" t="s">
        <v>613</v>
      </c>
      <c r="P451">
        <f t="shared" si="56"/>
        <v>9.1191379309999991</v>
      </c>
      <c r="Q451">
        <f t="shared" si="57"/>
        <v>6.3E-2</v>
      </c>
      <c r="R451">
        <f t="shared" si="58"/>
        <v>3.3000000000000002E-2</v>
      </c>
      <c r="S451">
        <f t="shared" si="59"/>
        <v>0.69199999999999995</v>
      </c>
      <c r="T451">
        <f t="shared" si="60"/>
        <v>1.621470588</v>
      </c>
      <c r="U451">
        <f t="shared" si="61"/>
        <v>5.0582412789999998</v>
      </c>
      <c r="V451">
        <f t="shared" si="62"/>
        <v>0.09</v>
      </c>
      <c r="W451">
        <f t="shared" si="63"/>
        <v>0.14000000000000001</v>
      </c>
      <c r="X451">
        <f t="shared" si="64"/>
        <v>0.65200000000000002</v>
      </c>
      <c r="Y451">
        <v>372.12211250000001</v>
      </c>
      <c r="Z451">
        <v>1</v>
      </c>
      <c r="AA451">
        <v>140316</v>
      </c>
      <c r="AB451">
        <v>49638</v>
      </c>
      <c r="AC451">
        <v>9.1283894000000004E-2</v>
      </c>
      <c r="AD451">
        <v>0.60339869999999995</v>
      </c>
      <c r="AF451">
        <v>9.1191379309999991</v>
      </c>
      <c r="AG451">
        <v>6.3E-2</v>
      </c>
      <c r="AH451">
        <v>3.3000000000000002E-2</v>
      </c>
      <c r="AI451">
        <v>0.69199999999999995</v>
      </c>
      <c r="AJ451">
        <v>1.621470588</v>
      </c>
      <c r="AK451">
        <v>5.0582412789999998</v>
      </c>
      <c r="AL451">
        <v>0.09</v>
      </c>
      <c r="AM451">
        <v>0.14000000000000001</v>
      </c>
      <c r="AN451">
        <v>0.65200000000000002</v>
      </c>
    </row>
    <row r="452" spans="1:40">
      <c r="A452">
        <v>2520</v>
      </c>
      <c r="B452" t="s">
        <v>686</v>
      </c>
      <c r="C452" t="s">
        <v>687</v>
      </c>
      <c r="D452" t="s">
        <v>688</v>
      </c>
      <c r="E452">
        <v>1209</v>
      </c>
      <c r="F452">
        <v>2336</v>
      </c>
      <c r="G452">
        <v>46.980160060000003</v>
      </c>
      <c r="H452">
        <v>1993</v>
      </c>
      <c r="I452">
        <v>7.3435421000000001E-2</v>
      </c>
      <c r="J452">
        <v>4329</v>
      </c>
      <c r="K452">
        <v>58949.753960000002</v>
      </c>
      <c r="L452">
        <v>0.55800000000000005</v>
      </c>
      <c r="M452">
        <v>0.622423485</v>
      </c>
      <c r="N452">
        <v>1</v>
      </c>
      <c r="O452" t="s">
        <v>606</v>
      </c>
      <c r="P452">
        <f t="shared" si="56"/>
        <v>12.889230769999999</v>
      </c>
      <c r="Q452">
        <f t="shared" si="57"/>
        <v>8.5000000000000006E-2</v>
      </c>
      <c r="R452">
        <f t="shared" si="58"/>
        <v>3.6999999999999998E-2</v>
      </c>
      <c r="S452">
        <f t="shared" si="59"/>
        <v>0.55800000000000005</v>
      </c>
      <c r="T452">
        <f t="shared" si="60"/>
        <v>1.548547009</v>
      </c>
      <c r="U452">
        <f t="shared" si="61"/>
        <v>7.1140080049999996</v>
      </c>
      <c r="V452">
        <f t="shared" si="62"/>
        <v>7.0000000000000007E-2</v>
      </c>
      <c r="W452">
        <f t="shared" si="63"/>
        <v>0.23499999999999999</v>
      </c>
      <c r="X452">
        <f t="shared" si="64"/>
        <v>0.499</v>
      </c>
      <c r="Y452">
        <v>217.83209719999999</v>
      </c>
      <c r="Z452">
        <v>1</v>
      </c>
      <c r="AA452">
        <v>140316</v>
      </c>
      <c r="AB452">
        <v>49638</v>
      </c>
      <c r="AC452">
        <v>9.1283894000000004E-2</v>
      </c>
      <c r="AD452">
        <v>0.60339869999999995</v>
      </c>
      <c r="AF452">
        <v>12.889230769999999</v>
      </c>
      <c r="AG452">
        <v>8.5000000000000006E-2</v>
      </c>
      <c r="AH452">
        <v>3.6999999999999998E-2</v>
      </c>
      <c r="AI452">
        <v>0.55800000000000005</v>
      </c>
      <c r="AJ452">
        <v>1.548547009</v>
      </c>
      <c r="AK452">
        <v>7.1140080049999996</v>
      </c>
      <c r="AL452">
        <v>7.0000000000000007E-2</v>
      </c>
      <c r="AM452">
        <v>0.23499999999999999</v>
      </c>
      <c r="AN452">
        <v>0.499</v>
      </c>
    </row>
    <row r="453" spans="1:40">
      <c r="A453">
        <v>2521</v>
      </c>
      <c r="B453" t="s">
        <v>686</v>
      </c>
      <c r="C453" t="s">
        <v>687</v>
      </c>
      <c r="D453" t="s">
        <v>688</v>
      </c>
      <c r="E453">
        <v>255</v>
      </c>
      <c r="F453">
        <v>554</v>
      </c>
      <c r="G453">
        <v>33.25477952</v>
      </c>
      <c r="H453">
        <v>98</v>
      </c>
      <c r="I453">
        <v>5.1984088999999997E-2</v>
      </c>
      <c r="J453">
        <v>652</v>
      </c>
      <c r="K453">
        <v>12542.29924</v>
      </c>
      <c r="L453">
        <v>0.81399999999999995</v>
      </c>
      <c r="M453">
        <v>0.27762039700000002</v>
      </c>
      <c r="N453">
        <v>1</v>
      </c>
      <c r="O453" t="s">
        <v>613</v>
      </c>
      <c r="P453">
        <f t="shared" si="56"/>
        <v>12.838961039999999</v>
      </c>
      <c r="Q453">
        <f t="shared" si="57"/>
        <v>5.3999999999999999E-2</v>
      </c>
      <c r="R453">
        <f t="shared" si="58"/>
        <v>0.02</v>
      </c>
      <c r="S453">
        <f t="shared" si="59"/>
        <v>0.81399999999999995</v>
      </c>
      <c r="T453">
        <f t="shared" si="60"/>
        <v>1.95875</v>
      </c>
      <c r="U453">
        <f t="shared" si="61"/>
        <v>7.5709570959999999</v>
      </c>
      <c r="V453">
        <f t="shared" si="62"/>
        <v>2.3E-2</v>
      </c>
      <c r="W453">
        <f t="shared" si="63"/>
        <v>5.8000000000000003E-2</v>
      </c>
      <c r="X453">
        <f t="shared" si="64"/>
        <v>0.89500000000000002</v>
      </c>
      <c r="Y453">
        <v>310.44532889999999</v>
      </c>
      <c r="Z453">
        <v>1</v>
      </c>
      <c r="AA453">
        <v>140316</v>
      </c>
      <c r="AB453">
        <v>49638</v>
      </c>
      <c r="AC453">
        <v>9.1283894000000004E-2</v>
      </c>
      <c r="AD453">
        <v>0.60339869999999995</v>
      </c>
      <c r="AF453">
        <v>12.838961039999999</v>
      </c>
      <c r="AG453">
        <v>5.3999999999999999E-2</v>
      </c>
      <c r="AH453">
        <v>0.02</v>
      </c>
      <c r="AI453">
        <v>0.81399999999999995</v>
      </c>
      <c r="AJ453">
        <v>1.95875</v>
      </c>
      <c r="AK453">
        <v>7.5709570959999999</v>
      </c>
      <c r="AL453">
        <v>2.3E-2</v>
      </c>
      <c r="AM453">
        <v>5.8000000000000003E-2</v>
      </c>
      <c r="AN453">
        <v>0.89500000000000002</v>
      </c>
    </row>
    <row r="454" spans="1:40">
      <c r="A454">
        <v>2522</v>
      </c>
      <c r="B454" t="s">
        <v>686</v>
      </c>
      <c r="C454" t="s">
        <v>687</v>
      </c>
      <c r="D454" t="s">
        <v>688</v>
      </c>
      <c r="E454">
        <v>514</v>
      </c>
      <c r="F454">
        <v>1077</v>
      </c>
      <c r="G454">
        <v>50.974561569999999</v>
      </c>
      <c r="H454">
        <v>1002</v>
      </c>
      <c r="I454">
        <v>7.9682469000000006E-2</v>
      </c>
      <c r="J454">
        <v>2079</v>
      </c>
      <c r="K454">
        <v>26091.059000000001</v>
      </c>
      <c r="L454">
        <v>0.746</v>
      </c>
      <c r="M454">
        <v>0.660949868</v>
      </c>
      <c r="N454">
        <v>1</v>
      </c>
      <c r="O454" t="s">
        <v>613</v>
      </c>
      <c r="P454">
        <f t="shared" si="56"/>
        <v>14.199241710000001</v>
      </c>
      <c r="Q454">
        <f t="shared" si="57"/>
        <v>7.2999999999999995E-2</v>
      </c>
      <c r="R454">
        <f t="shared" si="58"/>
        <v>2.1000000000000001E-2</v>
      </c>
      <c r="S454">
        <f t="shared" si="59"/>
        <v>0.746</v>
      </c>
      <c r="T454">
        <f t="shared" si="60"/>
        <v>2.4338235290000001</v>
      </c>
      <c r="U454">
        <f t="shared" si="61"/>
        <v>7.8806899489999997</v>
      </c>
      <c r="V454">
        <f t="shared" si="62"/>
        <v>5.0999999999999997E-2</v>
      </c>
      <c r="W454">
        <f t="shared" si="63"/>
        <v>0.184</v>
      </c>
      <c r="X454">
        <f t="shared" si="64"/>
        <v>0.67</v>
      </c>
      <c r="Y454">
        <v>192.48973799999999</v>
      </c>
      <c r="Z454">
        <v>1</v>
      </c>
      <c r="AA454">
        <v>140316</v>
      </c>
      <c r="AB454">
        <v>49638</v>
      </c>
      <c r="AC454">
        <v>9.1283894000000004E-2</v>
      </c>
      <c r="AD454">
        <v>0.60339869999999995</v>
      </c>
      <c r="AF454">
        <v>14.199241710000001</v>
      </c>
      <c r="AG454">
        <v>7.2999999999999995E-2</v>
      </c>
      <c r="AH454">
        <v>2.1000000000000001E-2</v>
      </c>
      <c r="AI454">
        <v>0.746</v>
      </c>
      <c r="AJ454">
        <v>2.4338235290000001</v>
      </c>
      <c r="AK454">
        <v>7.8806899489999997</v>
      </c>
      <c r="AL454">
        <v>5.0999999999999997E-2</v>
      </c>
      <c r="AM454">
        <v>0.184</v>
      </c>
      <c r="AN454">
        <v>0.67</v>
      </c>
    </row>
    <row r="455" spans="1:40">
      <c r="A455">
        <v>2523</v>
      </c>
      <c r="B455" t="s">
        <v>689</v>
      </c>
      <c r="C455" t="s">
        <v>687</v>
      </c>
      <c r="D455" t="s">
        <v>688</v>
      </c>
      <c r="E455">
        <v>608</v>
      </c>
      <c r="F455">
        <v>1395</v>
      </c>
      <c r="G455">
        <v>93.409510400000002</v>
      </c>
      <c r="H455">
        <v>296</v>
      </c>
      <c r="I455">
        <v>0.14601961399999999</v>
      </c>
      <c r="J455">
        <v>1691</v>
      </c>
      <c r="K455">
        <v>11580.63601</v>
      </c>
      <c r="L455">
        <v>0.79400000000000004</v>
      </c>
      <c r="M455">
        <v>0.32743362799999998</v>
      </c>
      <c r="N455">
        <v>0</v>
      </c>
      <c r="O455" t="s">
        <v>620</v>
      </c>
      <c r="P455">
        <f t="shared" si="56"/>
        <v>9.4112796210000003</v>
      </c>
      <c r="Q455">
        <f t="shared" si="57"/>
        <v>4.4999999999999998E-2</v>
      </c>
      <c r="R455">
        <f t="shared" si="58"/>
        <v>0.04</v>
      </c>
      <c r="S455">
        <f t="shared" si="59"/>
        <v>0.79400000000000004</v>
      </c>
      <c r="T455">
        <f t="shared" si="60"/>
        <v>2.4510869569999998</v>
      </c>
      <c r="U455">
        <f t="shared" si="61"/>
        <v>6.9438669669999999</v>
      </c>
      <c r="V455">
        <f t="shared" si="62"/>
        <v>8.5999999999999993E-2</v>
      </c>
      <c r="W455">
        <f t="shared" si="63"/>
        <v>9.2999999999999999E-2</v>
      </c>
      <c r="X455">
        <f t="shared" si="64"/>
        <v>0.78700000000000003</v>
      </c>
      <c r="Y455">
        <v>125.4446399</v>
      </c>
      <c r="Z455">
        <v>0</v>
      </c>
      <c r="AA455">
        <v>454184</v>
      </c>
      <c r="AB455">
        <v>170596</v>
      </c>
      <c r="AC455">
        <v>6.5715274000000004E-2</v>
      </c>
      <c r="AD455">
        <v>0.72549415100000003</v>
      </c>
      <c r="AF455">
        <v>9.4112796210000003</v>
      </c>
      <c r="AG455">
        <v>4.4999999999999998E-2</v>
      </c>
      <c r="AH455">
        <v>0.04</v>
      </c>
      <c r="AI455">
        <v>0.79400000000000004</v>
      </c>
      <c r="AJ455">
        <v>2.4510869569999998</v>
      </c>
      <c r="AK455">
        <v>6.9438669669999999</v>
      </c>
      <c r="AL455">
        <v>8.5999999999999993E-2</v>
      </c>
      <c r="AM455">
        <v>9.2999999999999999E-2</v>
      </c>
      <c r="AN455">
        <v>0.78700000000000003</v>
      </c>
    </row>
    <row r="456" spans="1:40">
      <c r="A456">
        <v>2524</v>
      </c>
      <c r="B456" t="s">
        <v>689</v>
      </c>
      <c r="C456" t="s">
        <v>687</v>
      </c>
      <c r="D456" t="s">
        <v>688</v>
      </c>
      <c r="E456">
        <v>554</v>
      </c>
      <c r="F456">
        <v>1508</v>
      </c>
      <c r="G456">
        <v>193.97074950000001</v>
      </c>
      <c r="H456">
        <v>404</v>
      </c>
      <c r="I456">
        <v>0.30320845699999999</v>
      </c>
      <c r="J456">
        <v>1912</v>
      </c>
      <c r="K456">
        <v>6305.892715</v>
      </c>
      <c r="L456">
        <v>0.79600000000000004</v>
      </c>
      <c r="M456">
        <v>0.42171189999999997</v>
      </c>
      <c r="N456">
        <v>0</v>
      </c>
      <c r="O456" t="s">
        <v>620</v>
      </c>
      <c r="P456">
        <f t="shared" si="56"/>
        <v>14.266685710000001</v>
      </c>
      <c r="Q456">
        <f t="shared" si="57"/>
        <v>3.5000000000000003E-2</v>
      </c>
      <c r="R456">
        <f t="shared" si="58"/>
        <v>3.5999999999999997E-2</v>
      </c>
      <c r="S456">
        <f t="shared" si="59"/>
        <v>0.79600000000000004</v>
      </c>
      <c r="T456">
        <f t="shared" si="60"/>
        <v>2.7647499999999998</v>
      </c>
      <c r="U456">
        <f t="shared" si="61"/>
        <v>7.8761689810000002</v>
      </c>
      <c r="V456">
        <f t="shared" si="62"/>
        <v>5.6000000000000001E-2</v>
      </c>
      <c r="W456">
        <f t="shared" si="63"/>
        <v>0.10199999999999999</v>
      </c>
      <c r="X456">
        <f t="shared" si="64"/>
        <v>0.81</v>
      </c>
      <c r="Y456">
        <v>69.630247949999998</v>
      </c>
      <c r="Z456">
        <v>0</v>
      </c>
      <c r="AA456">
        <v>454184</v>
      </c>
      <c r="AB456">
        <v>170596</v>
      </c>
      <c r="AC456">
        <v>6.5715274000000004E-2</v>
      </c>
      <c r="AD456">
        <v>0.72549415100000003</v>
      </c>
      <c r="AF456">
        <v>14.266685710000001</v>
      </c>
      <c r="AG456">
        <v>3.5000000000000003E-2</v>
      </c>
      <c r="AH456">
        <v>3.5999999999999997E-2</v>
      </c>
      <c r="AI456">
        <v>0.79600000000000004</v>
      </c>
      <c r="AJ456">
        <v>2.7647499999999998</v>
      </c>
      <c r="AK456">
        <v>7.8761689810000002</v>
      </c>
      <c r="AL456">
        <v>5.6000000000000001E-2</v>
      </c>
      <c r="AM456">
        <v>0.10199999999999999</v>
      </c>
      <c r="AN456">
        <v>0.81</v>
      </c>
    </row>
    <row r="457" spans="1:40">
      <c r="A457">
        <v>2525</v>
      </c>
      <c r="B457" t="s">
        <v>689</v>
      </c>
      <c r="C457" t="s">
        <v>687</v>
      </c>
      <c r="D457" t="s">
        <v>688</v>
      </c>
      <c r="E457">
        <v>343</v>
      </c>
      <c r="F457">
        <v>813</v>
      </c>
      <c r="G457">
        <v>51.583897059999998</v>
      </c>
      <c r="H457">
        <v>0</v>
      </c>
      <c r="I457">
        <v>8.0630084000000005E-2</v>
      </c>
      <c r="J457">
        <v>813</v>
      </c>
      <c r="K457">
        <v>10083.08512</v>
      </c>
      <c r="L457">
        <v>0.76900000000000002</v>
      </c>
      <c r="M457">
        <v>0</v>
      </c>
      <c r="N457">
        <v>0</v>
      </c>
      <c r="O457" t="s">
        <v>613</v>
      </c>
      <c r="P457">
        <f t="shared" si="56"/>
        <v>11.926451610000001</v>
      </c>
      <c r="Q457">
        <f t="shared" si="57"/>
        <v>3.5000000000000003E-2</v>
      </c>
      <c r="R457">
        <f t="shared" si="58"/>
        <v>4.3999999999999997E-2</v>
      </c>
      <c r="S457">
        <f t="shared" si="59"/>
        <v>0.76900000000000002</v>
      </c>
      <c r="T457">
        <f t="shared" si="60"/>
        <v>3.0255000000000001</v>
      </c>
      <c r="U457">
        <f t="shared" si="61"/>
        <v>6.9477544910000004</v>
      </c>
      <c r="V457">
        <f t="shared" si="62"/>
        <v>6.2E-2</v>
      </c>
      <c r="W457">
        <f t="shared" si="63"/>
        <v>0.16</v>
      </c>
      <c r="X457">
        <f t="shared" si="64"/>
        <v>0.76500000000000001</v>
      </c>
      <c r="Y457">
        <v>115.7302143</v>
      </c>
      <c r="Z457">
        <v>0</v>
      </c>
      <c r="AA457">
        <v>454184</v>
      </c>
      <c r="AB457">
        <v>170596</v>
      </c>
      <c r="AC457">
        <v>6.5715274000000004E-2</v>
      </c>
      <c r="AD457">
        <v>0.72549415100000003</v>
      </c>
      <c r="AF457">
        <v>11.926451610000001</v>
      </c>
      <c r="AG457">
        <v>3.5000000000000003E-2</v>
      </c>
      <c r="AH457">
        <v>4.3999999999999997E-2</v>
      </c>
      <c r="AI457">
        <v>0.76900000000000002</v>
      </c>
      <c r="AJ457">
        <v>3.0255000000000001</v>
      </c>
      <c r="AK457">
        <v>6.9477544910000004</v>
      </c>
      <c r="AL457">
        <v>6.2E-2</v>
      </c>
      <c r="AM457">
        <v>0.16</v>
      </c>
      <c r="AN457">
        <v>0.76500000000000001</v>
      </c>
    </row>
    <row r="458" spans="1:40">
      <c r="A458">
        <v>2526</v>
      </c>
      <c r="B458" t="s">
        <v>689</v>
      </c>
      <c r="C458" t="s">
        <v>687</v>
      </c>
      <c r="D458" t="s">
        <v>688</v>
      </c>
      <c r="E458">
        <v>349</v>
      </c>
      <c r="F458">
        <v>989</v>
      </c>
      <c r="G458">
        <v>130.08796380000001</v>
      </c>
      <c r="H458">
        <v>10</v>
      </c>
      <c r="I458">
        <v>0.20334211099999999</v>
      </c>
      <c r="J458">
        <v>999</v>
      </c>
      <c r="K458">
        <v>4912.9026700000004</v>
      </c>
      <c r="L458">
        <v>0.89100000000000001</v>
      </c>
      <c r="M458">
        <v>2.7855153000000001E-2</v>
      </c>
      <c r="N458">
        <v>0</v>
      </c>
      <c r="O458" t="s">
        <v>620</v>
      </c>
      <c r="P458">
        <f t="shared" si="56"/>
        <v>11.84340909</v>
      </c>
      <c r="Q458">
        <f t="shared" si="57"/>
        <v>3.4000000000000002E-2</v>
      </c>
      <c r="R458">
        <f t="shared" si="58"/>
        <v>1.4E-2</v>
      </c>
      <c r="S458">
        <f t="shared" si="59"/>
        <v>0.89100000000000001</v>
      </c>
      <c r="T458">
        <f t="shared" si="60"/>
        <v>1.37</v>
      </c>
      <c r="U458">
        <f t="shared" si="61"/>
        <v>8.8458651029999995</v>
      </c>
      <c r="V458">
        <f t="shared" si="62"/>
        <v>6.2414117647058849E-2</v>
      </c>
      <c r="W458">
        <f t="shared" si="63"/>
        <v>0.10199999999999999</v>
      </c>
      <c r="X458">
        <f t="shared" si="64"/>
        <v>0.89800000000000002</v>
      </c>
      <c r="Y458">
        <v>70.56154325</v>
      </c>
      <c r="Z458">
        <v>0</v>
      </c>
      <c r="AA458">
        <v>454184</v>
      </c>
      <c r="AB458">
        <v>170596</v>
      </c>
      <c r="AC458">
        <v>6.5715274000000004E-2</v>
      </c>
      <c r="AD458">
        <v>0.72549415100000003</v>
      </c>
      <c r="AF458">
        <v>11.84340909</v>
      </c>
      <c r="AG458">
        <v>3.4000000000000002E-2</v>
      </c>
      <c r="AH458">
        <v>1.4E-2</v>
      </c>
      <c r="AI458">
        <v>0.89100000000000001</v>
      </c>
      <c r="AJ458">
        <v>1.37</v>
      </c>
      <c r="AK458">
        <v>8.8458651029999995</v>
      </c>
      <c r="AL458">
        <v>0</v>
      </c>
      <c r="AM458">
        <v>0.10199999999999999</v>
      </c>
      <c r="AN458">
        <v>0.89800000000000002</v>
      </c>
    </row>
    <row r="459" spans="1:40">
      <c r="A459">
        <v>2527</v>
      </c>
      <c r="B459" t="s">
        <v>689</v>
      </c>
      <c r="C459" t="s">
        <v>687</v>
      </c>
      <c r="D459" t="s">
        <v>688</v>
      </c>
      <c r="E459">
        <v>262</v>
      </c>
      <c r="F459">
        <v>711</v>
      </c>
      <c r="G459">
        <v>97.480926339999996</v>
      </c>
      <c r="H459">
        <v>0</v>
      </c>
      <c r="I459">
        <v>0.15237636700000001</v>
      </c>
      <c r="J459">
        <v>711</v>
      </c>
      <c r="K459">
        <v>4666.07791</v>
      </c>
      <c r="L459">
        <v>0.80800000000000005</v>
      </c>
      <c r="M459">
        <v>0</v>
      </c>
      <c r="N459">
        <v>0</v>
      </c>
      <c r="O459" t="s">
        <v>620</v>
      </c>
      <c r="P459">
        <f t="shared" si="56"/>
        <v>12.12560976</v>
      </c>
      <c r="Q459">
        <f t="shared" si="57"/>
        <v>3.5999999999999997E-2</v>
      </c>
      <c r="R459">
        <f t="shared" si="58"/>
        <v>2.4E-2</v>
      </c>
      <c r="S459">
        <f t="shared" si="59"/>
        <v>0.80800000000000005</v>
      </c>
      <c r="T459">
        <f t="shared" si="60"/>
        <v>2.08</v>
      </c>
      <c r="U459">
        <f t="shared" si="61"/>
        <v>7.198049793</v>
      </c>
      <c r="V459">
        <f t="shared" si="62"/>
        <v>3.9E-2</v>
      </c>
      <c r="W459">
        <f t="shared" si="63"/>
        <v>0.157</v>
      </c>
      <c r="X459">
        <f t="shared" si="64"/>
        <v>0.80400000000000005</v>
      </c>
      <c r="Y459">
        <v>78.692677669999995</v>
      </c>
      <c r="Z459">
        <v>0</v>
      </c>
      <c r="AA459">
        <v>454184</v>
      </c>
      <c r="AB459">
        <v>170596</v>
      </c>
      <c r="AC459">
        <v>6.5715274000000004E-2</v>
      </c>
      <c r="AD459">
        <v>0.72549415100000003</v>
      </c>
      <c r="AF459">
        <v>12.12560976</v>
      </c>
      <c r="AG459">
        <v>3.5999999999999997E-2</v>
      </c>
      <c r="AH459">
        <v>2.4E-2</v>
      </c>
      <c r="AI459">
        <v>0.80800000000000005</v>
      </c>
      <c r="AJ459">
        <v>2.08</v>
      </c>
      <c r="AK459">
        <v>7.198049793</v>
      </c>
      <c r="AL459">
        <v>3.9E-2</v>
      </c>
      <c r="AM459">
        <v>0.157</v>
      </c>
      <c r="AN459">
        <v>0.80400000000000005</v>
      </c>
    </row>
    <row r="460" spans="1:40">
      <c r="A460">
        <v>2528</v>
      </c>
      <c r="B460" t="s">
        <v>689</v>
      </c>
      <c r="C460" t="s">
        <v>687</v>
      </c>
      <c r="D460" t="s">
        <v>688</v>
      </c>
      <c r="E460">
        <v>394</v>
      </c>
      <c r="F460">
        <v>1023</v>
      </c>
      <c r="G460">
        <v>53.880556970000001</v>
      </c>
      <c r="H460">
        <v>113</v>
      </c>
      <c r="I460">
        <v>8.4221787000000006E-2</v>
      </c>
      <c r="J460">
        <v>1136</v>
      </c>
      <c r="K460">
        <v>13488.19635</v>
      </c>
      <c r="L460">
        <v>0.79200000000000004</v>
      </c>
      <c r="M460">
        <v>0.22287968399999999</v>
      </c>
      <c r="N460">
        <v>0</v>
      </c>
      <c r="O460" t="s">
        <v>613</v>
      </c>
      <c r="P460">
        <f t="shared" ref="P460:P523" si="65">IF(OR(IFERROR(AF460=0,TRUE),ISERROR(AF460)),AVERAGEIFS(AF:AF,$B:$B,$B460,AF:AF,"&gt;0"),AF460)</f>
        <v>12.64034783</v>
      </c>
      <c r="Q460">
        <f t="shared" ref="Q460:Q523" si="66">IF(OR(IFERROR(AG460=0,TRUE),ISERROR(AG460)),AVERAGEIFS(AG:AG,$B:$B,$B460,AG:AG,"&gt;0"),AG460)</f>
        <v>0.05</v>
      </c>
      <c r="R460">
        <f t="shared" ref="R460:R523" si="67">IF(OR(IFERROR(AH460=0,TRUE),ISERROR(AH460)),AVERAGEIFS(AH:AH,$B:$B,$B460,AH:AH,"&gt;0"),AH460)</f>
        <v>2.4E-2</v>
      </c>
      <c r="S460">
        <f t="shared" ref="S460:S523" si="68">IF(OR(IFERROR(AI460=0,TRUE),ISERROR(AI460)),AVERAGEIFS(AI:AI,$B:$B,$B460,AI:AI,"&gt;0"),AI460)</f>
        <v>0.79200000000000004</v>
      </c>
      <c r="T460">
        <f t="shared" ref="T460:T523" si="69">IF(OR(IFERROR(AJ460=0,TRUE),ISERROR(AJ460)),AVERAGEIFS(AJ:AJ,$B:$B,$B460,AJ:AJ,"&gt;0"),AJ460)</f>
        <v>2.492352941</v>
      </c>
      <c r="U460">
        <f t="shared" ref="U460:U523" si="70">IF(OR(IFERROR(AK460=0,TRUE),ISERROR(AK460)),AVERAGEIFS(AK:AK,$B:$B,$B460,AK:AK,"&gt;0"),AK460)</f>
        <v>7.7612665410000004</v>
      </c>
      <c r="V460">
        <f t="shared" ref="V460:V523" si="71">IF(OR(IFERROR(AL460=0,TRUE),ISERROR(AL460)),AVERAGEIFS(AL:AL,$B:$B,$B460,AL:AL,"&gt;0"),AL460)</f>
        <v>3.5000000000000003E-2</v>
      </c>
      <c r="W460">
        <f t="shared" ref="W460:W523" si="72">IF(OR(IFERROR(AM460=0,TRUE),ISERROR(AM460)),AVERAGEIFS(AM:AM,$B:$B,$B460,AM:AM,"&gt;0"),AM460)</f>
        <v>0.13200000000000001</v>
      </c>
      <c r="X460">
        <f t="shared" ref="X460:X523" si="73">IF(OR(IFERROR(AN460=0,TRUE),ISERROR(AN460)),AVERAGEIFS(AN:AN,$B:$B,$B460,AN:AN,"&gt;0"),AN460)</f>
        <v>0.79900000000000004</v>
      </c>
      <c r="Y460">
        <v>217.26425599999999</v>
      </c>
      <c r="Z460">
        <v>0</v>
      </c>
      <c r="AA460">
        <v>454184</v>
      </c>
      <c r="AB460">
        <v>170596</v>
      </c>
      <c r="AC460">
        <v>6.5715274000000004E-2</v>
      </c>
      <c r="AD460">
        <v>0.72549415100000003</v>
      </c>
      <c r="AF460">
        <v>12.64034783</v>
      </c>
      <c r="AG460">
        <v>0.05</v>
      </c>
      <c r="AH460">
        <v>2.4E-2</v>
      </c>
      <c r="AI460">
        <v>0.79200000000000004</v>
      </c>
      <c r="AJ460">
        <v>2.492352941</v>
      </c>
      <c r="AK460">
        <v>7.7612665410000004</v>
      </c>
      <c r="AL460">
        <v>3.5000000000000003E-2</v>
      </c>
      <c r="AM460">
        <v>0.13200000000000001</v>
      </c>
      <c r="AN460">
        <v>0.79900000000000004</v>
      </c>
    </row>
    <row r="461" spans="1:40">
      <c r="A461">
        <v>2529</v>
      </c>
      <c r="B461" t="s">
        <v>689</v>
      </c>
      <c r="C461" t="s">
        <v>687</v>
      </c>
      <c r="D461" t="s">
        <v>688</v>
      </c>
      <c r="E461">
        <v>263</v>
      </c>
      <c r="F461">
        <v>621</v>
      </c>
      <c r="G461">
        <v>38.044362049999997</v>
      </c>
      <c r="H461">
        <v>4</v>
      </c>
      <c r="I461">
        <v>5.9468824000000003E-2</v>
      </c>
      <c r="J461">
        <v>625</v>
      </c>
      <c r="K461">
        <v>10509.708409999999</v>
      </c>
      <c r="L461">
        <v>0.74199999999999999</v>
      </c>
      <c r="M461">
        <v>1.4981273E-2</v>
      </c>
      <c r="N461">
        <v>0</v>
      </c>
      <c r="O461" t="s">
        <v>613</v>
      </c>
      <c r="P461">
        <f t="shared" si="65"/>
        <v>10.0502</v>
      </c>
      <c r="Q461">
        <f t="shared" si="66"/>
        <v>0.06</v>
      </c>
      <c r="R461">
        <f t="shared" si="67"/>
        <v>0.05</v>
      </c>
      <c r="S461">
        <f t="shared" si="68"/>
        <v>0.74199999999999999</v>
      </c>
      <c r="T461">
        <f t="shared" si="69"/>
        <v>2.685333333</v>
      </c>
      <c r="U461">
        <f t="shared" si="70"/>
        <v>6.4311214950000002</v>
      </c>
      <c r="V461">
        <f t="shared" si="71"/>
        <v>9.9000000000000005E-2</v>
      </c>
      <c r="W461">
        <f t="shared" si="72"/>
        <v>0.19700000000000001</v>
      </c>
      <c r="X461">
        <f t="shared" si="73"/>
        <v>0.70399999999999996</v>
      </c>
      <c r="Y461">
        <v>156.63642590000001</v>
      </c>
      <c r="Z461">
        <v>0</v>
      </c>
      <c r="AA461">
        <v>454184</v>
      </c>
      <c r="AB461">
        <v>170596</v>
      </c>
      <c r="AC461">
        <v>6.5715274000000004E-2</v>
      </c>
      <c r="AD461">
        <v>0.72549415100000003</v>
      </c>
      <c r="AF461">
        <v>10.0502</v>
      </c>
      <c r="AG461">
        <v>0.06</v>
      </c>
      <c r="AH461">
        <v>0.05</v>
      </c>
      <c r="AI461">
        <v>0.74199999999999999</v>
      </c>
      <c r="AJ461">
        <v>2.685333333</v>
      </c>
      <c r="AK461">
        <v>6.4311214950000002</v>
      </c>
      <c r="AL461">
        <v>9.9000000000000005E-2</v>
      </c>
      <c r="AM461">
        <v>0.19700000000000001</v>
      </c>
      <c r="AN461">
        <v>0.70399999999999996</v>
      </c>
    </row>
    <row r="462" spans="1:40">
      <c r="A462">
        <v>2530</v>
      </c>
      <c r="B462" t="s">
        <v>686</v>
      </c>
      <c r="C462" t="s">
        <v>687</v>
      </c>
      <c r="D462" t="s">
        <v>688</v>
      </c>
      <c r="E462">
        <v>864</v>
      </c>
      <c r="F462">
        <v>2026</v>
      </c>
      <c r="G462">
        <v>68.140396210000006</v>
      </c>
      <c r="H462">
        <v>971</v>
      </c>
      <c r="I462">
        <v>0.106521543</v>
      </c>
      <c r="J462">
        <v>2997</v>
      </c>
      <c r="K462">
        <v>28135.153839999999</v>
      </c>
      <c r="L462">
        <v>0.73</v>
      </c>
      <c r="M462">
        <v>0.52915531299999996</v>
      </c>
      <c r="N462">
        <v>1</v>
      </c>
      <c r="O462" t="s">
        <v>613</v>
      </c>
      <c r="P462">
        <f t="shared" si="65"/>
        <v>11.54463415</v>
      </c>
      <c r="Q462">
        <f t="shared" si="66"/>
        <v>7.0999999999999994E-2</v>
      </c>
      <c r="R462">
        <f t="shared" si="67"/>
        <v>3.5000000000000003E-2</v>
      </c>
      <c r="S462">
        <f t="shared" si="68"/>
        <v>0.73</v>
      </c>
      <c r="T462">
        <f t="shared" si="69"/>
        <v>1.8040963860000001</v>
      </c>
      <c r="U462">
        <f t="shared" si="70"/>
        <v>6.1752263369999998</v>
      </c>
      <c r="V462">
        <f t="shared" si="71"/>
        <v>8.5000000000000006E-2</v>
      </c>
      <c r="W462">
        <f t="shared" si="72"/>
        <v>0.21199999999999999</v>
      </c>
      <c r="X462">
        <f t="shared" si="73"/>
        <v>0.64900000000000002</v>
      </c>
      <c r="Y462">
        <v>168.98072590000001</v>
      </c>
      <c r="Z462">
        <v>1</v>
      </c>
      <c r="AA462">
        <v>140316</v>
      </c>
      <c r="AB462">
        <v>49638</v>
      </c>
      <c r="AC462">
        <v>9.1283894000000004E-2</v>
      </c>
      <c r="AD462">
        <v>0.60339869999999995</v>
      </c>
      <c r="AF462">
        <v>11.54463415</v>
      </c>
      <c r="AG462">
        <v>7.0999999999999994E-2</v>
      </c>
      <c r="AH462">
        <v>3.5000000000000003E-2</v>
      </c>
      <c r="AI462">
        <v>0.73</v>
      </c>
      <c r="AJ462">
        <v>1.8040963860000001</v>
      </c>
      <c r="AK462">
        <v>6.1752263369999998</v>
      </c>
      <c r="AL462">
        <v>8.5000000000000006E-2</v>
      </c>
      <c r="AM462">
        <v>0.21199999999999999</v>
      </c>
      <c r="AN462">
        <v>0.64900000000000002</v>
      </c>
    </row>
    <row r="463" spans="1:40">
      <c r="A463">
        <v>2531</v>
      </c>
      <c r="B463" t="s">
        <v>686</v>
      </c>
      <c r="C463" t="s">
        <v>687</v>
      </c>
      <c r="D463" t="s">
        <v>688</v>
      </c>
      <c r="E463">
        <v>323</v>
      </c>
      <c r="F463">
        <v>731</v>
      </c>
      <c r="G463">
        <v>38.921791429999999</v>
      </c>
      <c r="H463">
        <v>137</v>
      </c>
      <c r="I463">
        <v>6.0839113E-2</v>
      </c>
      <c r="J463">
        <v>868</v>
      </c>
      <c r="K463">
        <v>14267.13766</v>
      </c>
      <c r="L463">
        <v>0.70599999999999996</v>
      </c>
      <c r="M463">
        <v>0.29782608700000002</v>
      </c>
      <c r="N463">
        <v>0</v>
      </c>
      <c r="O463" t="s">
        <v>613</v>
      </c>
      <c r="P463">
        <f t="shared" si="65"/>
        <v>10.0244</v>
      </c>
      <c r="Q463">
        <f t="shared" si="66"/>
        <v>6.0999999999999999E-2</v>
      </c>
      <c r="R463">
        <f t="shared" si="67"/>
        <v>0.03</v>
      </c>
      <c r="S463">
        <f t="shared" si="68"/>
        <v>0.70599999999999996</v>
      </c>
      <c r="T463">
        <f t="shared" si="69"/>
        <v>2.0661111110000001</v>
      </c>
      <c r="U463">
        <f t="shared" si="70"/>
        <v>6.3849275360000002</v>
      </c>
      <c r="V463">
        <f t="shared" si="71"/>
        <v>7.1999999999999995E-2</v>
      </c>
      <c r="W463">
        <f t="shared" si="72"/>
        <v>0.151</v>
      </c>
      <c r="X463">
        <f t="shared" si="73"/>
        <v>0.71899999999999997</v>
      </c>
      <c r="Y463">
        <v>142.58884359999999</v>
      </c>
      <c r="Z463">
        <v>1</v>
      </c>
      <c r="AA463">
        <v>140316</v>
      </c>
      <c r="AB463">
        <v>49638</v>
      </c>
      <c r="AC463">
        <v>9.1283894000000004E-2</v>
      </c>
      <c r="AD463">
        <v>0.60339869999999995</v>
      </c>
      <c r="AF463">
        <v>10.0244</v>
      </c>
      <c r="AG463">
        <v>6.0999999999999999E-2</v>
      </c>
      <c r="AH463">
        <v>0.03</v>
      </c>
      <c r="AI463">
        <v>0.70599999999999996</v>
      </c>
      <c r="AJ463">
        <v>2.0661111110000001</v>
      </c>
      <c r="AK463">
        <v>6.3849275360000002</v>
      </c>
      <c r="AL463">
        <v>7.1999999999999995E-2</v>
      </c>
      <c r="AM463">
        <v>0.151</v>
      </c>
      <c r="AN463">
        <v>0.71899999999999997</v>
      </c>
    </row>
    <row r="464" spans="1:40">
      <c r="A464">
        <v>2532</v>
      </c>
      <c r="B464" t="s">
        <v>686</v>
      </c>
      <c r="C464" t="s">
        <v>687</v>
      </c>
      <c r="D464" t="s">
        <v>688</v>
      </c>
      <c r="E464">
        <v>415</v>
      </c>
      <c r="F464">
        <v>917</v>
      </c>
      <c r="G464">
        <v>39.790281659999998</v>
      </c>
      <c r="H464">
        <v>69</v>
      </c>
      <c r="I464">
        <v>6.2200528999999997E-2</v>
      </c>
      <c r="J464">
        <v>986</v>
      </c>
      <c r="K464">
        <v>15851.95521</v>
      </c>
      <c r="L464">
        <v>0.67</v>
      </c>
      <c r="M464">
        <v>0.142561983</v>
      </c>
      <c r="N464">
        <v>0</v>
      </c>
      <c r="O464" t="s">
        <v>613</v>
      </c>
      <c r="P464">
        <f t="shared" si="65"/>
        <v>9.0691666669999993</v>
      </c>
      <c r="Q464">
        <f t="shared" si="66"/>
        <v>0.105</v>
      </c>
      <c r="R464">
        <f t="shared" si="67"/>
        <v>4.7E-2</v>
      </c>
      <c r="S464">
        <f t="shared" si="68"/>
        <v>0.67</v>
      </c>
      <c r="T464">
        <f t="shared" si="69"/>
        <v>2.266</v>
      </c>
      <c r="U464">
        <f t="shared" si="70"/>
        <v>4.9538574940000002</v>
      </c>
      <c r="V464">
        <f t="shared" si="71"/>
        <v>0.122</v>
      </c>
      <c r="W464">
        <f t="shared" si="72"/>
        <v>0.24399999999999999</v>
      </c>
      <c r="X464">
        <f t="shared" si="73"/>
        <v>0.58499999999999996</v>
      </c>
      <c r="Y464">
        <v>144.79480670000001</v>
      </c>
      <c r="Z464">
        <v>1</v>
      </c>
      <c r="AA464">
        <v>140316</v>
      </c>
      <c r="AB464">
        <v>49638</v>
      </c>
      <c r="AC464">
        <v>9.1283894000000004E-2</v>
      </c>
      <c r="AD464">
        <v>0.60339869999999995</v>
      </c>
      <c r="AF464">
        <v>9.0691666669999993</v>
      </c>
      <c r="AG464">
        <v>0.105</v>
      </c>
      <c r="AH464">
        <v>4.7E-2</v>
      </c>
      <c r="AI464">
        <v>0.67</v>
      </c>
      <c r="AJ464">
        <v>2.266</v>
      </c>
      <c r="AK464">
        <v>4.9538574940000002</v>
      </c>
      <c r="AL464">
        <v>0.122</v>
      </c>
      <c r="AM464">
        <v>0.24399999999999999</v>
      </c>
      <c r="AN464">
        <v>0.58499999999999996</v>
      </c>
    </row>
    <row r="465" spans="1:40">
      <c r="A465">
        <v>2533</v>
      </c>
      <c r="B465" t="s">
        <v>689</v>
      </c>
      <c r="C465" t="s">
        <v>687</v>
      </c>
      <c r="D465" t="s">
        <v>688</v>
      </c>
      <c r="E465">
        <v>354</v>
      </c>
      <c r="F465">
        <v>952</v>
      </c>
      <c r="G465">
        <v>50.644919360000003</v>
      </c>
      <c r="H465">
        <v>122</v>
      </c>
      <c r="I465">
        <v>7.9161585000000007E-2</v>
      </c>
      <c r="J465">
        <v>1074</v>
      </c>
      <c r="K465">
        <v>13567.186659999999</v>
      </c>
      <c r="L465">
        <v>0.69499999999999995</v>
      </c>
      <c r="M465">
        <v>0.25630252100000001</v>
      </c>
      <c r="N465">
        <v>1</v>
      </c>
      <c r="O465" t="s">
        <v>613</v>
      </c>
      <c r="P465">
        <f t="shared" si="65"/>
        <v>8.0157746480000007</v>
      </c>
      <c r="Q465">
        <f t="shared" si="66"/>
        <v>9.4E-2</v>
      </c>
      <c r="R465">
        <f t="shared" si="67"/>
        <v>3.6999999999999998E-2</v>
      </c>
      <c r="S465">
        <f t="shared" si="68"/>
        <v>0.69499999999999995</v>
      </c>
      <c r="T465">
        <f t="shared" si="69"/>
        <v>2.797727273</v>
      </c>
      <c r="U465">
        <f t="shared" si="70"/>
        <v>5.1038987340000004</v>
      </c>
      <c r="V465">
        <f t="shared" si="71"/>
        <v>0.123</v>
      </c>
      <c r="W465">
        <f t="shared" si="72"/>
        <v>0.23100000000000001</v>
      </c>
      <c r="X465">
        <f t="shared" si="73"/>
        <v>0.54600000000000004</v>
      </c>
      <c r="Y465">
        <v>147.40116990000001</v>
      </c>
      <c r="Z465">
        <v>0</v>
      </c>
      <c r="AA465">
        <v>454184</v>
      </c>
      <c r="AB465">
        <v>170596</v>
      </c>
      <c r="AC465">
        <v>6.5715274000000004E-2</v>
      </c>
      <c r="AD465">
        <v>0.72549415100000003</v>
      </c>
      <c r="AF465">
        <v>8.0157746480000007</v>
      </c>
      <c r="AG465">
        <v>9.4E-2</v>
      </c>
      <c r="AH465">
        <v>3.6999999999999998E-2</v>
      </c>
      <c r="AI465">
        <v>0.69499999999999995</v>
      </c>
      <c r="AJ465">
        <v>2.797727273</v>
      </c>
      <c r="AK465">
        <v>5.1038987340000004</v>
      </c>
      <c r="AL465">
        <v>0.123</v>
      </c>
      <c r="AM465">
        <v>0.23100000000000001</v>
      </c>
      <c r="AN465">
        <v>0.54600000000000004</v>
      </c>
    </row>
    <row r="466" spans="1:40">
      <c r="A466">
        <v>2534</v>
      </c>
      <c r="B466" t="s">
        <v>689</v>
      </c>
      <c r="C466" t="s">
        <v>687</v>
      </c>
      <c r="D466" t="s">
        <v>688</v>
      </c>
      <c r="E466">
        <v>355</v>
      </c>
      <c r="F466">
        <v>881</v>
      </c>
      <c r="G466">
        <v>36.013400259999997</v>
      </c>
      <c r="H466">
        <v>62</v>
      </c>
      <c r="I466">
        <v>5.6302708999999999E-2</v>
      </c>
      <c r="J466">
        <v>943</v>
      </c>
      <c r="K466">
        <v>16748.750049999999</v>
      </c>
      <c r="L466">
        <v>0.66400000000000003</v>
      </c>
      <c r="M466">
        <v>0.14868105500000001</v>
      </c>
      <c r="N466">
        <v>1</v>
      </c>
      <c r="O466" t="s">
        <v>613</v>
      </c>
      <c r="P466">
        <f t="shared" si="65"/>
        <v>9.0563333329999995</v>
      </c>
      <c r="Q466">
        <f t="shared" si="66"/>
        <v>0.114</v>
      </c>
      <c r="R466">
        <f t="shared" si="67"/>
        <v>2.8000000000000001E-2</v>
      </c>
      <c r="S466">
        <f t="shared" si="68"/>
        <v>0.66400000000000003</v>
      </c>
      <c r="T466">
        <f t="shared" si="69"/>
        <v>1.848333333</v>
      </c>
      <c r="U466">
        <f t="shared" si="70"/>
        <v>5.3972463770000001</v>
      </c>
      <c r="V466">
        <f t="shared" si="71"/>
        <v>9.4E-2</v>
      </c>
      <c r="W466">
        <f t="shared" si="72"/>
        <v>0.245</v>
      </c>
      <c r="X466">
        <f t="shared" si="73"/>
        <v>0.56599999999999995</v>
      </c>
      <c r="Y466">
        <v>125.186109</v>
      </c>
      <c r="Z466">
        <v>0</v>
      </c>
      <c r="AA466">
        <v>454184</v>
      </c>
      <c r="AB466">
        <v>170596</v>
      </c>
      <c r="AC466">
        <v>6.5715274000000004E-2</v>
      </c>
      <c r="AD466">
        <v>0.72549415100000003</v>
      </c>
      <c r="AF466">
        <v>9.0563333329999995</v>
      </c>
      <c r="AG466">
        <v>0.114</v>
      </c>
      <c r="AH466">
        <v>2.8000000000000001E-2</v>
      </c>
      <c r="AI466">
        <v>0.66400000000000003</v>
      </c>
      <c r="AJ466">
        <v>1.848333333</v>
      </c>
      <c r="AK466">
        <v>5.3972463770000001</v>
      </c>
      <c r="AL466">
        <v>9.4E-2</v>
      </c>
      <c r="AM466">
        <v>0.245</v>
      </c>
      <c r="AN466">
        <v>0.56599999999999995</v>
      </c>
    </row>
    <row r="467" spans="1:40">
      <c r="A467">
        <v>2535</v>
      </c>
      <c r="B467" t="s">
        <v>686</v>
      </c>
      <c r="C467" t="s">
        <v>687</v>
      </c>
      <c r="D467" t="s">
        <v>688</v>
      </c>
      <c r="E467">
        <v>316</v>
      </c>
      <c r="F467">
        <v>1578</v>
      </c>
      <c r="G467">
        <v>43.983800909999999</v>
      </c>
      <c r="H467">
        <v>16</v>
      </c>
      <c r="I467">
        <v>6.8754377000000005E-2</v>
      </c>
      <c r="J467">
        <v>1594</v>
      </c>
      <c r="K467">
        <v>23183.97853</v>
      </c>
      <c r="L467">
        <v>0.41199999999999998</v>
      </c>
      <c r="M467">
        <v>4.8192771000000002E-2</v>
      </c>
      <c r="N467">
        <v>0</v>
      </c>
      <c r="O467" t="s">
        <v>606</v>
      </c>
      <c r="P467">
        <f t="shared" si="65"/>
        <v>9.5643750000000001</v>
      </c>
      <c r="Q467">
        <f t="shared" si="66"/>
        <v>0.124</v>
      </c>
      <c r="R467">
        <f t="shared" si="67"/>
        <v>6.6000000000000003E-2</v>
      </c>
      <c r="S467">
        <f t="shared" si="68"/>
        <v>0.41199999999999998</v>
      </c>
      <c r="T467">
        <f t="shared" si="69"/>
        <v>1.283653846</v>
      </c>
      <c r="U467">
        <f t="shared" si="70"/>
        <v>6.0241875</v>
      </c>
      <c r="V467">
        <f t="shared" si="71"/>
        <v>0.123</v>
      </c>
      <c r="W467">
        <f t="shared" si="72"/>
        <v>0.218</v>
      </c>
      <c r="X467">
        <f t="shared" si="73"/>
        <v>0.44700000000000001</v>
      </c>
      <c r="Y467">
        <v>137.83998560000001</v>
      </c>
      <c r="Z467">
        <v>1</v>
      </c>
      <c r="AA467">
        <v>140316</v>
      </c>
      <c r="AB467">
        <v>49638</v>
      </c>
      <c r="AC467">
        <v>9.1283894000000004E-2</v>
      </c>
      <c r="AD467">
        <v>0.60339869999999995</v>
      </c>
      <c r="AF467">
        <v>9.5643750000000001</v>
      </c>
      <c r="AG467">
        <v>0.124</v>
      </c>
      <c r="AH467">
        <v>6.6000000000000003E-2</v>
      </c>
      <c r="AI467">
        <v>0.41199999999999998</v>
      </c>
      <c r="AJ467">
        <v>1.283653846</v>
      </c>
      <c r="AK467">
        <v>6.0241875</v>
      </c>
      <c r="AL467">
        <v>0.123</v>
      </c>
      <c r="AM467">
        <v>0.218</v>
      </c>
      <c r="AN467">
        <v>0.44700000000000001</v>
      </c>
    </row>
    <row r="468" spans="1:40">
      <c r="A468">
        <v>2536</v>
      </c>
      <c r="B468" t="s">
        <v>686</v>
      </c>
      <c r="C468" t="s">
        <v>687</v>
      </c>
      <c r="D468" t="s">
        <v>688</v>
      </c>
      <c r="E468">
        <v>614</v>
      </c>
      <c r="F468">
        <v>1656</v>
      </c>
      <c r="G468">
        <v>54.901407560000003</v>
      </c>
      <c r="H468">
        <v>157</v>
      </c>
      <c r="I468">
        <v>8.5814608000000001E-2</v>
      </c>
      <c r="J468">
        <v>1813</v>
      </c>
      <c r="K468">
        <v>21126.939129999999</v>
      </c>
      <c r="L468">
        <v>0.69599999999999995</v>
      </c>
      <c r="M468">
        <v>0.203631647</v>
      </c>
      <c r="N468">
        <v>0</v>
      </c>
      <c r="O468" t="s">
        <v>613</v>
      </c>
      <c r="P468">
        <f t="shared" si="65"/>
        <v>9.6501973680000006</v>
      </c>
      <c r="Q468">
        <f t="shared" si="66"/>
        <v>9.7000000000000003E-2</v>
      </c>
      <c r="R468">
        <f t="shared" si="67"/>
        <v>3.5999999999999997E-2</v>
      </c>
      <c r="S468">
        <f t="shared" si="68"/>
        <v>0.69599999999999995</v>
      </c>
      <c r="T468">
        <f t="shared" si="69"/>
        <v>2.2135714289999999</v>
      </c>
      <c r="U468">
        <f t="shared" si="70"/>
        <v>5.5285984849999998</v>
      </c>
      <c r="V468">
        <f t="shared" si="71"/>
        <v>0.10199999999999999</v>
      </c>
      <c r="W468">
        <f t="shared" si="72"/>
        <v>0.14199999999999999</v>
      </c>
      <c r="X468">
        <f t="shared" si="73"/>
        <v>0.67600000000000005</v>
      </c>
      <c r="Y468">
        <v>147.61783840000001</v>
      </c>
      <c r="Z468">
        <v>1</v>
      </c>
      <c r="AA468">
        <v>140316</v>
      </c>
      <c r="AB468">
        <v>49638</v>
      </c>
      <c r="AC468">
        <v>9.1283894000000004E-2</v>
      </c>
      <c r="AD468">
        <v>0.60339869999999995</v>
      </c>
      <c r="AF468">
        <v>9.6501973680000006</v>
      </c>
      <c r="AG468">
        <v>9.7000000000000003E-2</v>
      </c>
      <c r="AH468">
        <v>3.5999999999999997E-2</v>
      </c>
      <c r="AI468">
        <v>0.69599999999999995</v>
      </c>
      <c r="AJ468">
        <v>2.2135714289999999</v>
      </c>
      <c r="AK468">
        <v>5.5285984849999998</v>
      </c>
      <c r="AL468">
        <v>0.10199999999999999</v>
      </c>
      <c r="AM468">
        <v>0.14199999999999999</v>
      </c>
      <c r="AN468">
        <v>0.67600000000000005</v>
      </c>
    </row>
    <row r="469" spans="1:40">
      <c r="A469">
        <v>2537</v>
      </c>
      <c r="B469" t="s">
        <v>686</v>
      </c>
      <c r="C469" t="s">
        <v>687</v>
      </c>
      <c r="D469" t="s">
        <v>688</v>
      </c>
      <c r="E469">
        <v>805</v>
      </c>
      <c r="F469">
        <v>1751</v>
      </c>
      <c r="G469">
        <v>59.707240310000003</v>
      </c>
      <c r="H469">
        <v>251</v>
      </c>
      <c r="I469">
        <v>9.3326212000000006E-2</v>
      </c>
      <c r="J469">
        <v>2002</v>
      </c>
      <c r="K469">
        <v>21451.636760000001</v>
      </c>
      <c r="L469">
        <v>0.61199999999999999</v>
      </c>
      <c r="M469">
        <v>0.237689394</v>
      </c>
      <c r="N469">
        <v>1</v>
      </c>
      <c r="O469" t="s">
        <v>606</v>
      </c>
      <c r="P469">
        <f t="shared" si="65"/>
        <v>12.800526319999999</v>
      </c>
      <c r="Q469">
        <f t="shared" si="66"/>
        <v>9.4E-2</v>
      </c>
      <c r="R469">
        <f t="shared" si="67"/>
        <v>4.8000000000000001E-2</v>
      </c>
      <c r="S469">
        <f t="shared" si="68"/>
        <v>0.61199999999999999</v>
      </c>
      <c r="T469">
        <f t="shared" si="69"/>
        <v>1.615769231</v>
      </c>
      <c r="U469">
        <f t="shared" si="70"/>
        <v>6.2565341810000001</v>
      </c>
      <c r="V469">
        <f t="shared" si="71"/>
        <v>0.10299999999999999</v>
      </c>
      <c r="W469">
        <f t="shared" si="72"/>
        <v>0.254</v>
      </c>
      <c r="X469">
        <f t="shared" si="73"/>
        <v>0.50900000000000001</v>
      </c>
      <c r="Y469">
        <v>132.8558797</v>
      </c>
      <c r="Z469">
        <v>1</v>
      </c>
      <c r="AA469">
        <v>140316</v>
      </c>
      <c r="AB469">
        <v>49638</v>
      </c>
      <c r="AC469">
        <v>9.1283894000000004E-2</v>
      </c>
      <c r="AD469">
        <v>0.60339869999999995</v>
      </c>
      <c r="AF469">
        <v>12.800526319999999</v>
      </c>
      <c r="AG469">
        <v>9.4E-2</v>
      </c>
      <c r="AH469">
        <v>4.8000000000000001E-2</v>
      </c>
      <c r="AI469">
        <v>0.61199999999999999</v>
      </c>
      <c r="AJ469">
        <v>1.615769231</v>
      </c>
      <c r="AK469">
        <v>6.2565341810000001</v>
      </c>
      <c r="AL469">
        <v>0.10299999999999999</v>
      </c>
      <c r="AM469">
        <v>0.254</v>
      </c>
      <c r="AN469">
        <v>0.50900000000000001</v>
      </c>
    </row>
    <row r="470" spans="1:40">
      <c r="A470">
        <v>2538</v>
      </c>
      <c r="B470" t="s">
        <v>691</v>
      </c>
      <c r="C470" t="s">
        <v>684</v>
      </c>
      <c r="D470" t="s">
        <v>685</v>
      </c>
      <c r="E470">
        <v>305</v>
      </c>
      <c r="F470">
        <v>971</v>
      </c>
      <c r="G470">
        <v>73.466676399999997</v>
      </c>
      <c r="H470">
        <v>246</v>
      </c>
      <c r="I470">
        <v>0.114834675</v>
      </c>
      <c r="J470">
        <v>1217</v>
      </c>
      <c r="K470">
        <v>10597.84425</v>
      </c>
      <c r="L470">
        <v>0.82299999999999995</v>
      </c>
      <c r="M470">
        <v>0.44646098000000001</v>
      </c>
      <c r="N470">
        <v>0</v>
      </c>
      <c r="O470" t="s">
        <v>620</v>
      </c>
      <c r="P470">
        <f t="shared" si="65"/>
        <v>14.134888889999999</v>
      </c>
      <c r="Q470">
        <f t="shared" si="66"/>
        <v>0.02</v>
      </c>
      <c r="R470">
        <f t="shared" si="67"/>
        <v>1.2999999999999999E-2</v>
      </c>
      <c r="S470">
        <f t="shared" si="68"/>
        <v>0.82299999999999995</v>
      </c>
      <c r="T470">
        <f t="shared" si="69"/>
        <v>2.332142857</v>
      </c>
      <c r="U470">
        <f t="shared" si="70"/>
        <v>6.3736298079999996</v>
      </c>
      <c r="V470">
        <f t="shared" si="71"/>
        <v>3.6999999999999998E-2</v>
      </c>
      <c r="W470">
        <f t="shared" si="72"/>
        <v>8.3000000000000004E-2</v>
      </c>
      <c r="X470">
        <f t="shared" si="73"/>
        <v>0.82599999999999996</v>
      </c>
      <c r="Y470">
        <v>119.05554770000001</v>
      </c>
      <c r="Z470">
        <v>0</v>
      </c>
      <c r="AA470">
        <v>236250</v>
      </c>
      <c r="AB470">
        <v>76158</v>
      </c>
      <c r="AC470">
        <v>1.7652984E-2</v>
      </c>
      <c r="AD470">
        <v>0.84750225300000004</v>
      </c>
      <c r="AF470">
        <v>14.134888889999999</v>
      </c>
      <c r="AG470">
        <v>0.02</v>
      </c>
      <c r="AH470">
        <v>1.2999999999999999E-2</v>
      </c>
      <c r="AI470">
        <v>0.82299999999999995</v>
      </c>
      <c r="AJ470">
        <v>2.332142857</v>
      </c>
      <c r="AK470">
        <v>6.3736298079999996</v>
      </c>
      <c r="AL470">
        <v>3.6999999999999998E-2</v>
      </c>
      <c r="AM470">
        <v>8.3000000000000004E-2</v>
      </c>
      <c r="AN470">
        <v>0.82599999999999996</v>
      </c>
    </row>
    <row r="471" spans="1:40">
      <c r="A471">
        <v>2539</v>
      </c>
      <c r="B471" t="s">
        <v>691</v>
      </c>
      <c r="C471" t="s">
        <v>684</v>
      </c>
      <c r="D471" t="s">
        <v>685</v>
      </c>
      <c r="E471">
        <v>345</v>
      </c>
      <c r="F471">
        <v>1102</v>
      </c>
      <c r="G471">
        <v>63.32168695</v>
      </c>
      <c r="H471">
        <v>0</v>
      </c>
      <c r="I471">
        <v>9.8976740999999993E-2</v>
      </c>
      <c r="J471">
        <v>1102</v>
      </c>
      <c r="K471">
        <v>11133.92893</v>
      </c>
      <c r="L471">
        <v>0.83899999999999997</v>
      </c>
      <c r="M471">
        <v>0</v>
      </c>
      <c r="N471">
        <v>0</v>
      </c>
      <c r="O471" t="s">
        <v>620</v>
      </c>
      <c r="P471">
        <f t="shared" si="65"/>
        <v>13.30362832</v>
      </c>
      <c r="Q471">
        <f t="shared" si="66"/>
        <v>0.01</v>
      </c>
      <c r="R471">
        <f t="shared" si="67"/>
        <v>2.1000000000000001E-2</v>
      </c>
      <c r="S471">
        <f t="shared" si="68"/>
        <v>0.83899999999999997</v>
      </c>
      <c r="T471">
        <f t="shared" si="69"/>
        <v>2.41</v>
      </c>
      <c r="U471">
        <f t="shared" si="70"/>
        <v>7.4268148150000002</v>
      </c>
      <c r="V471">
        <f t="shared" si="71"/>
        <v>3.5151315789473656E-2</v>
      </c>
      <c r="W471">
        <f t="shared" si="72"/>
        <v>4.2000000000000003E-2</v>
      </c>
      <c r="X471">
        <f t="shared" si="73"/>
        <v>0.95799999999999996</v>
      </c>
      <c r="Y471">
        <v>195.088999</v>
      </c>
      <c r="Z471">
        <v>0</v>
      </c>
      <c r="AA471">
        <v>236250</v>
      </c>
      <c r="AB471">
        <v>76158</v>
      </c>
      <c r="AC471">
        <v>1.7652984E-2</v>
      </c>
      <c r="AD471">
        <v>0.84750225300000004</v>
      </c>
      <c r="AF471">
        <v>13.30362832</v>
      </c>
      <c r="AG471">
        <v>0.01</v>
      </c>
      <c r="AH471">
        <v>2.1000000000000001E-2</v>
      </c>
      <c r="AI471">
        <v>0.83899999999999997</v>
      </c>
      <c r="AJ471">
        <v>2.41</v>
      </c>
      <c r="AK471">
        <v>7.4268148150000002</v>
      </c>
      <c r="AL471">
        <v>0</v>
      </c>
      <c r="AM471">
        <v>4.2000000000000003E-2</v>
      </c>
      <c r="AN471">
        <v>0.95799999999999996</v>
      </c>
    </row>
    <row r="472" spans="1:40">
      <c r="A472">
        <v>2540</v>
      </c>
      <c r="B472" t="s">
        <v>691</v>
      </c>
      <c r="C472" t="s">
        <v>684</v>
      </c>
      <c r="D472" t="s">
        <v>685</v>
      </c>
      <c r="E472">
        <v>935</v>
      </c>
      <c r="F472">
        <v>3045</v>
      </c>
      <c r="G472">
        <v>315.9079284</v>
      </c>
      <c r="H472">
        <v>1606</v>
      </c>
      <c r="I472">
        <v>0.49378939500000002</v>
      </c>
      <c r="J472">
        <v>4651</v>
      </c>
      <c r="K472">
        <v>9418.9953189999997</v>
      </c>
      <c r="L472">
        <v>0.88300000000000001</v>
      </c>
      <c r="M472">
        <v>0.63203463199999999</v>
      </c>
      <c r="N472">
        <v>0</v>
      </c>
      <c r="O472" t="s">
        <v>620</v>
      </c>
      <c r="P472">
        <f t="shared" si="65"/>
        <v>13.44365385</v>
      </c>
      <c r="Q472">
        <f t="shared" si="66"/>
        <v>1.2999999999999999E-2</v>
      </c>
      <c r="R472">
        <f t="shared" si="67"/>
        <v>1.4E-2</v>
      </c>
      <c r="S472">
        <f t="shared" si="68"/>
        <v>0.88300000000000001</v>
      </c>
      <c r="T472">
        <f t="shared" si="69"/>
        <v>2.1898591550000002</v>
      </c>
      <c r="U472">
        <f t="shared" si="70"/>
        <v>6.1552524589999997</v>
      </c>
      <c r="V472">
        <f t="shared" si="71"/>
        <v>3.3000000000000002E-2</v>
      </c>
      <c r="W472">
        <f t="shared" si="72"/>
        <v>5.8000000000000003E-2</v>
      </c>
      <c r="X472">
        <f t="shared" si="73"/>
        <v>0.86099999999999999</v>
      </c>
      <c r="Y472">
        <v>162.0719431</v>
      </c>
      <c r="Z472">
        <v>0</v>
      </c>
      <c r="AA472">
        <v>236250</v>
      </c>
      <c r="AB472">
        <v>76158</v>
      </c>
      <c r="AC472">
        <v>1.7652984E-2</v>
      </c>
      <c r="AD472">
        <v>0.84750225300000004</v>
      </c>
      <c r="AF472">
        <v>13.44365385</v>
      </c>
      <c r="AG472">
        <v>1.2999999999999999E-2</v>
      </c>
      <c r="AH472">
        <v>1.4E-2</v>
      </c>
      <c r="AI472">
        <v>0.88300000000000001</v>
      </c>
      <c r="AJ472">
        <v>2.1898591550000002</v>
      </c>
      <c r="AK472">
        <v>6.1552524589999997</v>
      </c>
      <c r="AL472">
        <v>3.3000000000000002E-2</v>
      </c>
      <c r="AM472">
        <v>5.8000000000000003E-2</v>
      </c>
      <c r="AN472">
        <v>0.86099999999999999</v>
      </c>
    </row>
    <row r="473" spans="1:40">
      <c r="A473">
        <v>2541</v>
      </c>
      <c r="B473" t="s">
        <v>706</v>
      </c>
      <c r="C473" t="s">
        <v>684</v>
      </c>
      <c r="D473" t="s">
        <v>685</v>
      </c>
      <c r="E473">
        <v>332</v>
      </c>
      <c r="F473">
        <v>1347</v>
      </c>
      <c r="G473">
        <v>71.709932499999994</v>
      </c>
      <c r="H473">
        <v>114</v>
      </c>
      <c r="I473">
        <v>0.112088748</v>
      </c>
      <c r="J473">
        <v>1461</v>
      </c>
      <c r="K473">
        <v>13034.314560000001</v>
      </c>
      <c r="L473">
        <v>0.82</v>
      </c>
      <c r="M473">
        <v>0.25560538100000002</v>
      </c>
      <c r="N473">
        <v>0</v>
      </c>
      <c r="O473" t="s">
        <v>620</v>
      </c>
      <c r="P473">
        <f t="shared" si="65"/>
        <v>9.3357831329999996</v>
      </c>
      <c r="Q473">
        <f t="shared" si="66"/>
        <v>2.7E-2</v>
      </c>
      <c r="R473">
        <f t="shared" si="67"/>
        <v>2.5000000000000001E-2</v>
      </c>
      <c r="S473">
        <f t="shared" si="68"/>
        <v>0.82</v>
      </c>
      <c r="T473">
        <f t="shared" si="69"/>
        <v>1.7172727270000001</v>
      </c>
      <c r="U473">
        <f t="shared" si="70"/>
        <v>5.8656857139999996</v>
      </c>
      <c r="V473">
        <f t="shared" si="71"/>
        <v>6.7000000000000004E-2</v>
      </c>
      <c r="W473">
        <f t="shared" si="72"/>
        <v>8.6999999999999994E-2</v>
      </c>
      <c r="X473">
        <f t="shared" si="73"/>
        <v>0.79800000000000004</v>
      </c>
      <c r="Y473">
        <v>174.857113</v>
      </c>
      <c r="Z473">
        <v>0</v>
      </c>
      <c r="AA473">
        <v>47401</v>
      </c>
      <c r="AB473">
        <v>14616</v>
      </c>
      <c r="AC473">
        <v>1.1721782E-2</v>
      </c>
      <c r="AD473">
        <v>0.85588417900000002</v>
      </c>
      <c r="AF473">
        <v>9.3357831329999996</v>
      </c>
      <c r="AG473">
        <v>2.7E-2</v>
      </c>
      <c r="AH473">
        <v>2.5000000000000001E-2</v>
      </c>
      <c r="AI473">
        <v>0.82</v>
      </c>
      <c r="AJ473">
        <v>1.7172727270000001</v>
      </c>
      <c r="AK473">
        <v>5.8656857139999996</v>
      </c>
      <c r="AL473">
        <v>6.7000000000000004E-2</v>
      </c>
      <c r="AM473">
        <v>8.6999999999999994E-2</v>
      </c>
      <c r="AN473">
        <v>0.79800000000000004</v>
      </c>
    </row>
    <row r="474" spans="1:40">
      <c r="A474">
        <v>2542</v>
      </c>
      <c r="B474" t="s">
        <v>706</v>
      </c>
      <c r="C474" t="s">
        <v>684</v>
      </c>
      <c r="D474" t="s">
        <v>685</v>
      </c>
      <c r="E474">
        <v>700</v>
      </c>
      <c r="F474">
        <v>2550</v>
      </c>
      <c r="G474">
        <v>83.329809850000004</v>
      </c>
      <c r="H474">
        <v>193</v>
      </c>
      <c r="I474">
        <v>0.13024825500000001</v>
      </c>
      <c r="J474">
        <v>2743</v>
      </c>
      <c r="K474">
        <v>21059.783100000001</v>
      </c>
      <c r="L474">
        <v>0.79800000000000004</v>
      </c>
      <c r="M474">
        <v>0.21612542000000001</v>
      </c>
      <c r="N474">
        <v>0</v>
      </c>
      <c r="O474" t="s">
        <v>620</v>
      </c>
      <c r="P474">
        <f t="shared" si="65"/>
        <v>13.166874999999999</v>
      </c>
      <c r="Q474">
        <f t="shared" si="66"/>
        <v>1.4999999999999999E-2</v>
      </c>
      <c r="R474">
        <f t="shared" si="67"/>
        <v>1.0999999999999999E-2</v>
      </c>
      <c r="S474">
        <f t="shared" si="68"/>
        <v>0.79800000000000004</v>
      </c>
      <c r="T474">
        <f t="shared" si="69"/>
        <v>2.266</v>
      </c>
      <c r="U474">
        <f t="shared" si="70"/>
        <v>7.0182248940000003</v>
      </c>
      <c r="V474">
        <f t="shared" si="71"/>
        <v>1.7000000000000001E-2</v>
      </c>
      <c r="W474">
        <f t="shared" si="72"/>
        <v>5.1999999999999998E-2</v>
      </c>
      <c r="X474">
        <f t="shared" si="73"/>
        <v>0.89700000000000002</v>
      </c>
      <c r="Y474">
        <v>92.205943110000007</v>
      </c>
      <c r="Z474">
        <v>0</v>
      </c>
      <c r="AA474">
        <v>47401</v>
      </c>
      <c r="AB474">
        <v>14616</v>
      </c>
      <c r="AC474">
        <v>1.1721782E-2</v>
      </c>
      <c r="AD474">
        <v>0.85588417900000002</v>
      </c>
      <c r="AF474">
        <v>13.166874999999999</v>
      </c>
      <c r="AG474">
        <v>1.4999999999999999E-2</v>
      </c>
      <c r="AH474">
        <v>1.0999999999999999E-2</v>
      </c>
      <c r="AI474">
        <v>0.79800000000000004</v>
      </c>
      <c r="AJ474">
        <v>2.266</v>
      </c>
      <c r="AK474">
        <v>7.0182248940000003</v>
      </c>
      <c r="AL474">
        <v>1.7000000000000001E-2</v>
      </c>
      <c r="AM474">
        <v>5.1999999999999998E-2</v>
      </c>
      <c r="AN474">
        <v>0.89700000000000002</v>
      </c>
    </row>
    <row r="475" spans="1:40">
      <c r="A475">
        <v>2543</v>
      </c>
      <c r="B475" t="s">
        <v>706</v>
      </c>
      <c r="C475" t="s">
        <v>684</v>
      </c>
      <c r="D475" t="s">
        <v>685</v>
      </c>
      <c r="E475">
        <v>466</v>
      </c>
      <c r="F475">
        <v>1709</v>
      </c>
      <c r="G475">
        <v>98.809060209999998</v>
      </c>
      <c r="H475">
        <v>157</v>
      </c>
      <c r="I475">
        <v>0.15444551200000001</v>
      </c>
      <c r="J475">
        <v>1866</v>
      </c>
      <c r="K475">
        <v>12081.93088</v>
      </c>
      <c r="L475">
        <v>0.80300000000000005</v>
      </c>
      <c r="M475">
        <v>0.25200642099999998</v>
      </c>
      <c r="N475">
        <v>0</v>
      </c>
      <c r="O475" t="s">
        <v>620</v>
      </c>
      <c r="P475">
        <f t="shared" si="65"/>
        <v>13.492181820000001</v>
      </c>
      <c r="Q475">
        <f t="shared" si="66"/>
        <v>8.0000000000000002E-3</v>
      </c>
      <c r="R475">
        <f t="shared" si="67"/>
        <v>8.0000000000000002E-3</v>
      </c>
      <c r="S475">
        <f t="shared" si="68"/>
        <v>0.80300000000000005</v>
      </c>
      <c r="T475">
        <f t="shared" si="69"/>
        <v>1.8274999999999999</v>
      </c>
      <c r="U475">
        <f t="shared" si="70"/>
        <v>7.2078170730000002</v>
      </c>
      <c r="V475">
        <f t="shared" si="71"/>
        <v>1.7000000000000001E-2</v>
      </c>
      <c r="W475">
        <f t="shared" si="72"/>
        <v>4.1000000000000002E-2</v>
      </c>
      <c r="X475">
        <f t="shared" si="73"/>
        <v>0.90900000000000003</v>
      </c>
      <c r="Y475">
        <v>110.02520819999999</v>
      </c>
      <c r="Z475">
        <v>0</v>
      </c>
      <c r="AA475">
        <v>47401</v>
      </c>
      <c r="AB475">
        <v>14616</v>
      </c>
      <c r="AC475">
        <v>1.1721782E-2</v>
      </c>
      <c r="AD475">
        <v>0.85588417900000002</v>
      </c>
      <c r="AF475">
        <v>13.492181820000001</v>
      </c>
      <c r="AG475">
        <v>8.0000000000000002E-3</v>
      </c>
      <c r="AH475">
        <v>8.0000000000000002E-3</v>
      </c>
      <c r="AI475">
        <v>0.80300000000000005</v>
      </c>
      <c r="AJ475">
        <v>1.8274999999999999</v>
      </c>
      <c r="AK475">
        <v>7.2078170730000002</v>
      </c>
      <c r="AL475">
        <v>1.7000000000000001E-2</v>
      </c>
      <c r="AM475">
        <v>4.1000000000000002E-2</v>
      </c>
      <c r="AN475">
        <v>0.90900000000000003</v>
      </c>
    </row>
    <row r="476" spans="1:40">
      <c r="A476">
        <v>2544</v>
      </c>
      <c r="B476" t="s">
        <v>692</v>
      </c>
      <c r="C476" t="s">
        <v>693</v>
      </c>
      <c r="D476" t="s">
        <v>694</v>
      </c>
      <c r="E476">
        <v>923</v>
      </c>
      <c r="F476">
        <v>2983</v>
      </c>
      <c r="G476">
        <v>1168.1140069999999</v>
      </c>
      <c r="H476">
        <v>92</v>
      </c>
      <c r="I476" s="515">
        <v>1.82589415982669</v>
      </c>
      <c r="J476">
        <v>3075</v>
      </c>
      <c r="K476">
        <v>1684.1063779999999</v>
      </c>
      <c r="L476">
        <v>0.92300000000000004</v>
      </c>
      <c r="M476">
        <v>9.0640393999999999E-2</v>
      </c>
      <c r="N476">
        <v>0</v>
      </c>
      <c r="O476" t="s">
        <v>625</v>
      </c>
      <c r="P476">
        <f t="shared" si="65"/>
        <v>21.62035019</v>
      </c>
      <c r="Q476">
        <f t="shared" si="66"/>
        <v>8.0000000000000002E-3</v>
      </c>
      <c r="R476">
        <f t="shared" si="67"/>
        <v>1.4E-2</v>
      </c>
      <c r="S476">
        <f t="shared" si="68"/>
        <v>0.92300000000000004</v>
      </c>
      <c r="T476">
        <f t="shared" si="69"/>
        <v>2.5177777780000001</v>
      </c>
      <c r="U476">
        <f t="shared" si="70"/>
        <v>12.000353240000001</v>
      </c>
      <c r="V476">
        <f t="shared" si="71"/>
        <v>1.4999999999999999E-2</v>
      </c>
      <c r="W476">
        <f t="shared" si="72"/>
        <v>3.6999999999999998E-2</v>
      </c>
      <c r="X476">
        <f t="shared" si="73"/>
        <v>0.94799999999999995</v>
      </c>
      <c r="Y476">
        <v>34.443670519999998</v>
      </c>
      <c r="Z476">
        <v>0</v>
      </c>
      <c r="AA476">
        <v>77808</v>
      </c>
      <c r="AB476">
        <v>27489</v>
      </c>
      <c r="AC476">
        <v>1.1225541E-2</v>
      </c>
      <c r="AD476">
        <v>0.835708267</v>
      </c>
      <c r="AF476">
        <v>21.62035019</v>
      </c>
      <c r="AG476">
        <v>8.0000000000000002E-3</v>
      </c>
      <c r="AH476">
        <v>1.4E-2</v>
      </c>
      <c r="AI476">
        <v>0.92300000000000004</v>
      </c>
      <c r="AJ476">
        <v>2.5177777780000001</v>
      </c>
      <c r="AK476">
        <v>12.000353240000001</v>
      </c>
      <c r="AL476">
        <v>1.4999999999999999E-2</v>
      </c>
      <c r="AM476">
        <v>3.6999999999999998E-2</v>
      </c>
      <c r="AN476">
        <v>0.94799999999999995</v>
      </c>
    </row>
    <row r="477" spans="1:40">
      <c r="A477">
        <v>2545</v>
      </c>
      <c r="B477" t="s">
        <v>689</v>
      </c>
      <c r="C477" t="s">
        <v>687</v>
      </c>
      <c r="D477" t="s">
        <v>688</v>
      </c>
      <c r="E477">
        <v>1302</v>
      </c>
      <c r="F477">
        <v>2216</v>
      </c>
      <c r="G477">
        <v>69.534179199999997</v>
      </c>
      <c r="H477">
        <v>340</v>
      </c>
      <c r="I477">
        <v>0.108692345</v>
      </c>
      <c r="J477">
        <v>2556</v>
      </c>
      <c r="K477">
        <v>23515.915499999999</v>
      </c>
      <c r="L477">
        <v>0.65600000000000003</v>
      </c>
      <c r="M477">
        <v>0.20706455500000001</v>
      </c>
      <c r="N477">
        <v>0</v>
      </c>
      <c r="O477" t="s">
        <v>606</v>
      </c>
      <c r="P477">
        <f t="shared" si="65"/>
        <v>10.14801688</v>
      </c>
      <c r="Q477">
        <f t="shared" si="66"/>
        <v>4.3999999999999997E-2</v>
      </c>
      <c r="R477">
        <f t="shared" si="67"/>
        <v>4.3999999999999997E-2</v>
      </c>
      <c r="S477">
        <f t="shared" si="68"/>
        <v>0.65600000000000003</v>
      </c>
      <c r="T477">
        <f t="shared" si="69"/>
        <v>1.804903846</v>
      </c>
      <c r="U477">
        <f t="shared" si="70"/>
        <v>5.3919562330000002</v>
      </c>
      <c r="V477">
        <f t="shared" si="71"/>
        <v>9.0999999999999998E-2</v>
      </c>
      <c r="W477">
        <f t="shared" si="72"/>
        <v>0.13900000000000001</v>
      </c>
      <c r="X477">
        <f t="shared" si="73"/>
        <v>0.63400000000000001</v>
      </c>
      <c r="Y477">
        <v>127.78909</v>
      </c>
      <c r="Z477">
        <v>0</v>
      </c>
      <c r="AA477">
        <v>454184</v>
      </c>
      <c r="AB477">
        <v>170596</v>
      </c>
      <c r="AC477">
        <v>6.5715274000000004E-2</v>
      </c>
      <c r="AD477">
        <v>0.72549415100000003</v>
      </c>
      <c r="AF477">
        <v>10.14801688</v>
      </c>
      <c r="AG477">
        <v>4.3999999999999997E-2</v>
      </c>
      <c r="AH477">
        <v>4.3999999999999997E-2</v>
      </c>
      <c r="AI477">
        <v>0.65600000000000003</v>
      </c>
      <c r="AJ477">
        <v>1.804903846</v>
      </c>
      <c r="AK477">
        <v>5.3919562330000002</v>
      </c>
      <c r="AL477">
        <v>9.0999999999999998E-2</v>
      </c>
      <c r="AM477">
        <v>0.13900000000000001</v>
      </c>
      <c r="AN477">
        <v>0.63400000000000001</v>
      </c>
    </row>
    <row r="478" spans="1:40">
      <c r="A478">
        <v>2546</v>
      </c>
      <c r="B478" t="s">
        <v>689</v>
      </c>
      <c r="C478" t="s">
        <v>687</v>
      </c>
      <c r="D478" t="s">
        <v>688</v>
      </c>
      <c r="E478">
        <v>411</v>
      </c>
      <c r="F478">
        <v>756</v>
      </c>
      <c r="G478">
        <v>28.874725850000001</v>
      </c>
      <c r="H478">
        <v>1481</v>
      </c>
      <c r="I478">
        <v>4.5139028999999997E-2</v>
      </c>
      <c r="J478">
        <v>2237</v>
      </c>
      <c r="K478">
        <v>49558.000019999999</v>
      </c>
      <c r="L478">
        <v>0.66500000000000004</v>
      </c>
      <c r="M478">
        <v>0.78276955599999998</v>
      </c>
      <c r="N478">
        <v>0</v>
      </c>
      <c r="O478" t="s">
        <v>606</v>
      </c>
      <c r="P478">
        <f t="shared" si="65"/>
        <v>13.017298390000001</v>
      </c>
      <c r="Q478">
        <f t="shared" si="66"/>
        <v>5.5E-2</v>
      </c>
      <c r="R478">
        <f t="shared" si="67"/>
        <v>4.4999999999999998E-2</v>
      </c>
      <c r="S478">
        <f t="shared" si="68"/>
        <v>0.66500000000000004</v>
      </c>
      <c r="T478">
        <f t="shared" si="69"/>
        <v>2.1186842110000002</v>
      </c>
      <c r="U478">
        <f t="shared" si="70"/>
        <v>7.5082072069999999</v>
      </c>
      <c r="V478">
        <f t="shared" si="71"/>
        <v>0.08</v>
      </c>
      <c r="W478">
        <f t="shared" si="72"/>
        <v>0.11899999999999999</v>
      </c>
      <c r="X478">
        <f t="shared" si="73"/>
        <v>0.65800000000000003</v>
      </c>
      <c r="Y478">
        <v>240.2307721</v>
      </c>
      <c r="Z478">
        <v>0</v>
      </c>
      <c r="AA478">
        <v>454184</v>
      </c>
      <c r="AB478">
        <v>170596</v>
      </c>
      <c r="AC478">
        <v>6.5715274000000004E-2</v>
      </c>
      <c r="AD478">
        <v>0.72549415100000003</v>
      </c>
      <c r="AF478">
        <v>13.017298390000001</v>
      </c>
      <c r="AG478">
        <v>5.5E-2</v>
      </c>
      <c r="AH478">
        <v>4.4999999999999998E-2</v>
      </c>
      <c r="AI478">
        <v>0.66500000000000004</v>
      </c>
      <c r="AJ478">
        <v>2.1186842110000002</v>
      </c>
      <c r="AK478">
        <v>7.5082072069999999</v>
      </c>
      <c r="AL478">
        <v>0.08</v>
      </c>
      <c r="AM478">
        <v>0.11899999999999999</v>
      </c>
      <c r="AN478">
        <v>0.65800000000000003</v>
      </c>
    </row>
    <row r="479" spans="1:40">
      <c r="A479">
        <v>2547</v>
      </c>
      <c r="B479" t="s">
        <v>689</v>
      </c>
      <c r="C479" t="s">
        <v>687</v>
      </c>
      <c r="D479" t="s">
        <v>688</v>
      </c>
      <c r="E479">
        <v>503</v>
      </c>
      <c r="F479">
        <v>892</v>
      </c>
      <c r="G479">
        <v>18.803313410000001</v>
      </c>
      <c r="H479">
        <v>138</v>
      </c>
      <c r="I479">
        <v>2.9394779999999999E-2</v>
      </c>
      <c r="J479">
        <v>1030</v>
      </c>
      <c r="K479">
        <v>35040.235030000003</v>
      </c>
      <c r="L479">
        <v>0.57199999999999995</v>
      </c>
      <c r="M479">
        <v>0.21528861199999999</v>
      </c>
      <c r="N479">
        <v>0</v>
      </c>
      <c r="O479" t="s">
        <v>606</v>
      </c>
      <c r="P479">
        <f t="shared" si="65"/>
        <v>10.63910448</v>
      </c>
      <c r="Q479">
        <f t="shared" si="66"/>
        <v>0.06</v>
      </c>
      <c r="R479">
        <f t="shared" si="67"/>
        <v>5.5E-2</v>
      </c>
      <c r="S479">
        <f t="shared" si="68"/>
        <v>0.57199999999999995</v>
      </c>
      <c r="T479">
        <f t="shared" si="69"/>
        <v>1.711875</v>
      </c>
      <c r="U479">
        <f t="shared" si="70"/>
        <v>6.866377709</v>
      </c>
      <c r="V479">
        <f t="shared" si="71"/>
        <v>0.114</v>
      </c>
      <c r="W479">
        <f t="shared" si="72"/>
        <v>0.13600000000000001</v>
      </c>
      <c r="X479">
        <f t="shared" si="73"/>
        <v>0.50800000000000001</v>
      </c>
      <c r="Y479">
        <v>91.757938179999996</v>
      </c>
      <c r="Z479">
        <v>0</v>
      </c>
      <c r="AA479">
        <v>454184</v>
      </c>
      <c r="AB479">
        <v>170596</v>
      </c>
      <c r="AC479">
        <v>6.5715274000000004E-2</v>
      </c>
      <c r="AD479">
        <v>0.72549415100000003</v>
      </c>
      <c r="AF479">
        <v>10.63910448</v>
      </c>
      <c r="AG479">
        <v>0.06</v>
      </c>
      <c r="AH479">
        <v>5.5E-2</v>
      </c>
      <c r="AI479">
        <v>0.57199999999999995</v>
      </c>
      <c r="AJ479">
        <v>1.711875</v>
      </c>
      <c r="AK479">
        <v>6.866377709</v>
      </c>
      <c r="AL479">
        <v>0.114</v>
      </c>
      <c r="AM479">
        <v>0.13600000000000001</v>
      </c>
      <c r="AN479">
        <v>0.50800000000000001</v>
      </c>
    </row>
    <row r="480" spans="1:40">
      <c r="A480">
        <v>2548</v>
      </c>
      <c r="B480" t="s">
        <v>689</v>
      </c>
      <c r="C480" t="s">
        <v>687</v>
      </c>
      <c r="D480" t="s">
        <v>688</v>
      </c>
      <c r="E480">
        <v>660</v>
      </c>
      <c r="F480">
        <v>1181</v>
      </c>
      <c r="G480">
        <v>26.246247060000002</v>
      </c>
      <c r="H480">
        <v>10</v>
      </c>
      <c r="I480">
        <v>4.1024910999999997E-2</v>
      </c>
      <c r="J480">
        <v>1191</v>
      </c>
      <c r="K480">
        <v>29031.141589999999</v>
      </c>
      <c r="L480">
        <v>0.59299999999999997</v>
      </c>
      <c r="M480">
        <v>1.4925373E-2</v>
      </c>
      <c r="N480">
        <v>0</v>
      </c>
      <c r="O480" t="s">
        <v>606</v>
      </c>
      <c r="P480">
        <f t="shared" si="65"/>
        <v>6.9283333330000003</v>
      </c>
      <c r="Q480">
        <f t="shared" si="66"/>
        <v>7.9000000000000001E-2</v>
      </c>
      <c r="R480">
        <f t="shared" si="67"/>
        <v>0.06</v>
      </c>
      <c r="S480">
        <f t="shared" si="68"/>
        <v>0.59299999999999997</v>
      </c>
      <c r="T480">
        <f t="shared" si="69"/>
        <v>1.99</v>
      </c>
      <c r="U480">
        <f t="shared" si="70"/>
        <v>4.7347432019999998</v>
      </c>
      <c r="V480">
        <f t="shared" si="71"/>
        <v>0.14899999999999999</v>
      </c>
      <c r="W480">
        <f t="shared" si="72"/>
        <v>0.155</v>
      </c>
      <c r="X480">
        <f t="shared" si="73"/>
        <v>0.5</v>
      </c>
      <c r="Y480">
        <v>81.585666979999999</v>
      </c>
      <c r="Z480">
        <v>0</v>
      </c>
      <c r="AA480">
        <v>454184</v>
      </c>
      <c r="AB480">
        <v>170596</v>
      </c>
      <c r="AC480">
        <v>6.5715274000000004E-2</v>
      </c>
      <c r="AD480">
        <v>0.72549415100000003</v>
      </c>
      <c r="AF480">
        <v>6.9283333330000003</v>
      </c>
      <c r="AG480">
        <v>7.9000000000000001E-2</v>
      </c>
      <c r="AH480">
        <v>0.06</v>
      </c>
      <c r="AI480">
        <v>0.59299999999999997</v>
      </c>
      <c r="AJ480">
        <v>1.99</v>
      </c>
      <c r="AK480">
        <v>4.7347432019999998</v>
      </c>
      <c r="AL480">
        <v>0.14899999999999999</v>
      </c>
      <c r="AM480">
        <v>0.155</v>
      </c>
      <c r="AN480">
        <v>0.5</v>
      </c>
    </row>
    <row r="481" spans="1:40">
      <c r="A481">
        <v>2549</v>
      </c>
      <c r="B481" t="s">
        <v>689</v>
      </c>
      <c r="C481" t="s">
        <v>687</v>
      </c>
      <c r="D481" t="s">
        <v>688</v>
      </c>
      <c r="E481">
        <v>1891</v>
      </c>
      <c r="F481">
        <v>3507</v>
      </c>
      <c r="G481">
        <v>60.318911419999999</v>
      </c>
      <c r="H481">
        <v>83</v>
      </c>
      <c r="I481">
        <v>9.4284773000000002E-2</v>
      </c>
      <c r="J481">
        <v>3590</v>
      </c>
      <c r="K481">
        <v>38076.137699999999</v>
      </c>
      <c r="L481">
        <v>0.622</v>
      </c>
      <c r="M481">
        <v>4.2046606E-2</v>
      </c>
      <c r="N481">
        <v>0</v>
      </c>
      <c r="O481" t="s">
        <v>606</v>
      </c>
      <c r="P481">
        <f t="shared" si="65"/>
        <v>8.2392800000000008</v>
      </c>
      <c r="Q481">
        <f t="shared" si="66"/>
        <v>7.0999999999999994E-2</v>
      </c>
      <c r="R481">
        <f t="shared" si="67"/>
        <v>0.05</v>
      </c>
      <c r="S481">
        <f t="shared" si="68"/>
        <v>0.622</v>
      </c>
      <c r="T481">
        <f t="shared" si="69"/>
        <v>2.2874725269999998</v>
      </c>
      <c r="U481">
        <f t="shared" si="70"/>
        <v>5.5908966150000001</v>
      </c>
      <c r="V481">
        <f t="shared" si="71"/>
        <v>7.3999999999999996E-2</v>
      </c>
      <c r="W481">
        <f t="shared" si="72"/>
        <v>0.17</v>
      </c>
      <c r="X481">
        <f t="shared" si="73"/>
        <v>0.61899999999999999</v>
      </c>
      <c r="Y481">
        <v>102.2981221</v>
      </c>
      <c r="Z481">
        <v>0</v>
      </c>
      <c r="AA481">
        <v>454184</v>
      </c>
      <c r="AB481">
        <v>170596</v>
      </c>
      <c r="AC481">
        <v>6.5715274000000004E-2</v>
      </c>
      <c r="AD481">
        <v>0.72549415100000003</v>
      </c>
      <c r="AF481">
        <v>8.2392800000000008</v>
      </c>
      <c r="AG481">
        <v>7.0999999999999994E-2</v>
      </c>
      <c r="AH481">
        <v>0.05</v>
      </c>
      <c r="AI481">
        <v>0.622</v>
      </c>
      <c r="AJ481">
        <v>2.2874725269999998</v>
      </c>
      <c r="AK481">
        <v>5.5908966150000001</v>
      </c>
      <c r="AL481">
        <v>7.3999999999999996E-2</v>
      </c>
      <c r="AM481">
        <v>0.17</v>
      </c>
      <c r="AN481">
        <v>0.61899999999999999</v>
      </c>
    </row>
    <row r="482" spans="1:40">
      <c r="A482">
        <v>2550</v>
      </c>
      <c r="B482" t="s">
        <v>689</v>
      </c>
      <c r="C482" t="s">
        <v>687</v>
      </c>
      <c r="D482" t="s">
        <v>688</v>
      </c>
      <c r="E482">
        <v>614</v>
      </c>
      <c r="F482">
        <v>1280</v>
      </c>
      <c r="G482">
        <v>19.535862269999999</v>
      </c>
      <c r="H482">
        <v>1047</v>
      </c>
      <c r="I482">
        <v>3.0535585000000001E-2</v>
      </c>
      <c r="J482">
        <v>2327</v>
      </c>
      <c r="K482">
        <v>76206.170599999998</v>
      </c>
      <c r="L482">
        <v>0.60899999999999999</v>
      </c>
      <c r="M482">
        <v>0.63034316700000004</v>
      </c>
      <c r="N482">
        <v>1</v>
      </c>
      <c r="O482" t="s">
        <v>606</v>
      </c>
      <c r="P482">
        <f t="shared" si="65"/>
        <v>12.595707320000001</v>
      </c>
      <c r="Q482">
        <f t="shared" si="66"/>
        <v>5.5E-2</v>
      </c>
      <c r="R482">
        <f t="shared" si="67"/>
        <v>4.2000000000000003E-2</v>
      </c>
      <c r="S482">
        <f t="shared" si="68"/>
        <v>0.60899999999999999</v>
      </c>
      <c r="T482">
        <f t="shared" si="69"/>
        <v>1.9408955219999999</v>
      </c>
      <c r="U482">
        <f t="shared" si="70"/>
        <v>7.019723698</v>
      </c>
      <c r="V482">
        <f t="shared" si="71"/>
        <v>7.9000000000000001E-2</v>
      </c>
      <c r="W482">
        <f t="shared" si="72"/>
        <v>0.152</v>
      </c>
      <c r="X482">
        <f t="shared" si="73"/>
        <v>0.57699999999999996</v>
      </c>
      <c r="Y482">
        <v>215.70966110000001</v>
      </c>
      <c r="Z482">
        <v>0</v>
      </c>
      <c r="AA482">
        <v>454184</v>
      </c>
      <c r="AB482">
        <v>170596</v>
      </c>
      <c r="AC482">
        <v>6.5715274000000004E-2</v>
      </c>
      <c r="AD482">
        <v>0.72549415100000003</v>
      </c>
      <c r="AF482">
        <v>12.595707320000001</v>
      </c>
      <c r="AG482">
        <v>5.5E-2</v>
      </c>
      <c r="AH482">
        <v>4.2000000000000003E-2</v>
      </c>
      <c r="AI482">
        <v>0.60899999999999999</v>
      </c>
      <c r="AJ482">
        <v>1.9408955219999999</v>
      </c>
      <c r="AK482">
        <v>7.019723698</v>
      </c>
      <c r="AL482">
        <v>7.9000000000000001E-2</v>
      </c>
      <c r="AM482">
        <v>0.152</v>
      </c>
      <c r="AN482">
        <v>0.57699999999999996</v>
      </c>
    </row>
    <row r="483" spans="1:40">
      <c r="A483">
        <v>2551</v>
      </c>
      <c r="B483" t="s">
        <v>689</v>
      </c>
      <c r="C483" t="s">
        <v>687</v>
      </c>
      <c r="D483" t="s">
        <v>688</v>
      </c>
      <c r="E483">
        <v>1032</v>
      </c>
      <c r="F483">
        <v>1656</v>
      </c>
      <c r="G483">
        <v>23.423344149999998</v>
      </c>
      <c r="H483">
        <v>442</v>
      </c>
      <c r="I483">
        <v>3.6615735000000003E-2</v>
      </c>
      <c r="J483">
        <v>2098</v>
      </c>
      <c r="K483">
        <v>57297.771030000004</v>
      </c>
      <c r="L483">
        <v>0.56799999999999995</v>
      </c>
      <c r="M483">
        <v>0.29986431499999999</v>
      </c>
      <c r="N483">
        <v>0</v>
      </c>
      <c r="O483" t="s">
        <v>606</v>
      </c>
      <c r="P483">
        <f t="shared" si="65"/>
        <v>10.489729730000001</v>
      </c>
      <c r="Q483">
        <f t="shared" si="66"/>
        <v>0.11600000000000001</v>
      </c>
      <c r="R483">
        <f t="shared" si="67"/>
        <v>4.5999999999999999E-2</v>
      </c>
      <c r="S483">
        <f t="shared" si="68"/>
        <v>0.56799999999999995</v>
      </c>
      <c r="T483">
        <f t="shared" si="69"/>
        <v>1.5427586209999999</v>
      </c>
      <c r="U483">
        <f t="shared" si="70"/>
        <v>5.9657971009999997</v>
      </c>
      <c r="V483">
        <f t="shared" si="71"/>
        <v>8.7999999999999995E-2</v>
      </c>
      <c r="W483">
        <f t="shared" si="72"/>
        <v>0.245</v>
      </c>
      <c r="X483">
        <f t="shared" si="73"/>
        <v>0.44700000000000001</v>
      </c>
      <c r="Y483">
        <v>59.903142019999997</v>
      </c>
      <c r="Z483">
        <v>0</v>
      </c>
      <c r="AA483">
        <v>454184</v>
      </c>
      <c r="AB483">
        <v>170596</v>
      </c>
      <c r="AC483">
        <v>6.5715274000000004E-2</v>
      </c>
      <c r="AD483">
        <v>0.72549415100000003</v>
      </c>
      <c r="AF483">
        <v>10.489729730000001</v>
      </c>
      <c r="AG483">
        <v>0.11600000000000001</v>
      </c>
      <c r="AH483">
        <v>4.5999999999999999E-2</v>
      </c>
      <c r="AI483">
        <v>0.56799999999999995</v>
      </c>
      <c r="AJ483">
        <v>1.5427586209999999</v>
      </c>
      <c r="AK483">
        <v>5.9657971009999997</v>
      </c>
      <c r="AL483">
        <v>8.7999999999999995E-2</v>
      </c>
      <c r="AM483">
        <v>0.245</v>
      </c>
      <c r="AN483">
        <v>0.44700000000000001</v>
      </c>
    </row>
    <row r="484" spans="1:40">
      <c r="A484">
        <v>2552</v>
      </c>
      <c r="B484" t="s">
        <v>689</v>
      </c>
      <c r="C484" t="s">
        <v>687</v>
      </c>
      <c r="D484" t="s">
        <v>688</v>
      </c>
      <c r="E484">
        <v>459</v>
      </c>
      <c r="F484">
        <v>755</v>
      </c>
      <c r="G484">
        <v>27.043751090000001</v>
      </c>
      <c r="H484">
        <v>214</v>
      </c>
      <c r="I484">
        <v>4.2273674999999997E-2</v>
      </c>
      <c r="J484">
        <v>969</v>
      </c>
      <c r="K484">
        <v>22922.066750000002</v>
      </c>
      <c r="L484">
        <v>0.629</v>
      </c>
      <c r="M484">
        <v>0.31797919800000002</v>
      </c>
      <c r="N484">
        <v>0</v>
      </c>
      <c r="O484" t="s">
        <v>606</v>
      </c>
      <c r="P484">
        <f t="shared" si="65"/>
        <v>9.8721739129999992</v>
      </c>
      <c r="Q484">
        <f t="shared" si="66"/>
        <v>7.6999999999999999E-2</v>
      </c>
      <c r="R484">
        <f t="shared" si="67"/>
        <v>4.7E-2</v>
      </c>
      <c r="S484">
        <f t="shared" si="68"/>
        <v>0.629</v>
      </c>
      <c r="T484">
        <f t="shared" si="69"/>
        <v>2.1626470590000002</v>
      </c>
      <c r="U484">
        <f t="shared" si="70"/>
        <v>6.1185838779999999</v>
      </c>
      <c r="V484">
        <f t="shared" si="71"/>
        <v>9.4E-2</v>
      </c>
      <c r="W484">
        <f t="shared" si="72"/>
        <v>0.24199999999999999</v>
      </c>
      <c r="X484">
        <f t="shared" si="73"/>
        <v>0.53900000000000003</v>
      </c>
      <c r="Y484">
        <v>201.44774670000001</v>
      </c>
      <c r="Z484">
        <v>0</v>
      </c>
      <c r="AA484">
        <v>454184</v>
      </c>
      <c r="AB484">
        <v>170596</v>
      </c>
      <c r="AC484">
        <v>6.5715274000000004E-2</v>
      </c>
      <c r="AD484">
        <v>0.72549415100000003</v>
      </c>
      <c r="AF484">
        <v>9.8721739129999992</v>
      </c>
      <c r="AG484">
        <v>7.6999999999999999E-2</v>
      </c>
      <c r="AH484">
        <v>4.7E-2</v>
      </c>
      <c r="AI484">
        <v>0.629</v>
      </c>
      <c r="AJ484">
        <v>2.1626470590000002</v>
      </c>
      <c r="AK484">
        <v>6.1185838779999999</v>
      </c>
      <c r="AL484">
        <v>9.4E-2</v>
      </c>
      <c r="AM484">
        <v>0.24199999999999999</v>
      </c>
      <c r="AN484">
        <v>0.53900000000000003</v>
      </c>
    </row>
    <row r="485" spans="1:40">
      <c r="A485">
        <v>2553</v>
      </c>
      <c r="B485" t="s">
        <v>689</v>
      </c>
      <c r="C485" t="s">
        <v>687</v>
      </c>
      <c r="D485" t="s">
        <v>688</v>
      </c>
      <c r="E485">
        <v>868</v>
      </c>
      <c r="F485">
        <v>1441</v>
      </c>
      <c r="G485">
        <v>22.54760885</v>
      </c>
      <c r="H485">
        <v>592</v>
      </c>
      <c r="I485">
        <v>3.5249709999999997E-2</v>
      </c>
      <c r="J485">
        <v>2033</v>
      </c>
      <c r="K485">
        <v>57674.233350000002</v>
      </c>
      <c r="L485">
        <v>0.66400000000000003</v>
      </c>
      <c r="M485">
        <v>0.40547945200000002</v>
      </c>
      <c r="N485">
        <v>0</v>
      </c>
      <c r="O485" t="s">
        <v>606</v>
      </c>
      <c r="P485">
        <f t="shared" si="65"/>
        <v>9.298944444</v>
      </c>
      <c r="Q485">
        <f t="shared" si="66"/>
        <v>0.05</v>
      </c>
      <c r="R485">
        <f t="shared" si="67"/>
        <v>4.3999999999999997E-2</v>
      </c>
      <c r="S485">
        <f t="shared" si="68"/>
        <v>0.66400000000000003</v>
      </c>
      <c r="T485">
        <f t="shared" si="69"/>
        <v>1.73</v>
      </c>
      <c r="U485">
        <f t="shared" si="70"/>
        <v>6.3751365409999998</v>
      </c>
      <c r="V485">
        <f t="shared" si="71"/>
        <v>9.0999999999999998E-2</v>
      </c>
      <c r="W485">
        <f t="shared" si="72"/>
        <v>0.10199999999999999</v>
      </c>
      <c r="X485">
        <f t="shared" si="73"/>
        <v>0.65500000000000003</v>
      </c>
      <c r="Y485">
        <v>174.93444310000001</v>
      </c>
      <c r="Z485">
        <v>0</v>
      </c>
      <c r="AA485">
        <v>454184</v>
      </c>
      <c r="AB485">
        <v>170596</v>
      </c>
      <c r="AC485">
        <v>6.5715274000000004E-2</v>
      </c>
      <c r="AD485">
        <v>0.72549415100000003</v>
      </c>
      <c r="AF485">
        <v>9.298944444</v>
      </c>
      <c r="AG485">
        <v>0.05</v>
      </c>
      <c r="AH485">
        <v>4.3999999999999997E-2</v>
      </c>
      <c r="AI485">
        <v>0.66400000000000003</v>
      </c>
      <c r="AJ485">
        <v>1.73</v>
      </c>
      <c r="AK485">
        <v>6.3751365409999998</v>
      </c>
      <c r="AL485">
        <v>9.0999999999999998E-2</v>
      </c>
      <c r="AM485">
        <v>0.10199999999999999</v>
      </c>
      <c r="AN485">
        <v>0.65500000000000003</v>
      </c>
    </row>
    <row r="486" spans="1:40">
      <c r="A486">
        <v>2554</v>
      </c>
      <c r="B486" t="s">
        <v>689</v>
      </c>
      <c r="C486" t="s">
        <v>687</v>
      </c>
      <c r="D486" t="s">
        <v>688</v>
      </c>
      <c r="E486">
        <v>1092</v>
      </c>
      <c r="F486">
        <v>1851</v>
      </c>
      <c r="G486">
        <v>36.392487809999999</v>
      </c>
      <c r="H486">
        <v>160</v>
      </c>
      <c r="I486">
        <v>5.6886498000000001E-2</v>
      </c>
      <c r="J486">
        <v>2011</v>
      </c>
      <c r="K486">
        <v>35351.095090000003</v>
      </c>
      <c r="L486">
        <v>0.73399999999999999</v>
      </c>
      <c r="M486">
        <v>0.12779552699999999</v>
      </c>
      <c r="N486">
        <v>0</v>
      </c>
      <c r="O486" t="s">
        <v>613</v>
      </c>
      <c r="P486">
        <f t="shared" si="65"/>
        <v>10.97264317</v>
      </c>
      <c r="Q486">
        <f t="shared" si="66"/>
        <v>5.1999999999999998E-2</v>
      </c>
      <c r="R486">
        <f t="shared" si="67"/>
        <v>3.5000000000000003E-2</v>
      </c>
      <c r="S486">
        <f t="shared" si="68"/>
        <v>0.73399999999999999</v>
      </c>
      <c r="T486">
        <f t="shared" si="69"/>
        <v>2.6027499999999999</v>
      </c>
      <c r="U486">
        <f t="shared" si="70"/>
        <v>6.8093233079999997</v>
      </c>
      <c r="V486">
        <f t="shared" si="71"/>
        <v>5.7000000000000002E-2</v>
      </c>
      <c r="W486">
        <f t="shared" si="72"/>
        <v>0.14299999999999999</v>
      </c>
      <c r="X486">
        <f t="shared" si="73"/>
        <v>0.72299999999999998</v>
      </c>
      <c r="Y486">
        <v>135.0061551</v>
      </c>
      <c r="Z486">
        <v>0</v>
      </c>
      <c r="AA486">
        <v>454184</v>
      </c>
      <c r="AB486">
        <v>170596</v>
      </c>
      <c r="AC486">
        <v>6.5715274000000004E-2</v>
      </c>
      <c r="AD486">
        <v>0.72549415100000003</v>
      </c>
      <c r="AF486">
        <v>10.97264317</v>
      </c>
      <c r="AG486">
        <v>5.1999999999999998E-2</v>
      </c>
      <c r="AH486">
        <v>3.5000000000000003E-2</v>
      </c>
      <c r="AI486">
        <v>0.73399999999999999</v>
      </c>
      <c r="AJ486">
        <v>2.6027499999999999</v>
      </c>
      <c r="AK486">
        <v>6.8093233079999997</v>
      </c>
      <c r="AL486">
        <v>5.7000000000000002E-2</v>
      </c>
      <c r="AM486">
        <v>0.14299999999999999</v>
      </c>
      <c r="AN486">
        <v>0.72299999999999998</v>
      </c>
    </row>
    <row r="487" spans="1:40">
      <c r="A487">
        <v>2555</v>
      </c>
      <c r="B487" t="s">
        <v>689</v>
      </c>
      <c r="C487" t="s">
        <v>687</v>
      </c>
      <c r="D487" t="s">
        <v>688</v>
      </c>
      <c r="E487">
        <v>403</v>
      </c>
      <c r="F487">
        <v>773</v>
      </c>
      <c r="G487">
        <v>20.453966130000001</v>
      </c>
      <c r="H487">
        <v>734</v>
      </c>
      <c r="I487">
        <v>3.1970956000000002E-2</v>
      </c>
      <c r="J487">
        <v>1507</v>
      </c>
      <c r="K487">
        <v>47136.532299999999</v>
      </c>
      <c r="L487">
        <v>0.74399999999999999</v>
      </c>
      <c r="M487">
        <v>0.64555848699999996</v>
      </c>
      <c r="N487">
        <v>0</v>
      </c>
      <c r="O487" t="s">
        <v>606</v>
      </c>
      <c r="P487">
        <f t="shared" si="65"/>
        <v>13.0319863</v>
      </c>
      <c r="Q487">
        <f t="shared" si="66"/>
        <v>3.1E-2</v>
      </c>
      <c r="R487">
        <f t="shared" si="67"/>
        <v>4.3999999999999997E-2</v>
      </c>
      <c r="S487">
        <f t="shared" si="68"/>
        <v>0.74399999999999999</v>
      </c>
      <c r="T487">
        <f t="shared" si="69"/>
        <v>2.1173684210000001</v>
      </c>
      <c r="U487">
        <f t="shared" si="70"/>
        <v>7.0021096170000003</v>
      </c>
      <c r="V487">
        <f t="shared" si="71"/>
        <v>8.5000000000000006E-2</v>
      </c>
      <c r="W487">
        <f t="shared" si="72"/>
        <v>9.5000000000000001E-2</v>
      </c>
      <c r="X487">
        <f t="shared" si="73"/>
        <v>0.73</v>
      </c>
      <c r="Y487">
        <v>187.27189240000001</v>
      </c>
      <c r="Z487">
        <v>0</v>
      </c>
      <c r="AA487">
        <v>454184</v>
      </c>
      <c r="AB487">
        <v>170596</v>
      </c>
      <c r="AC487">
        <v>6.5715274000000004E-2</v>
      </c>
      <c r="AD487">
        <v>0.72549415100000003</v>
      </c>
      <c r="AF487">
        <v>13.0319863</v>
      </c>
      <c r="AG487">
        <v>3.1E-2</v>
      </c>
      <c r="AH487">
        <v>4.3999999999999997E-2</v>
      </c>
      <c r="AI487">
        <v>0.74399999999999999</v>
      </c>
      <c r="AJ487">
        <v>2.1173684210000001</v>
      </c>
      <c r="AK487">
        <v>7.0021096170000003</v>
      </c>
      <c r="AL487">
        <v>8.5000000000000006E-2</v>
      </c>
      <c r="AM487">
        <v>9.5000000000000001E-2</v>
      </c>
      <c r="AN487">
        <v>0.73</v>
      </c>
    </row>
    <row r="488" spans="1:40">
      <c r="A488">
        <v>2556</v>
      </c>
      <c r="B488" t="s">
        <v>686</v>
      </c>
      <c r="C488" t="s">
        <v>687</v>
      </c>
      <c r="D488" t="s">
        <v>688</v>
      </c>
      <c r="E488">
        <v>243</v>
      </c>
      <c r="F488">
        <v>585</v>
      </c>
      <c r="G488">
        <v>86.854773699999996</v>
      </c>
      <c r="H488">
        <v>2</v>
      </c>
      <c r="I488">
        <v>0.13577451700000001</v>
      </c>
      <c r="J488">
        <v>587</v>
      </c>
      <c r="K488">
        <v>4323.3444170000002</v>
      </c>
      <c r="L488">
        <v>0.7</v>
      </c>
      <c r="M488">
        <v>8.1632649999999994E-3</v>
      </c>
      <c r="N488">
        <v>0</v>
      </c>
      <c r="O488" t="s">
        <v>620</v>
      </c>
      <c r="P488">
        <f t="shared" si="65"/>
        <v>8.0889473679999995</v>
      </c>
      <c r="Q488">
        <f t="shared" si="66"/>
        <v>3.3000000000000002E-2</v>
      </c>
      <c r="R488">
        <f t="shared" si="67"/>
        <v>0.152</v>
      </c>
      <c r="S488">
        <f t="shared" si="68"/>
        <v>0.7</v>
      </c>
      <c r="T488">
        <f t="shared" si="69"/>
        <v>2.4359375000000001</v>
      </c>
      <c r="U488">
        <f t="shared" si="70"/>
        <v>5.9597122300000001</v>
      </c>
      <c r="V488">
        <f t="shared" si="71"/>
        <v>0.25900000000000001</v>
      </c>
      <c r="W488">
        <f t="shared" si="72"/>
        <v>8.5999999999999993E-2</v>
      </c>
      <c r="X488">
        <f t="shared" si="73"/>
        <v>0.65500000000000003</v>
      </c>
      <c r="Y488">
        <v>50.651254389999998</v>
      </c>
      <c r="Z488">
        <v>1</v>
      </c>
      <c r="AA488">
        <v>140316</v>
      </c>
      <c r="AB488">
        <v>49638</v>
      </c>
      <c r="AC488">
        <v>9.1283894000000004E-2</v>
      </c>
      <c r="AD488">
        <v>0.60339869999999995</v>
      </c>
      <c r="AF488">
        <v>8.0889473679999995</v>
      </c>
      <c r="AG488">
        <v>3.3000000000000002E-2</v>
      </c>
      <c r="AH488">
        <v>0.152</v>
      </c>
      <c r="AI488">
        <v>0.7</v>
      </c>
      <c r="AJ488">
        <v>2.4359375000000001</v>
      </c>
      <c r="AK488">
        <v>5.9597122300000001</v>
      </c>
      <c r="AL488">
        <v>0.25900000000000001</v>
      </c>
      <c r="AM488">
        <v>8.5999999999999993E-2</v>
      </c>
      <c r="AN488">
        <v>0.65500000000000003</v>
      </c>
    </row>
    <row r="489" spans="1:40">
      <c r="A489">
        <v>2557</v>
      </c>
      <c r="B489" t="s">
        <v>689</v>
      </c>
      <c r="C489" t="s">
        <v>687</v>
      </c>
      <c r="D489" t="s">
        <v>688</v>
      </c>
      <c r="E489">
        <v>393</v>
      </c>
      <c r="F489">
        <v>1312</v>
      </c>
      <c r="G489">
        <v>40.050294299999997</v>
      </c>
      <c r="H489">
        <v>18</v>
      </c>
      <c r="I489">
        <v>6.2601579000000004E-2</v>
      </c>
      <c r="J489">
        <v>1330</v>
      </c>
      <c r="K489">
        <v>21245.470499999999</v>
      </c>
      <c r="L489">
        <v>0.72199999999999998</v>
      </c>
      <c r="M489">
        <v>4.379562E-2</v>
      </c>
      <c r="N489">
        <v>0</v>
      </c>
      <c r="O489" t="s">
        <v>613</v>
      </c>
      <c r="P489">
        <f t="shared" si="65"/>
        <v>7.6632098769999999</v>
      </c>
      <c r="Q489">
        <f t="shared" si="66"/>
        <v>6.0999999999999999E-2</v>
      </c>
      <c r="R489">
        <f t="shared" si="67"/>
        <v>2.8000000000000001E-2</v>
      </c>
      <c r="S489">
        <f t="shared" si="68"/>
        <v>0.72199999999999998</v>
      </c>
      <c r="T489">
        <f t="shared" si="69"/>
        <v>2.0034999999999998</v>
      </c>
      <c r="U489">
        <f t="shared" si="70"/>
        <v>5.1563860369999999</v>
      </c>
      <c r="V489">
        <f t="shared" si="71"/>
        <v>6.6000000000000003E-2</v>
      </c>
      <c r="W489">
        <f t="shared" si="72"/>
        <v>0.23</v>
      </c>
      <c r="X489">
        <f t="shared" si="73"/>
        <v>0.66400000000000003</v>
      </c>
      <c r="Y489">
        <v>138.0844175</v>
      </c>
      <c r="Z489">
        <v>0</v>
      </c>
      <c r="AA489">
        <v>454184</v>
      </c>
      <c r="AB489">
        <v>170596</v>
      </c>
      <c r="AC489">
        <v>6.5715274000000004E-2</v>
      </c>
      <c r="AD489">
        <v>0.72549415100000003</v>
      </c>
      <c r="AF489">
        <v>7.6632098769999999</v>
      </c>
      <c r="AG489">
        <v>6.0999999999999999E-2</v>
      </c>
      <c r="AH489">
        <v>2.8000000000000001E-2</v>
      </c>
      <c r="AI489">
        <v>0.72199999999999998</v>
      </c>
      <c r="AJ489">
        <v>2.0034999999999998</v>
      </c>
      <c r="AK489">
        <v>5.1563860369999999</v>
      </c>
      <c r="AL489">
        <v>6.6000000000000003E-2</v>
      </c>
      <c r="AM489">
        <v>0.23</v>
      </c>
      <c r="AN489">
        <v>0.66400000000000003</v>
      </c>
    </row>
    <row r="490" spans="1:40">
      <c r="A490">
        <v>2558</v>
      </c>
      <c r="B490" t="s">
        <v>686</v>
      </c>
      <c r="C490" t="s">
        <v>687</v>
      </c>
      <c r="D490" t="s">
        <v>688</v>
      </c>
      <c r="E490">
        <v>499</v>
      </c>
      <c r="F490">
        <v>1082</v>
      </c>
      <c r="G490">
        <v>39.307365799999999</v>
      </c>
      <c r="H490">
        <v>167</v>
      </c>
      <c r="I490">
        <v>6.1441455999999998E-2</v>
      </c>
      <c r="J490">
        <v>1249</v>
      </c>
      <c r="K490">
        <v>20328.294300000001</v>
      </c>
      <c r="L490">
        <v>0.61799999999999999</v>
      </c>
      <c r="M490">
        <v>0.25075075099999999</v>
      </c>
      <c r="N490">
        <v>1</v>
      </c>
      <c r="O490" t="s">
        <v>613</v>
      </c>
      <c r="P490">
        <f t="shared" si="65"/>
        <v>10.769888890000001</v>
      </c>
      <c r="Q490">
        <f t="shared" si="66"/>
        <v>0.124</v>
      </c>
      <c r="R490">
        <f t="shared" si="67"/>
        <v>4.5999999999999999E-2</v>
      </c>
      <c r="S490">
        <f t="shared" si="68"/>
        <v>0.61799999999999999</v>
      </c>
      <c r="T490">
        <f t="shared" si="69"/>
        <v>1.8640000000000001</v>
      </c>
      <c r="U490">
        <f t="shared" si="70"/>
        <v>5.975750422</v>
      </c>
      <c r="V490">
        <f t="shared" si="71"/>
        <v>9.4E-2</v>
      </c>
      <c r="W490">
        <f t="shared" si="72"/>
        <v>0.26200000000000001</v>
      </c>
      <c r="X490">
        <f t="shared" si="73"/>
        <v>0.60399999999999998</v>
      </c>
      <c r="Y490">
        <v>195.40587930000001</v>
      </c>
      <c r="Z490">
        <v>1</v>
      </c>
      <c r="AA490">
        <v>140316</v>
      </c>
      <c r="AB490">
        <v>49638</v>
      </c>
      <c r="AC490">
        <v>9.1283894000000004E-2</v>
      </c>
      <c r="AD490">
        <v>0.60339869999999995</v>
      </c>
      <c r="AF490">
        <v>10.769888890000001</v>
      </c>
      <c r="AG490">
        <v>0.124</v>
      </c>
      <c r="AH490">
        <v>4.5999999999999999E-2</v>
      </c>
      <c r="AI490">
        <v>0.61799999999999999</v>
      </c>
      <c r="AJ490">
        <v>1.8640000000000001</v>
      </c>
      <c r="AK490">
        <v>5.975750422</v>
      </c>
      <c r="AL490">
        <v>9.4E-2</v>
      </c>
      <c r="AM490">
        <v>0.26200000000000001</v>
      </c>
      <c r="AN490">
        <v>0.60399999999999998</v>
      </c>
    </row>
    <row r="491" spans="1:40">
      <c r="A491">
        <v>2559</v>
      </c>
      <c r="B491" t="s">
        <v>689</v>
      </c>
      <c r="C491" t="s">
        <v>687</v>
      </c>
      <c r="D491" t="s">
        <v>688</v>
      </c>
      <c r="E491">
        <v>281</v>
      </c>
      <c r="F491">
        <v>738</v>
      </c>
      <c r="G491">
        <v>64.461266899999998</v>
      </c>
      <c r="H491">
        <v>32</v>
      </c>
      <c r="I491">
        <v>0.10076077899999999</v>
      </c>
      <c r="J491">
        <v>770</v>
      </c>
      <c r="K491">
        <v>7641.8623159999997</v>
      </c>
      <c r="L491">
        <v>0.79500000000000004</v>
      </c>
      <c r="M491">
        <v>0.10223642199999999</v>
      </c>
      <c r="N491">
        <v>0</v>
      </c>
      <c r="O491" t="s">
        <v>620</v>
      </c>
      <c r="P491">
        <f t="shared" si="65"/>
        <v>11.94301887</v>
      </c>
      <c r="Q491">
        <f t="shared" si="66"/>
        <v>5.7000000000000002E-2</v>
      </c>
      <c r="R491">
        <f t="shared" si="67"/>
        <v>4.2999999999999997E-2</v>
      </c>
      <c r="S491">
        <f t="shared" si="68"/>
        <v>0.79500000000000004</v>
      </c>
      <c r="T491">
        <f t="shared" si="69"/>
        <v>2.3525</v>
      </c>
      <c r="U491">
        <f t="shared" si="70"/>
        <v>7.1988928569999997</v>
      </c>
      <c r="V491">
        <f t="shared" si="71"/>
        <v>2.7E-2</v>
      </c>
      <c r="W491">
        <f t="shared" si="72"/>
        <v>0.219</v>
      </c>
      <c r="X491">
        <f t="shared" si="73"/>
        <v>0.72599999999999998</v>
      </c>
      <c r="Y491">
        <v>109.02119620000001</v>
      </c>
      <c r="Z491">
        <v>0</v>
      </c>
      <c r="AA491">
        <v>454184</v>
      </c>
      <c r="AB491">
        <v>170596</v>
      </c>
      <c r="AC491">
        <v>6.5715274000000004E-2</v>
      </c>
      <c r="AD491">
        <v>0.72549415100000003</v>
      </c>
      <c r="AF491">
        <v>11.94301887</v>
      </c>
      <c r="AG491">
        <v>5.7000000000000002E-2</v>
      </c>
      <c r="AH491">
        <v>4.2999999999999997E-2</v>
      </c>
      <c r="AI491">
        <v>0.79500000000000004</v>
      </c>
      <c r="AJ491">
        <v>2.3525</v>
      </c>
      <c r="AK491">
        <v>7.1988928569999997</v>
      </c>
      <c r="AL491">
        <v>2.7E-2</v>
      </c>
      <c r="AM491">
        <v>0.219</v>
      </c>
      <c r="AN491">
        <v>0.72599999999999998</v>
      </c>
    </row>
    <row r="492" spans="1:40">
      <c r="A492">
        <v>2560</v>
      </c>
      <c r="B492" t="s">
        <v>689</v>
      </c>
      <c r="C492" t="s">
        <v>687</v>
      </c>
      <c r="D492" t="s">
        <v>688</v>
      </c>
      <c r="E492">
        <v>679</v>
      </c>
      <c r="F492">
        <v>1779</v>
      </c>
      <c r="G492">
        <v>61.671493130000002</v>
      </c>
      <c r="H492">
        <v>276</v>
      </c>
      <c r="I492">
        <v>9.6400000999999999E-2</v>
      </c>
      <c r="J492">
        <v>2055</v>
      </c>
      <c r="K492">
        <v>21317.427159999999</v>
      </c>
      <c r="L492">
        <v>0.749</v>
      </c>
      <c r="M492">
        <v>0.289005236</v>
      </c>
      <c r="N492">
        <v>0</v>
      </c>
      <c r="O492" t="s">
        <v>613</v>
      </c>
      <c r="P492">
        <f t="shared" si="65"/>
        <v>10.7294</v>
      </c>
      <c r="Q492">
        <f t="shared" si="66"/>
        <v>3.7999999999999999E-2</v>
      </c>
      <c r="R492">
        <f t="shared" si="67"/>
        <v>2.4E-2</v>
      </c>
      <c r="S492">
        <f t="shared" si="68"/>
        <v>0.749</v>
      </c>
      <c r="T492">
        <f t="shared" si="69"/>
        <v>1.969666667</v>
      </c>
      <c r="U492">
        <f t="shared" si="70"/>
        <v>6.7177777780000003</v>
      </c>
      <c r="V492">
        <f t="shared" si="71"/>
        <v>3.1E-2</v>
      </c>
      <c r="W492">
        <f t="shared" si="72"/>
        <v>0.14099999999999999</v>
      </c>
      <c r="X492">
        <f t="shared" si="73"/>
        <v>0.78500000000000003</v>
      </c>
      <c r="Y492">
        <v>131.41739469999999</v>
      </c>
      <c r="Z492">
        <v>0</v>
      </c>
      <c r="AA492">
        <v>454184</v>
      </c>
      <c r="AB492">
        <v>170596</v>
      </c>
      <c r="AC492">
        <v>6.5715274000000004E-2</v>
      </c>
      <c r="AD492">
        <v>0.72549415100000003</v>
      </c>
      <c r="AF492">
        <v>10.7294</v>
      </c>
      <c r="AG492">
        <v>3.7999999999999999E-2</v>
      </c>
      <c r="AH492">
        <v>2.4E-2</v>
      </c>
      <c r="AI492">
        <v>0.749</v>
      </c>
      <c r="AJ492">
        <v>1.969666667</v>
      </c>
      <c r="AK492">
        <v>6.7177777780000003</v>
      </c>
      <c r="AL492">
        <v>3.1E-2</v>
      </c>
      <c r="AM492">
        <v>0.14099999999999999</v>
      </c>
      <c r="AN492">
        <v>0.78500000000000003</v>
      </c>
    </row>
    <row r="493" spans="1:40">
      <c r="A493">
        <v>2561</v>
      </c>
      <c r="B493" t="s">
        <v>689</v>
      </c>
      <c r="C493" t="s">
        <v>687</v>
      </c>
      <c r="D493" t="s">
        <v>688</v>
      </c>
      <c r="E493">
        <v>297</v>
      </c>
      <c r="F493">
        <v>703</v>
      </c>
      <c r="G493">
        <v>43.302700600000001</v>
      </c>
      <c r="H493">
        <v>0</v>
      </c>
      <c r="I493">
        <v>6.7689187999999997E-2</v>
      </c>
      <c r="J493">
        <v>703</v>
      </c>
      <c r="K493">
        <v>10385.705910000001</v>
      </c>
      <c r="L493">
        <v>0.749</v>
      </c>
      <c r="M493">
        <v>0</v>
      </c>
      <c r="N493">
        <v>0</v>
      </c>
      <c r="O493" t="s">
        <v>620</v>
      </c>
      <c r="P493">
        <f t="shared" si="65"/>
        <v>11.633968250000001</v>
      </c>
      <c r="Q493">
        <f t="shared" si="66"/>
        <v>6.3E-2</v>
      </c>
      <c r="R493">
        <f t="shared" si="67"/>
        <v>2.1000000000000001E-2</v>
      </c>
      <c r="S493">
        <f t="shared" si="68"/>
        <v>0.749</v>
      </c>
      <c r="T493">
        <f t="shared" si="69"/>
        <v>1.7825</v>
      </c>
      <c r="U493">
        <f t="shared" si="70"/>
        <v>6.8257692309999998</v>
      </c>
      <c r="V493">
        <f t="shared" si="71"/>
        <v>1.2999999999999999E-2</v>
      </c>
      <c r="W493">
        <f t="shared" si="72"/>
        <v>0.154</v>
      </c>
      <c r="X493">
        <f t="shared" si="73"/>
        <v>0.80800000000000005</v>
      </c>
      <c r="Y493">
        <v>98.548564389999996</v>
      </c>
      <c r="Z493">
        <v>0</v>
      </c>
      <c r="AA493">
        <v>454184</v>
      </c>
      <c r="AB493">
        <v>170596</v>
      </c>
      <c r="AC493">
        <v>6.5715274000000004E-2</v>
      </c>
      <c r="AD493">
        <v>0.72549415100000003</v>
      </c>
      <c r="AF493">
        <v>11.633968250000001</v>
      </c>
      <c r="AG493">
        <v>6.3E-2</v>
      </c>
      <c r="AH493">
        <v>2.1000000000000001E-2</v>
      </c>
      <c r="AI493">
        <v>0.749</v>
      </c>
      <c r="AJ493">
        <v>1.7825</v>
      </c>
      <c r="AK493">
        <v>6.8257692309999998</v>
      </c>
      <c r="AL493">
        <v>1.2999999999999999E-2</v>
      </c>
      <c r="AM493">
        <v>0.154</v>
      </c>
      <c r="AN493">
        <v>0.80800000000000005</v>
      </c>
    </row>
    <row r="494" spans="1:40">
      <c r="A494">
        <v>2562</v>
      </c>
      <c r="B494" t="s">
        <v>689</v>
      </c>
      <c r="C494" t="s">
        <v>687</v>
      </c>
      <c r="D494" t="s">
        <v>688</v>
      </c>
      <c r="E494">
        <v>412</v>
      </c>
      <c r="F494">
        <v>1080</v>
      </c>
      <c r="G494">
        <v>99.746938819999997</v>
      </c>
      <c r="H494">
        <v>74</v>
      </c>
      <c r="I494">
        <v>0.15592593900000001</v>
      </c>
      <c r="J494">
        <v>1154</v>
      </c>
      <c r="K494">
        <v>7400.9494979999999</v>
      </c>
      <c r="L494">
        <v>0.755</v>
      </c>
      <c r="M494">
        <v>0.15226337400000001</v>
      </c>
      <c r="N494">
        <v>0</v>
      </c>
      <c r="O494" t="s">
        <v>620</v>
      </c>
      <c r="P494">
        <f t="shared" si="65"/>
        <v>12.87613861</v>
      </c>
      <c r="Q494">
        <f t="shared" si="66"/>
        <v>5.5E-2</v>
      </c>
      <c r="R494">
        <f t="shared" si="67"/>
        <v>3.1E-2</v>
      </c>
      <c r="S494">
        <f t="shared" si="68"/>
        <v>0.755</v>
      </c>
      <c r="T494">
        <f t="shared" si="69"/>
        <v>1.9085000000000001</v>
      </c>
      <c r="U494">
        <f t="shared" si="70"/>
        <v>7.3342350329999997</v>
      </c>
      <c r="V494">
        <f t="shared" si="71"/>
        <v>3.1E-2</v>
      </c>
      <c r="W494">
        <f t="shared" si="72"/>
        <v>0.16800000000000001</v>
      </c>
      <c r="X494">
        <f t="shared" si="73"/>
        <v>0.77100000000000002</v>
      </c>
      <c r="Y494">
        <v>102.5815489</v>
      </c>
      <c r="Z494">
        <v>0</v>
      </c>
      <c r="AA494">
        <v>454184</v>
      </c>
      <c r="AB494">
        <v>170596</v>
      </c>
      <c r="AC494">
        <v>6.5715274000000004E-2</v>
      </c>
      <c r="AD494">
        <v>0.72549415100000003</v>
      </c>
      <c r="AF494">
        <v>12.87613861</v>
      </c>
      <c r="AG494">
        <v>5.5E-2</v>
      </c>
      <c r="AH494">
        <v>3.1E-2</v>
      </c>
      <c r="AI494">
        <v>0.755</v>
      </c>
      <c r="AJ494">
        <v>1.9085000000000001</v>
      </c>
      <c r="AK494">
        <v>7.3342350329999997</v>
      </c>
      <c r="AL494">
        <v>3.1E-2</v>
      </c>
      <c r="AM494">
        <v>0.16800000000000001</v>
      </c>
      <c r="AN494">
        <v>0.77100000000000002</v>
      </c>
    </row>
    <row r="495" spans="1:40">
      <c r="A495">
        <v>2563</v>
      </c>
      <c r="B495" t="s">
        <v>689</v>
      </c>
      <c r="C495" t="s">
        <v>687</v>
      </c>
      <c r="D495" t="s">
        <v>688</v>
      </c>
      <c r="E495">
        <v>723</v>
      </c>
      <c r="F495">
        <v>1744</v>
      </c>
      <c r="G495">
        <v>88.922876840000001</v>
      </c>
      <c r="H495">
        <v>679</v>
      </c>
      <c r="I495">
        <v>0.13899910900000001</v>
      </c>
      <c r="J495">
        <v>2423</v>
      </c>
      <c r="K495">
        <v>17431.76642</v>
      </c>
      <c r="L495">
        <v>0.73499999999999999</v>
      </c>
      <c r="M495">
        <v>0.48430813099999998</v>
      </c>
      <c r="N495">
        <v>0</v>
      </c>
      <c r="O495" t="s">
        <v>613</v>
      </c>
      <c r="P495">
        <f t="shared" si="65"/>
        <v>11.03025641</v>
      </c>
      <c r="Q495">
        <f t="shared" si="66"/>
        <v>4.4999999999999998E-2</v>
      </c>
      <c r="R495">
        <f t="shared" si="67"/>
        <v>4.2000000000000003E-2</v>
      </c>
      <c r="S495">
        <f t="shared" si="68"/>
        <v>0.73499999999999999</v>
      </c>
      <c r="T495">
        <f t="shared" si="69"/>
        <v>2.3838750000000002</v>
      </c>
      <c r="U495">
        <f t="shared" si="70"/>
        <v>7.0194608570000003</v>
      </c>
      <c r="V495">
        <f t="shared" si="71"/>
        <v>8.6999999999999994E-2</v>
      </c>
      <c r="W495">
        <f t="shared" si="72"/>
        <v>0.11899999999999999</v>
      </c>
      <c r="X495">
        <f t="shared" si="73"/>
        <v>0.75</v>
      </c>
      <c r="Y495">
        <v>108.133067</v>
      </c>
      <c r="Z495">
        <v>0</v>
      </c>
      <c r="AA495">
        <v>454184</v>
      </c>
      <c r="AB495">
        <v>170596</v>
      </c>
      <c r="AC495">
        <v>6.5715274000000004E-2</v>
      </c>
      <c r="AD495">
        <v>0.72549415100000003</v>
      </c>
      <c r="AF495">
        <v>11.03025641</v>
      </c>
      <c r="AG495">
        <v>4.4999999999999998E-2</v>
      </c>
      <c r="AH495">
        <v>4.2000000000000003E-2</v>
      </c>
      <c r="AI495">
        <v>0.73499999999999999</v>
      </c>
      <c r="AJ495">
        <v>2.3838750000000002</v>
      </c>
      <c r="AK495">
        <v>7.0194608570000003</v>
      </c>
      <c r="AL495">
        <v>8.6999999999999994E-2</v>
      </c>
      <c r="AM495">
        <v>0.11899999999999999</v>
      </c>
      <c r="AN495">
        <v>0.75</v>
      </c>
    </row>
    <row r="496" spans="1:40">
      <c r="A496">
        <v>2564</v>
      </c>
      <c r="B496" t="s">
        <v>689</v>
      </c>
      <c r="C496" t="s">
        <v>687</v>
      </c>
      <c r="D496" t="s">
        <v>688</v>
      </c>
      <c r="E496">
        <v>442</v>
      </c>
      <c r="F496">
        <v>1370</v>
      </c>
      <c r="G496">
        <v>59.427232660000001</v>
      </c>
      <c r="H496">
        <v>105</v>
      </c>
      <c r="I496">
        <v>9.2891335000000005E-2</v>
      </c>
      <c r="J496">
        <v>1475</v>
      </c>
      <c r="K496">
        <v>15878.768459999999</v>
      </c>
      <c r="L496">
        <v>0.68899999999999995</v>
      </c>
      <c r="M496">
        <v>0.19195612400000001</v>
      </c>
      <c r="N496">
        <v>0</v>
      </c>
      <c r="O496" t="s">
        <v>613</v>
      </c>
      <c r="P496">
        <f t="shared" si="65"/>
        <v>10.59427273</v>
      </c>
      <c r="Q496">
        <f t="shared" si="66"/>
        <v>4.8000000000000001E-2</v>
      </c>
      <c r="R496">
        <f t="shared" si="67"/>
        <v>4.9000000000000002E-2</v>
      </c>
      <c r="S496">
        <f t="shared" si="68"/>
        <v>0.68899999999999995</v>
      </c>
      <c r="T496">
        <f t="shared" si="69"/>
        <v>1.594186047</v>
      </c>
      <c r="U496">
        <f t="shared" si="70"/>
        <v>6.4745331070000001</v>
      </c>
      <c r="V496">
        <f t="shared" si="71"/>
        <v>3.4000000000000002E-2</v>
      </c>
      <c r="W496">
        <f t="shared" si="72"/>
        <v>0.192</v>
      </c>
      <c r="X496">
        <f t="shared" si="73"/>
        <v>0.753</v>
      </c>
      <c r="Y496">
        <v>86.283865300000002</v>
      </c>
      <c r="Z496">
        <v>0</v>
      </c>
      <c r="AA496">
        <v>454184</v>
      </c>
      <c r="AB496">
        <v>170596</v>
      </c>
      <c r="AC496">
        <v>6.5715274000000004E-2</v>
      </c>
      <c r="AD496">
        <v>0.72549415100000003</v>
      </c>
      <c r="AF496">
        <v>10.59427273</v>
      </c>
      <c r="AG496">
        <v>4.8000000000000001E-2</v>
      </c>
      <c r="AH496">
        <v>4.9000000000000002E-2</v>
      </c>
      <c r="AI496">
        <v>0.68899999999999995</v>
      </c>
      <c r="AJ496">
        <v>1.594186047</v>
      </c>
      <c r="AK496">
        <v>6.4745331070000001</v>
      </c>
      <c r="AL496">
        <v>3.4000000000000002E-2</v>
      </c>
      <c r="AM496">
        <v>0.192</v>
      </c>
      <c r="AN496">
        <v>0.753</v>
      </c>
    </row>
    <row r="497" spans="1:40">
      <c r="A497">
        <v>2565</v>
      </c>
      <c r="B497" t="s">
        <v>702</v>
      </c>
      <c r="C497" t="s">
        <v>696</v>
      </c>
      <c r="D497" t="s">
        <v>697</v>
      </c>
      <c r="E497">
        <v>258</v>
      </c>
      <c r="F497">
        <v>636</v>
      </c>
      <c r="G497">
        <v>141.0601733</v>
      </c>
      <c r="H497">
        <v>130</v>
      </c>
      <c r="I497">
        <v>0.220490035</v>
      </c>
      <c r="J497">
        <v>766</v>
      </c>
      <c r="K497">
        <v>3474.0799059999999</v>
      </c>
      <c r="L497">
        <v>0.76900000000000002</v>
      </c>
      <c r="M497">
        <v>0.33505154599999998</v>
      </c>
      <c r="N497">
        <v>0</v>
      </c>
      <c r="O497" t="s">
        <v>620</v>
      </c>
      <c r="P497">
        <f t="shared" si="65"/>
        <v>13.56174603</v>
      </c>
      <c r="Q497">
        <f t="shared" si="66"/>
        <v>5.8999999999999997E-2</v>
      </c>
      <c r="R497">
        <f t="shared" si="67"/>
        <v>1.9E-2</v>
      </c>
      <c r="S497">
        <f t="shared" si="68"/>
        <v>0.76900000000000002</v>
      </c>
      <c r="T497">
        <f t="shared" si="69"/>
        <v>2.7033333329999998</v>
      </c>
      <c r="U497">
        <f t="shared" si="70"/>
        <v>9.5527731090000003</v>
      </c>
      <c r="V497">
        <f t="shared" si="71"/>
        <v>7.0999999999999994E-2</v>
      </c>
      <c r="W497">
        <f t="shared" si="72"/>
        <v>0.16500000000000001</v>
      </c>
      <c r="X497">
        <f t="shared" si="73"/>
        <v>0.74099999999999999</v>
      </c>
      <c r="Y497">
        <v>183.87578669999999</v>
      </c>
      <c r="Z497">
        <v>0</v>
      </c>
      <c r="AA497">
        <v>90778</v>
      </c>
      <c r="AB497">
        <v>31662</v>
      </c>
      <c r="AC497">
        <v>3.1753482E-2</v>
      </c>
      <c r="AD497">
        <v>0.82960131100000001</v>
      </c>
      <c r="AF497">
        <v>13.56174603</v>
      </c>
      <c r="AG497">
        <v>5.8999999999999997E-2</v>
      </c>
      <c r="AH497">
        <v>1.9E-2</v>
      </c>
      <c r="AI497">
        <v>0.76900000000000002</v>
      </c>
      <c r="AJ497">
        <v>2.7033333329999998</v>
      </c>
      <c r="AK497">
        <v>9.5527731090000003</v>
      </c>
      <c r="AL497">
        <v>7.0999999999999994E-2</v>
      </c>
      <c r="AM497">
        <v>0.16500000000000001</v>
      </c>
      <c r="AN497">
        <v>0.74099999999999999</v>
      </c>
    </row>
    <row r="498" spans="1:40">
      <c r="A498">
        <v>2566</v>
      </c>
      <c r="B498" t="s">
        <v>686</v>
      </c>
      <c r="C498" t="s">
        <v>687</v>
      </c>
      <c r="D498" t="s">
        <v>688</v>
      </c>
      <c r="E498">
        <v>559</v>
      </c>
      <c r="F498">
        <v>1145</v>
      </c>
      <c r="G498">
        <v>51.319326969999999</v>
      </c>
      <c r="H498">
        <v>391</v>
      </c>
      <c r="I498">
        <v>8.0222352999999996E-2</v>
      </c>
      <c r="J498">
        <v>1536</v>
      </c>
      <c r="K498">
        <v>19146.783189999998</v>
      </c>
      <c r="L498">
        <v>0.68300000000000005</v>
      </c>
      <c r="M498">
        <v>0.41157894699999997</v>
      </c>
      <c r="N498">
        <v>1</v>
      </c>
      <c r="O498" t="s">
        <v>606</v>
      </c>
      <c r="P498">
        <f t="shared" si="65"/>
        <v>8.1729565219999998</v>
      </c>
      <c r="Q498">
        <f t="shared" si="66"/>
        <v>0.09</v>
      </c>
      <c r="R498">
        <f t="shared" si="67"/>
        <v>3.9E-2</v>
      </c>
      <c r="S498">
        <f t="shared" si="68"/>
        <v>0.68300000000000005</v>
      </c>
      <c r="T498">
        <f t="shared" si="69"/>
        <v>1.6655769229999999</v>
      </c>
      <c r="U498">
        <f t="shared" si="70"/>
        <v>5.5102634589999999</v>
      </c>
      <c r="V498">
        <f t="shared" si="71"/>
        <v>4.9000000000000002E-2</v>
      </c>
      <c r="W498">
        <f t="shared" si="72"/>
        <v>0.28199999999999997</v>
      </c>
      <c r="X498">
        <f t="shared" si="73"/>
        <v>0.55800000000000005</v>
      </c>
      <c r="Y498">
        <v>237.88413940000001</v>
      </c>
      <c r="Z498">
        <v>1</v>
      </c>
      <c r="AA498">
        <v>140316</v>
      </c>
      <c r="AB498">
        <v>49638</v>
      </c>
      <c r="AC498">
        <v>9.1283894000000004E-2</v>
      </c>
      <c r="AD498">
        <v>0.60339869999999995</v>
      </c>
      <c r="AF498">
        <v>8.1729565219999998</v>
      </c>
      <c r="AG498">
        <v>0.09</v>
      </c>
      <c r="AH498">
        <v>3.9E-2</v>
      </c>
      <c r="AI498">
        <v>0.68300000000000005</v>
      </c>
      <c r="AJ498">
        <v>1.6655769229999999</v>
      </c>
      <c r="AK498">
        <v>5.5102634589999999</v>
      </c>
      <c r="AL498">
        <v>4.9000000000000002E-2</v>
      </c>
      <c r="AM498">
        <v>0.28199999999999997</v>
      </c>
      <c r="AN498">
        <v>0.55800000000000005</v>
      </c>
    </row>
    <row r="499" spans="1:40">
      <c r="A499">
        <v>2567</v>
      </c>
      <c r="B499" t="s">
        <v>689</v>
      </c>
      <c r="C499" t="s">
        <v>687</v>
      </c>
      <c r="D499" t="s">
        <v>688</v>
      </c>
      <c r="E499">
        <v>488</v>
      </c>
      <c r="F499">
        <v>1213</v>
      </c>
      <c r="G499">
        <v>150.64872249999999</v>
      </c>
      <c r="H499">
        <v>18</v>
      </c>
      <c r="I499">
        <v>0.23548718199999999</v>
      </c>
      <c r="J499">
        <v>1231</v>
      </c>
      <c r="K499">
        <v>5227.4607459999997</v>
      </c>
      <c r="L499">
        <v>0.86</v>
      </c>
      <c r="M499">
        <v>3.5573122999999998E-2</v>
      </c>
      <c r="N499">
        <v>0</v>
      </c>
      <c r="O499" t="s">
        <v>620</v>
      </c>
      <c r="P499">
        <f t="shared" si="65"/>
        <v>11.672322579999999</v>
      </c>
      <c r="Q499">
        <f t="shared" si="66"/>
        <v>5.7000000000000002E-2</v>
      </c>
      <c r="R499">
        <f t="shared" si="67"/>
        <v>1.7000000000000001E-2</v>
      </c>
      <c r="S499">
        <f t="shared" si="68"/>
        <v>0.86</v>
      </c>
      <c r="T499">
        <f t="shared" si="69"/>
        <v>3.4910000000000001</v>
      </c>
      <c r="U499">
        <f t="shared" si="70"/>
        <v>8.8619105690000008</v>
      </c>
      <c r="V499">
        <f t="shared" si="71"/>
        <v>2.1000000000000001E-2</v>
      </c>
      <c r="W499">
        <f t="shared" si="72"/>
        <v>0.16800000000000001</v>
      </c>
      <c r="X499">
        <f t="shared" si="73"/>
        <v>0.81200000000000006</v>
      </c>
      <c r="Y499">
        <v>93.34294156</v>
      </c>
      <c r="Z499">
        <v>0</v>
      </c>
      <c r="AA499">
        <v>454184</v>
      </c>
      <c r="AB499">
        <v>170596</v>
      </c>
      <c r="AC499">
        <v>6.5715274000000004E-2</v>
      </c>
      <c r="AD499">
        <v>0.72549415100000003</v>
      </c>
      <c r="AF499">
        <v>11.672322579999999</v>
      </c>
      <c r="AG499">
        <v>5.7000000000000002E-2</v>
      </c>
      <c r="AH499">
        <v>1.7000000000000001E-2</v>
      </c>
      <c r="AI499">
        <v>0.86</v>
      </c>
      <c r="AJ499">
        <v>3.4910000000000001</v>
      </c>
      <c r="AK499">
        <v>8.8619105690000008</v>
      </c>
      <c r="AL499">
        <v>2.1000000000000001E-2</v>
      </c>
      <c r="AM499">
        <v>0.16800000000000001</v>
      </c>
      <c r="AN499">
        <v>0.81200000000000006</v>
      </c>
    </row>
    <row r="500" spans="1:40">
      <c r="A500">
        <v>2568</v>
      </c>
      <c r="B500" t="s">
        <v>689</v>
      </c>
      <c r="C500" t="s">
        <v>687</v>
      </c>
      <c r="D500" t="s">
        <v>688</v>
      </c>
      <c r="E500">
        <v>665</v>
      </c>
      <c r="F500">
        <v>1503</v>
      </c>
      <c r="G500">
        <v>94.34668499</v>
      </c>
      <c r="H500">
        <v>308</v>
      </c>
      <c r="I500">
        <v>0.14747391100000001</v>
      </c>
      <c r="J500">
        <v>1811</v>
      </c>
      <c r="K500">
        <v>12280.138150000001</v>
      </c>
      <c r="L500">
        <v>0.79300000000000004</v>
      </c>
      <c r="M500">
        <v>0.31654676300000001</v>
      </c>
      <c r="N500">
        <v>0</v>
      </c>
      <c r="O500" t="s">
        <v>613</v>
      </c>
      <c r="P500">
        <f t="shared" si="65"/>
        <v>9.0862820509999995</v>
      </c>
      <c r="Q500">
        <f t="shared" si="66"/>
        <v>4.5999999999999999E-2</v>
      </c>
      <c r="R500">
        <f t="shared" si="67"/>
        <v>2.9000000000000001E-2</v>
      </c>
      <c r="S500">
        <f t="shared" si="68"/>
        <v>0.79300000000000004</v>
      </c>
      <c r="T500">
        <f t="shared" si="69"/>
        <v>2.078421053</v>
      </c>
      <c r="U500">
        <f t="shared" si="70"/>
        <v>6.3153930349999996</v>
      </c>
      <c r="V500">
        <f t="shared" si="71"/>
        <v>4.9000000000000002E-2</v>
      </c>
      <c r="W500">
        <f t="shared" si="72"/>
        <v>0.13600000000000001</v>
      </c>
      <c r="X500">
        <f t="shared" si="73"/>
        <v>0.75700000000000001</v>
      </c>
      <c r="Y500">
        <v>94.645553559999996</v>
      </c>
      <c r="Z500">
        <v>0</v>
      </c>
      <c r="AA500">
        <v>454184</v>
      </c>
      <c r="AB500">
        <v>170596</v>
      </c>
      <c r="AC500">
        <v>6.5715274000000004E-2</v>
      </c>
      <c r="AD500">
        <v>0.72549415100000003</v>
      </c>
      <c r="AF500">
        <v>9.0862820509999995</v>
      </c>
      <c r="AG500">
        <v>4.5999999999999999E-2</v>
      </c>
      <c r="AH500">
        <v>2.9000000000000001E-2</v>
      </c>
      <c r="AI500">
        <v>0.79300000000000004</v>
      </c>
      <c r="AJ500">
        <v>2.078421053</v>
      </c>
      <c r="AK500">
        <v>6.3153930349999996</v>
      </c>
      <c r="AL500">
        <v>4.9000000000000002E-2</v>
      </c>
      <c r="AM500">
        <v>0.13600000000000001</v>
      </c>
      <c r="AN500">
        <v>0.75700000000000001</v>
      </c>
    </row>
    <row r="501" spans="1:40">
      <c r="A501">
        <v>2569</v>
      </c>
      <c r="B501" t="s">
        <v>686</v>
      </c>
      <c r="C501" t="s">
        <v>687</v>
      </c>
      <c r="D501" t="s">
        <v>688</v>
      </c>
      <c r="E501">
        <v>319</v>
      </c>
      <c r="F501">
        <v>826</v>
      </c>
      <c r="G501">
        <v>21.663515490000002</v>
      </c>
      <c r="H501">
        <v>97</v>
      </c>
      <c r="I501">
        <v>3.3861694999999997E-2</v>
      </c>
      <c r="J501">
        <v>923</v>
      </c>
      <c r="K501">
        <v>27257.93851</v>
      </c>
      <c r="L501">
        <v>0.71199999999999997</v>
      </c>
      <c r="M501">
        <v>0.23317307700000001</v>
      </c>
      <c r="N501">
        <v>1</v>
      </c>
      <c r="O501" t="s">
        <v>613</v>
      </c>
      <c r="P501">
        <f t="shared" si="65"/>
        <v>7.5230158730000003</v>
      </c>
      <c r="Q501">
        <f t="shared" si="66"/>
        <v>8.7999999999999995E-2</v>
      </c>
      <c r="R501">
        <f t="shared" si="67"/>
        <v>0.03</v>
      </c>
      <c r="S501">
        <f t="shared" si="68"/>
        <v>0.71199999999999997</v>
      </c>
      <c r="T501">
        <f t="shared" si="69"/>
        <v>2.1484999999999999</v>
      </c>
      <c r="U501">
        <f t="shared" si="70"/>
        <v>4.4248936170000004</v>
      </c>
      <c r="V501">
        <f t="shared" si="71"/>
        <v>0.127</v>
      </c>
      <c r="W501">
        <f t="shared" si="72"/>
        <v>0.17599999999999999</v>
      </c>
      <c r="X501">
        <f t="shared" si="73"/>
        <v>0.61799999999999999</v>
      </c>
      <c r="Y501">
        <v>215.8719658</v>
      </c>
      <c r="Z501">
        <v>1</v>
      </c>
      <c r="AA501">
        <v>140316</v>
      </c>
      <c r="AB501">
        <v>49638</v>
      </c>
      <c r="AC501">
        <v>9.1283894000000004E-2</v>
      </c>
      <c r="AD501">
        <v>0.60339869999999995</v>
      </c>
      <c r="AF501">
        <v>7.5230158730000003</v>
      </c>
      <c r="AG501">
        <v>8.7999999999999995E-2</v>
      </c>
      <c r="AH501">
        <v>0.03</v>
      </c>
      <c r="AI501">
        <v>0.71199999999999997</v>
      </c>
      <c r="AJ501">
        <v>2.1484999999999999</v>
      </c>
      <c r="AK501">
        <v>4.4248936170000004</v>
      </c>
      <c r="AL501">
        <v>0.127</v>
      </c>
      <c r="AM501">
        <v>0.17599999999999999</v>
      </c>
      <c r="AN501">
        <v>0.61799999999999999</v>
      </c>
    </row>
    <row r="502" spans="1:40">
      <c r="A502">
        <v>2570</v>
      </c>
      <c r="B502" t="s">
        <v>689</v>
      </c>
      <c r="C502" t="s">
        <v>687</v>
      </c>
      <c r="D502" t="s">
        <v>688</v>
      </c>
      <c r="E502">
        <v>397</v>
      </c>
      <c r="F502">
        <v>1326</v>
      </c>
      <c r="G502">
        <v>34.564582919999999</v>
      </c>
      <c r="H502">
        <v>1</v>
      </c>
      <c r="I502">
        <v>5.4025550999999998E-2</v>
      </c>
      <c r="J502">
        <v>1327</v>
      </c>
      <c r="K502">
        <v>24562.451939999999</v>
      </c>
      <c r="L502">
        <v>0.66400000000000003</v>
      </c>
      <c r="M502">
        <v>2.5125630000000002E-3</v>
      </c>
      <c r="N502">
        <v>0</v>
      </c>
      <c r="O502" t="s">
        <v>613</v>
      </c>
      <c r="P502">
        <f t="shared" si="65"/>
        <v>7.7265517240000001</v>
      </c>
      <c r="Q502">
        <f t="shared" si="66"/>
        <v>6.4000000000000001E-2</v>
      </c>
      <c r="R502">
        <f t="shared" si="67"/>
        <v>5.7000000000000002E-2</v>
      </c>
      <c r="S502">
        <f t="shared" si="68"/>
        <v>0.66400000000000003</v>
      </c>
      <c r="T502">
        <f t="shared" si="69"/>
        <v>1.578125</v>
      </c>
      <c r="U502">
        <f t="shared" si="70"/>
        <v>5.4504972379999996</v>
      </c>
      <c r="V502">
        <f t="shared" si="71"/>
        <v>8.6999999999999994E-2</v>
      </c>
      <c r="W502">
        <f t="shared" si="72"/>
        <v>0.26100000000000001</v>
      </c>
      <c r="X502">
        <f t="shared" si="73"/>
        <v>0.63</v>
      </c>
      <c r="Y502">
        <v>227.87579239999999</v>
      </c>
      <c r="Z502">
        <v>0</v>
      </c>
      <c r="AA502">
        <v>454184</v>
      </c>
      <c r="AB502">
        <v>170596</v>
      </c>
      <c r="AC502">
        <v>6.5715274000000004E-2</v>
      </c>
      <c r="AD502">
        <v>0.72549415100000003</v>
      </c>
      <c r="AF502">
        <v>7.7265517240000001</v>
      </c>
      <c r="AG502">
        <v>6.4000000000000001E-2</v>
      </c>
      <c r="AH502">
        <v>5.7000000000000002E-2</v>
      </c>
      <c r="AI502">
        <v>0.66400000000000003</v>
      </c>
      <c r="AJ502">
        <v>1.578125</v>
      </c>
      <c r="AK502">
        <v>5.4504972379999996</v>
      </c>
      <c r="AL502">
        <v>8.6999999999999994E-2</v>
      </c>
      <c r="AM502">
        <v>0.26100000000000001</v>
      </c>
      <c r="AN502">
        <v>0.63</v>
      </c>
    </row>
    <row r="503" spans="1:40">
      <c r="A503">
        <v>2571</v>
      </c>
      <c r="B503" t="s">
        <v>689</v>
      </c>
      <c r="C503" t="s">
        <v>687</v>
      </c>
      <c r="D503" t="s">
        <v>688</v>
      </c>
      <c r="E503">
        <v>633</v>
      </c>
      <c r="F503">
        <v>1237</v>
      </c>
      <c r="G503">
        <v>36.025196739999998</v>
      </c>
      <c r="H503">
        <v>126</v>
      </c>
      <c r="I503">
        <v>5.6311960000000001E-2</v>
      </c>
      <c r="J503">
        <v>1363</v>
      </c>
      <c r="K503">
        <v>24204.449639999999</v>
      </c>
      <c r="L503">
        <v>0.68</v>
      </c>
      <c r="M503">
        <v>0.16600790500000001</v>
      </c>
      <c r="N503">
        <v>0</v>
      </c>
      <c r="O503" t="s">
        <v>606</v>
      </c>
      <c r="P503">
        <f t="shared" si="65"/>
        <v>8.9696103899999997</v>
      </c>
      <c r="Q503">
        <f t="shared" si="66"/>
        <v>5.8000000000000003E-2</v>
      </c>
      <c r="R503">
        <f t="shared" si="67"/>
        <v>5.1999999999999998E-2</v>
      </c>
      <c r="S503">
        <f t="shared" si="68"/>
        <v>0.68</v>
      </c>
      <c r="T503">
        <f t="shared" si="69"/>
        <v>2.0798000000000001</v>
      </c>
      <c r="U503">
        <f t="shared" si="70"/>
        <v>5.9571226419999999</v>
      </c>
      <c r="V503">
        <f t="shared" si="71"/>
        <v>6.8000000000000005E-2</v>
      </c>
      <c r="W503">
        <f t="shared" si="72"/>
        <v>0.153</v>
      </c>
      <c r="X503">
        <f t="shared" si="73"/>
        <v>0.65500000000000003</v>
      </c>
      <c r="Y503">
        <v>130.1845998</v>
      </c>
      <c r="Z503">
        <v>0</v>
      </c>
      <c r="AA503">
        <v>454184</v>
      </c>
      <c r="AB503">
        <v>170596</v>
      </c>
      <c r="AC503">
        <v>6.5715274000000004E-2</v>
      </c>
      <c r="AD503">
        <v>0.72549415100000003</v>
      </c>
      <c r="AF503">
        <v>8.9696103899999997</v>
      </c>
      <c r="AG503">
        <v>5.8000000000000003E-2</v>
      </c>
      <c r="AH503">
        <v>5.1999999999999998E-2</v>
      </c>
      <c r="AI503">
        <v>0.68</v>
      </c>
      <c r="AJ503">
        <v>2.0798000000000001</v>
      </c>
      <c r="AK503">
        <v>5.9571226419999999</v>
      </c>
      <c r="AL503">
        <v>6.8000000000000005E-2</v>
      </c>
      <c r="AM503">
        <v>0.153</v>
      </c>
      <c r="AN503">
        <v>0.65500000000000003</v>
      </c>
    </row>
    <row r="504" spans="1:40">
      <c r="A504">
        <v>2572</v>
      </c>
      <c r="B504" t="s">
        <v>689</v>
      </c>
      <c r="C504" t="s">
        <v>687</v>
      </c>
      <c r="D504" t="s">
        <v>688</v>
      </c>
      <c r="E504">
        <v>231</v>
      </c>
      <c r="F504">
        <v>770</v>
      </c>
      <c r="G504">
        <v>23.829335929999999</v>
      </c>
      <c r="H504">
        <v>36</v>
      </c>
      <c r="I504">
        <v>3.7249786E-2</v>
      </c>
      <c r="J504">
        <v>806</v>
      </c>
      <c r="K504">
        <v>21637.708200000001</v>
      </c>
      <c r="L504">
        <v>0.67100000000000004</v>
      </c>
      <c r="M504">
        <v>0.13483146100000001</v>
      </c>
      <c r="N504">
        <v>0</v>
      </c>
      <c r="O504" t="s">
        <v>613</v>
      </c>
      <c r="P504">
        <f t="shared" si="65"/>
        <v>9.9117391300000008</v>
      </c>
      <c r="Q504">
        <f t="shared" si="66"/>
        <v>5.3999999999999999E-2</v>
      </c>
      <c r="R504">
        <f t="shared" si="67"/>
        <v>4.9000000000000002E-2</v>
      </c>
      <c r="S504">
        <f t="shared" si="68"/>
        <v>0.67100000000000004</v>
      </c>
      <c r="T504">
        <f t="shared" si="69"/>
        <v>1.704</v>
      </c>
      <c r="U504">
        <f t="shared" si="70"/>
        <v>6.3507169809999997</v>
      </c>
      <c r="V504">
        <f t="shared" si="71"/>
        <v>0.09</v>
      </c>
      <c r="W504">
        <f t="shared" si="72"/>
        <v>0.224</v>
      </c>
      <c r="X504">
        <f t="shared" si="73"/>
        <v>0.68700000000000006</v>
      </c>
      <c r="Y504">
        <v>197.01437720000001</v>
      </c>
      <c r="Z504">
        <v>0</v>
      </c>
      <c r="AA504">
        <v>454184</v>
      </c>
      <c r="AB504">
        <v>170596</v>
      </c>
      <c r="AC504">
        <v>6.5715274000000004E-2</v>
      </c>
      <c r="AD504">
        <v>0.72549415100000003</v>
      </c>
      <c r="AF504">
        <v>9.9117391300000008</v>
      </c>
      <c r="AG504">
        <v>5.3999999999999999E-2</v>
      </c>
      <c r="AH504">
        <v>4.9000000000000002E-2</v>
      </c>
      <c r="AI504">
        <v>0.67100000000000004</v>
      </c>
      <c r="AJ504">
        <v>1.704</v>
      </c>
      <c r="AK504">
        <v>6.3507169809999997</v>
      </c>
      <c r="AL504">
        <v>0.09</v>
      </c>
      <c r="AM504">
        <v>0.224</v>
      </c>
      <c r="AN504">
        <v>0.68700000000000006</v>
      </c>
    </row>
    <row r="505" spans="1:40">
      <c r="A505">
        <v>2573</v>
      </c>
      <c r="B505" t="s">
        <v>686</v>
      </c>
      <c r="C505" t="s">
        <v>687</v>
      </c>
      <c r="D505" t="s">
        <v>688</v>
      </c>
      <c r="E505">
        <v>206</v>
      </c>
      <c r="F505">
        <v>419</v>
      </c>
      <c r="G505">
        <v>18.44988395</v>
      </c>
      <c r="H505">
        <v>293</v>
      </c>
      <c r="I505">
        <v>2.8838932000000001E-2</v>
      </c>
      <c r="J505">
        <v>712</v>
      </c>
      <c r="K505">
        <v>24688.847699999998</v>
      </c>
      <c r="L505">
        <v>0.67600000000000005</v>
      </c>
      <c r="M505">
        <v>0.58717434899999998</v>
      </c>
      <c r="N505">
        <v>1</v>
      </c>
      <c r="O505" t="s">
        <v>606</v>
      </c>
      <c r="P505">
        <f t="shared" si="65"/>
        <v>13.473466670000001</v>
      </c>
      <c r="Q505">
        <f t="shared" si="66"/>
        <v>9.1999999999999998E-2</v>
      </c>
      <c r="R505">
        <f t="shared" si="67"/>
        <v>1.7000000000000001E-2</v>
      </c>
      <c r="S505">
        <f t="shared" si="68"/>
        <v>0.67600000000000005</v>
      </c>
      <c r="T505">
        <f t="shared" si="69"/>
        <v>2.0985714290000002</v>
      </c>
      <c r="U505">
        <f t="shared" si="70"/>
        <v>6.8420075760000003</v>
      </c>
      <c r="V505">
        <f t="shared" si="71"/>
        <v>4.3999999999999997E-2</v>
      </c>
      <c r="W505">
        <f t="shared" si="72"/>
        <v>0.21099999999999999</v>
      </c>
      <c r="X505">
        <f t="shared" si="73"/>
        <v>0.65800000000000003</v>
      </c>
      <c r="Y505">
        <v>211.45197450000001</v>
      </c>
      <c r="Z505">
        <v>1</v>
      </c>
      <c r="AA505">
        <v>140316</v>
      </c>
      <c r="AB505">
        <v>49638</v>
      </c>
      <c r="AC505">
        <v>9.1283894000000004E-2</v>
      </c>
      <c r="AD505">
        <v>0.60339869999999995</v>
      </c>
      <c r="AF505">
        <v>13.473466670000001</v>
      </c>
      <c r="AG505">
        <v>9.1999999999999998E-2</v>
      </c>
      <c r="AH505">
        <v>1.7000000000000001E-2</v>
      </c>
      <c r="AI505">
        <v>0.67600000000000005</v>
      </c>
      <c r="AJ505">
        <v>2.0985714290000002</v>
      </c>
      <c r="AK505">
        <v>6.8420075760000003</v>
      </c>
      <c r="AL505">
        <v>4.3999999999999997E-2</v>
      </c>
      <c r="AM505">
        <v>0.21099999999999999</v>
      </c>
      <c r="AN505">
        <v>0.65800000000000003</v>
      </c>
    </row>
    <row r="506" spans="1:40">
      <c r="A506">
        <v>2574</v>
      </c>
      <c r="B506" t="s">
        <v>686</v>
      </c>
      <c r="C506" t="s">
        <v>687</v>
      </c>
      <c r="D506" t="s">
        <v>688</v>
      </c>
      <c r="E506">
        <v>237</v>
      </c>
      <c r="F506">
        <v>530</v>
      </c>
      <c r="G506">
        <v>28.476699589999999</v>
      </c>
      <c r="H506">
        <v>399</v>
      </c>
      <c r="I506">
        <v>4.4511813999999997E-2</v>
      </c>
      <c r="J506">
        <v>929</v>
      </c>
      <c r="K506">
        <v>20870.86363</v>
      </c>
      <c r="L506">
        <v>0.66400000000000003</v>
      </c>
      <c r="M506">
        <v>0.62735849099999996</v>
      </c>
      <c r="N506">
        <v>1</v>
      </c>
      <c r="O506" t="s">
        <v>606</v>
      </c>
      <c r="P506">
        <f t="shared" si="65"/>
        <v>10.51860215</v>
      </c>
      <c r="Q506">
        <f t="shared" si="66"/>
        <v>6.4000000000000001E-2</v>
      </c>
      <c r="R506">
        <f t="shared" si="67"/>
        <v>2.9000000000000001E-2</v>
      </c>
      <c r="S506">
        <f t="shared" si="68"/>
        <v>0.66400000000000003</v>
      </c>
      <c r="T506">
        <f t="shared" si="69"/>
        <v>1.811724138</v>
      </c>
      <c r="U506">
        <f t="shared" si="70"/>
        <v>5.7425669289999997</v>
      </c>
      <c r="V506">
        <f t="shared" si="71"/>
        <v>2.7E-2</v>
      </c>
      <c r="W506">
        <f t="shared" si="72"/>
        <v>0.189</v>
      </c>
      <c r="X506">
        <f t="shared" si="73"/>
        <v>0.628</v>
      </c>
      <c r="Y506">
        <v>282.70894470000002</v>
      </c>
      <c r="Z506">
        <v>1</v>
      </c>
      <c r="AA506">
        <v>140316</v>
      </c>
      <c r="AB506">
        <v>49638</v>
      </c>
      <c r="AC506">
        <v>9.1283894000000004E-2</v>
      </c>
      <c r="AD506">
        <v>0.60339869999999995</v>
      </c>
      <c r="AF506">
        <v>10.51860215</v>
      </c>
      <c r="AG506">
        <v>6.4000000000000001E-2</v>
      </c>
      <c r="AH506">
        <v>2.9000000000000001E-2</v>
      </c>
      <c r="AI506">
        <v>0.66400000000000003</v>
      </c>
      <c r="AJ506">
        <v>1.811724138</v>
      </c>
      <c r="AK506">
        <v>5.7425669289999997</v>
      </c>
      <c r="AL506">
        <v>2.7E-2</v>
      </c>
      <c r="AM506">
        <v>0.189</v>
      </c>
      <c r="AN506">
        <v>0.628</v>
      </c>
    </row>
    <row r="507" spans="1:40">
      <c r="A507">
        <v>2575</v>
      </c>
      <c r="B507" t="s">
        <v>691</v>
      </c>
      <c r="C507" t="s">
        <v>684</v>
      </c>
      <c r="D507" t="s">
        <v>685</v>
      </c>
      <c r="E507">
        <v>609</v>
      </c>
      <c r="F507">
        <v>2226</v>
      </c>
      <c r="G507">
        <v>111.0238719</v>
      </c>
      <c r="H507">
        <v>542</v>
      </c>
      <c r="I507">
        <v>0.17353364600000001</v>
      </c>
      <c r="J507">
        <v>2768</v>
      </c>
      <c r="K507">
        <v>15950.79723</v>
      </c>
      <c r="L507">
        <v>0.77300000000000002</v>
      </c>
      <c r="M507">
        <v>0.47089487400000002</v>
      </c>
      <c r="N507">
        <v>0</v>
      </c>
      <c r="O507" t="s">
        <v>620</v>
      </c>
      <c r="P507">
        <f t="shared" si="65"/>
        <v>12.31209924</v>
      </c>
      <c r="Q507">
        <f t="shared" si="66"/>
        <v>2.1000000000000001E-2</v>
      </c>
      <c r="R507">
        <f t="shared" si="67"/>
        <v>2.9000000000000001E-2</v>
      </c>
      <c r="S507">
        <f t="shared" si="68"/>
        <v>0.77300000000000002</v>
      </c>
      <c r="T507">
        <f t="shared" si="69"/>
        <v>2.0074999999999998</v>
      </c>
      <c r="U507">
        <f t="shared" si="70"/>
        <v>6.4828770599999999</v>
      </c>
      <c r="V507">
        <f t="shared" si="71"/>
        <v>0.06</v>
      </c>
      <c r="W507">
        <f t="shared" si="72"/>
        <v>5.7000000000000002E-2</v>
      </c>
      <c r="X507">
        <f t="shared" si="73"/>
        <v>0.82899999999999996</v>
      </c>
      <c r="Y507">
        <v>105.8123813</v>
      </c>
      <c r="Z507">
        <v>0</v>
      </c>
      <c r="AA507">
        <v>236250</v>
      </c>
      <c r="AB507">
        <v>76158</v>
      </c>
      <c r="AC507">
        <v>1.7652984E-2</v>
      </c>
      <c r="AD507">
        <v>0.84750225300000004</v>
      </c>
      <c r="AF507">
        <v>12.31209924</v>
      </c>
      <c r="AG507">
        <v>2.1000000000000001E-2</v>
      </c>
      <c r="AH507">
        <v>2.9000000000000001E-2</v>
      </c>
      <c r="AI507">
        <v>0.77300000000000002</v>
      </c>
      <c r="AJ507">
        <v>2.0074999999999998</v>
      </c>
      <c r="AK507">
        <v>6.4828770599999999</v>
      </c>
      <c r="AL507">
        <v>0.06</v>
      </c>
      <c r="AM507">
        <v>5.7000000000000002E-2</v>
      </c>
      <c r="AN507">
        <v>0.82899999999999996</v>
      </c>
    </row>
    <row r="508" spans="1:40">
      <c r="A508">
        <v>2576</v>
      </c>
      <c r="B508" t="s">
        <v>691</v>
      </c>
      <c r="C508" t="s">
        <v>684</v>
      </c>
      <c r="D508" t="s">
        <v>685</v>
      </c>
      <c r="E508">
        <v>378</v>
      </c>
      <c r="F508">
        <v>1124</v>
      </c>
      <c r="G508">
        <v>78.769291539999998</v>
      </c>
      <c r="H508">
        <v>140</v>
      </c>
      <c r="I508">
        <v>0.12312155</v>
      </c>
      <c r="J508">
        <v>1264</v>
      </c>
      <c r="K508">
        <v>10266.27751</v>
      </c>
      <c r="L508">
        <v>0.86299999999999999</v>
      </c>
      <c r="M508">
        <v>0.27027026999999998</v>
      </c>
      <c r="N508">
        <v>0</v>
      </c>
      <c r="O508" t="s">
        <v>620</v>
      </c>
      <c r="P508">
        <f t="shared" si="65"/>
        <v>10.81438202</v>
      </c>
      <c r="Q508">
        <f t="shared" si="66"/>
        <v>5.0000000000000001E-3</v>
      </c>
      <c r="R508">
        <f t="shared" si="67"/>
        <v>3.0000000000000001E-3</v>
      </c>
      <c r="S508">
        <f t="shared" si="68"/>
        <v>0.86299999999999999</v>
      </c>
      <c r="T508">
        <f t="shared" si="69"/>
        <v>2.14</v>
      </c>
      <c r="U508">
        <f t="shared" si="70"/>
        <v>6.6198664689999998</v>
      </c>
      <c r="V508">
        <f t="shared" si="71"/>
        <v>3.5151315789473656E-2</v>
      </c>
      <c r="W508">
        <f t="shared" si="72"/>
        <v>2.1000000000000001E-2</v>
      </c>
      <c r="X508">
        <f t="shared" si="73"/>
        <v>0.94699999999999995</v>
      </c>
      <c r="Y508">
        <v>51.826679560000002</v>
      </c>
      <c r="Z508">
        <v>0</v>
      </c>
      <c r="AA508">
        <v>236250</v>
      </c>
      <c r="AB508">
        <v>76158</v>
      </c>
      <c r="AC508">
        <v>1.7652984E-2</v>
      </c>
      <c r="AD508">
        <v>0.84750225300000004</v>
      </c>
      <c r="AF508">
        <v>10.81438202</v>
      </c>
      <c r="AG508">
        <v>5.0000000000000001E-3</v>
      </c>
      <c r="AH508">
        <v>3.0000000000000001E-3</v>
      </c>
      <c r="AI508">
        <v>0.86299999999999999</v>
      </c>
      <c r="AJ508">
        <v>2.14</v>
      </c>
      <c r="AK508">
        <v>6.6198664689999998</v>
      </c>
      <c r="AL508">
        <v>0</v>
      </c>
      <c r="AM508">
        <v>2.1000000000000001E-2</v>
      </c>
      <c r="AN508">
        <v>0.94699999999999995</v>
      </c>
    </row>
    <row r="509" spans="1:40">
      <c r="A509">
        <v>2577</v>
      </c>
      <c r="B509" t="s">
        <v>691</v>
      </c>
      <c r="C509" t="s">
        <v>684</v>
      </c>
      <c r="D509" t="s">
        <v>685</v>
      </c>
      <c r="E509">
        <v>569</v>
      </c>
      <c r="F509">
        <v>1859</v>
      </c>
      <c r="G509">
        <v>128.655159</v>
      </c>
      <c r="H509">
        <v>54</v>
      </c>
      <c r="I509">
        <v>0.201099898</v>
      </c>
      <c r="J509">
        <v>1913</v>
      </c>
      <c r="K509">
        <v>9512.6850840000006</v>
      </c>
      <c r="L509">
        <v>0.78300000000000003</v>
      </c>
      <c r="M509">
        <v>8.6677368000000005E-2</v>
      </c>
      <c r="N509">
        <v>0</v>
      </c>
      <c r="O509" t="s">
        <v>620</v>
      </c>
      <c r="P509">
        <f t="shared" si="65"/>
        <v>13.428466670000001</v>
      </c>
      <c r="Q509">
        <f t="shared" si="66"/>
        <v>2.3E-2</v>
      </c>
      <c r="R509">
        <f t="shared" si="67"/>
        <v>3.5000000000000003E-2</v>
      </c>
      <c r="S509">
        <f t="shared" si="68"/>
        <v>0.78300000000000003</v>
      </c>
      <c r="T509">
        <f t="shared" si="69"/>
        <v>2.315277778</v>
      </c>
      <c r="U509">
        <f t="shared" si="70"/>
        <v>6.7142635659999996</v>
      </c>
      <c r="V509">
        <f t="shared" si="71"/>
        <v>5.2999999999999999E-2</v>
      </c>
      <c r="W509">
        <f t="shared" si="72"/>
        <v>0.09</v>
      </c>
      <c r="X509">
        <f t="shared" si="73"/>
        <v>0.79800000000000004</v>
      </c>
      <c r="Y509">
        <v>97.933544929999996</v>
      </c>
      <c r="Z509">
        <v>0</v>
      </c>
      <c r="AA509">
        <v>236250</v>
      </c>
      <c r="AB509">
        <v>76158</v>
      </c>
      <c r="AC509">
        <v>1.7652984E-2</v>
      </c>
      <c r="AD509">
        <v>0.84750225300000004</v>
      </c>
      <c r="AF509">
        <v>13.428466670000001</v>
      </c>
      <c r="AG509">
        <v>2.3E-2</v>
      </c>
      <c r="AH509">
        <v>3.5000000000000003E-2</v>
      </c>
      <c r="AI509">
        <v>0.78300000000000003</v>
      </c>
      <c r="AJ509">
        <v>2.315277778</v>
      </c>
      <c r="AK509">
        <v>6.7142635659999996</v>
      </c>
      <c r="AL509">
        <v>5.2999999999999999E-2</v>
      </c>
      <c r="AM509">
        <v>0.09</v>
      </c>
      <c r="AN509">
        <v>0.79800000000000004</v>
      </c>
    </row>
    <row r="510" spans="1:40">
      <c r="A510">
        <v>2578</v>
      </c>
      <c r="B510" t="s">
        <v>691</v>
      </c>
      <c r="C510" t="s">
        <v>684</v>
      </c>
      <c r="D510" t="s">
        <v>685</v>
      </c>
      <c r="E510">
        <v>506</v>
      </c>
      <c r="F510">
        <v>1814</v>
      </c>
      <c r="G510">
        <v>129.9957977</v>
      </c>
      <c r="H510">
        <v>31</v>
      </c>
      <c r="I510">
        <v>0.203193333</v>
      </c>
      <c r="J510">
        <v>1845</v>
      </c>
      <c r="K510">
        <v>9080.0223249999999</v>
      </c>
      <c r="L510">
        <v>0.83699999999999997</v>
      </c>
      <c r="M510">
        <v>5.7728119000000001E-2</v>
      </c>
      <c r="N510">
        <v>0</v>
      </c>
      <c r="O510" t="s">
        <v>620</v>
      </c>
      <c r="P510">
        <f t="shared" si="65"/>
        <v>11.628809520000001</v>
      </c>
      <c r="Q510">
        <f t="shared" si="66"/>
        <v>5.0000000000000001E-3</v>
      </c>
      <c r="R510">
        <f t="shared" si="67"/>
        <v>1.4E-2</v>
      </c>
      <c r="S510">
        <f t="shared" si="68"/>
        <v>0.83699999999999997</v>
      </c>
      <c r="T510">
        <f t="shared" si="69"/>
        <v>1.920625</v>
      </c>
      <c r="U510">
        <f t="shared" si="70"/>
        <v>5.7097276690000003</v>
      </c>
      <c r="V510">
        <f t="shared" si="71"/>
        <v>2.3E-2</v>
      </c>
      <c r="W510">
        <f t="shared" si="72"/>
        <v>1.4999999999999999E-2</v>
      </c>
      <c r="X510">
        <f t="shared" si="73"/>
        <v>0.96199999999999997</v>
      </c>
      <c r="Y510">
        <v>123.0492761</v>
      </c>
      <c r="Z510">
        <v>0</v>
      </c>
      <c r="AA510">
        <v>236250</v>
      </c>
      <c r="AB510">
        <v>76158</v>
      </c>
      <c r="AC510">
        <v>1.7652984E-2</v>
      </c>
      <c r="AD510">
        <v>0.84750225300000004</v>
      </c>
      <c r="AF510">
        <v>11.628809520000001</v>
      </c>
      <c r="AG510">
        <v>5.0000000000000001E-3</v>
      </c>
      <c r="AH510">
        <v>1.4E-2</v>
      </c>
      <c r="AI510">
        <v>0.83699999999999997</v>
      </c>
      <c r="AJ510">
        <v>1.920625</v>
      </c>
      <c r="AK510">
        <v>5.7097276690000003</v>
      </c>
      <c r="AL510">
        <v>2.3E-2</v>
      </c>
      <c r="AM510">
        <v>1.4999999999999999E-2</v>
      </c>
      <c r="AN510">
        <v>0.96199999999999997</v>
      </c>
    </row>
    <row r="511" spans="1:40">
      <c r="A511">
        <v>2579</v>
      </c>
      <c r="B511" t="s">
        <v>691</v>
      </c>
      <c r="C511" t="s">
        <v>684</v>
      </c>
      <c r="D511" t="s">
        <v>685</v>
      </c>
      <c r="E511">
        <v>660</v>
      </c>
      <c r="F511">
        <v>2223</v>
      </c>
      <c r="G511">
        <v>366.63669549999997</v>
      </c>
      <c r="H511">
        <v>383</v>
      </c>
      <c r="I511">
        <v>0.573080327</v>
      </c>
      <c r="J511">
        <v>2606</v>
      </c>
      <c r="K511">
        <v>4547.3555399999996</v>
      </c>
      <c r="L511">
        <v>0.84299999999999997</v>
      </c>
      <c r="M511">
        <v>0.36720997100000002</v>
      </c>
      <c r="N511">
        <v>0</v>
      </c>
      <c r="O511" t="s">
        <v>625</v>
      </c>
      <c r="P511">
        <f t="shared" si="65"/>
        <v>13.654323310000001</v>
      </c>
      <c r="Q511">
        <f t="shared" si="66"/>
        <v>2.1999999999999999E-2</v>
      </c>
      <c r="R511">
        <f t="shared" si="67"/>
        <v>2.8000000000000001E-2</v>
      </c>
      <c r="S511">
        <f t="shared" si="68"/>
        <v>0.84299999999999997</v>
      </c>
      <c r="T511">
        <f t="shared" si="69"/>
        <v>1.670322581</v>
      </c>
      <c r="U511">
        <f t="shared" si="70"/>
        <v>7.6501446949999998</v>
      </c>
      <c r="V511">
        <f t="shared" si="71"/>
        <v>0.02</v>
      </c>
      <c r="W511">
        <f t="shared" si="72"/>
        <v>8.5999999999999993E-2</v>
      </c>
      <c r="X511">
        <f t="shared" si="73"/>
        <v>0.88400000000000001</v>
      </c>
      <c r="Y511">
        <v>86.660368480000002</v>
      </c>
      <c r="Z511">
        <v>0</v>
      </c>
      <c r="AA511">
        <v>236250</v>
      </c>
      <c r="AB511">
        <v>76158</v>
      </c>
      <c r="AC511">
        <v>1.7652984E-2</v>
      </c>
      <c r="AD511">
        <v>0.84750225300000004</v>
      </c>
      <c r="AF511">
        <v>13.654323310000001</v>
      </c>
      <c r="AG511">
        <v>2.1999999999999999E-2</v>
      </c>
      <c r="AH511">
        <v>2.8000000000000001E-2</v>
      </c>
      <c r="AI511">
        <v>0.84299999999999997</v>
      </c>
      <c r="AJ511">
        <v>1.670322581</v>
      </c>
      <c r="AK511">
        <v>7.6501446949999998</v>
      </c>
      <c r="AL511">
        <v>0.02</v>
      </c>
      <c r="AM511">
        <v>8.5999999999999993E-2</v>
      </c>
      <c r="AN511">
        <v>0.88400000000000001</v>
      </c>
    </row>
    <row r="512" spans="1:40">
      <c r="A512">
        <v>2580</v>
      </c>
      <c r="B512" t="s">
        <v>695</v>
      </c>
      <c r="C512" t="s">
        <v>696</v>
      </c>
      <c r="D512" t="s">
        <v>697</v>
      </c>
      <c r="E512">
        <v>360</v>
      </c>
      <c r="F512">
        <v>1099</v>
      </c>
      <c r="G512">
        <v>100.695306</v>
      </c>
      <c r="H512">
        <v>63</v>
      </c>
      <c r="I512">
        <v>0.15739858300000001</v>
      </c>
      <c r="J512">
        <v>1162</v>
      </c>
      <c r="K512">
        <v>7382.5315190000001</v>
      </c>
      <c r="L512">
        <v>0.79500000000000004</v>
      </c>
      <c r="M512">
        <v>0.14893617000000001</v>
      </c>
      <c r="N512">
        <v>0</v>
      </c>
      <c r="O512" t="s">
        <v>620</v>
      </c>
      <c r="P512">
        <f t="shared" si="65"/>
        <v>15.34631068</v>
      </c>
      <c r="Q512">
        <f t="shared" si="66"/>
        <v>2.5000000000000001E-2</v>
      </c>
      <c r="R512">
        <f t="shared" si="67"/>
        <v>3.6999999999999998E-2</v>
      </c>
      <c r="S512">
        <f t="shared" si="68"/>
        <v>0.79500000000000004</v>
      </c>
      <c r="T512">
        <f t="shared" si="69"/>
        <v>2.5422727269999998</v>
      </c>
      <c r="U512">
        <f t="shared" si="70"/>
        <v>9.2070362469999996</v>
      </c>
      <c r="V512">
        <f t="shared" si="71"/>
        <v>5.8000000000000003E-2</v>
      </c>
      <c r="W512">
        <f t="shared" si="72"/>
        <v>6.7000000000000004E-2</v>
      </c>
      <c r="X512">
        <f t="shared" si="73"/>
        <v>0.85799999999999998</v>
      </c>
      <c r="Y512">
        <v>63.304117509999998</v>
      </c>
      <c r="Z512">
        <v>0</v>
      </c>
      <c r="AA512">
        <v>62139</v>
      </c>
      <c r="AB512">
        <v>22178</v>
      </c>
      <c r="AC512">
        <v>2.5956119999999999E-2</v>
      </c>
      <c r="AD512">
        <v>0.81129361</v>
      </c>
      <c r="AF512">
        <v>15.34631068</v>
      </c>
      <c r="AG512">
        <v>2.5000000000000001E-2</v>
      </c>
      <c r="AH512">
        <v>3.6999999999999998E-2</v>
      </c>
      <c r="AI512">
        <v>0.79500000000000004</v>
      </c>
      <c r="AJ512">
        <v>2.5422727269999998</v>
      </c>
      <c r="AK512">
        <v>9.2070362469999996</v>
      </c>
      <c r="AL512">
        <v>5.8000000000000003E-2</v>
      </c>
      <c r="AM512">
        <v>6.7000000000000004E-2</v>
      </c>
      <c r="AN512">
        <v>0.85799999999999998</v>
      </c>
    </row>
    <row r="513" spans="1:40">
      <c r="A513">
        <v>2581</v>
      </c>
      <c r="B513" t="s">
        <v>689</v>
      </c>
      <c r="C513" t="s">
        <v>687</v>
      </c>
      <c r="D513" t="s">
        <v>688</v>
      </c>
      <c r="E513">
        <v>540</v>
      </c>
      <c r="F513">
        <v>1003</v>
      </c>
      <c r="G513">
        <v>18.849519440000002</v>
      </c>
      <c r="H513">
        <v>306</v>
      </c>
      <c r="I513">
        <v>2.9467271999999999E-2</v>
      </c>
      <c r="J513">
        <v>1309</v>
      </c>
      <c r="K513">
        <v>44422.164360000002</v>
      </c>
      <c r="L513">
        <v>0.66200000000000003</v>
      </c>
      <c r="M513">
        <v>0.36170212800000001</v>
      </c>
      <c r="N513">
        <v>0</v>
      </c>
      <c r="O513" t="s">
        <v>606</v>
      </c>
      <c r="P513">
        <f t="shared" si="65"/>
        <v>11.378073390000001</v>
      </c>
      <c r="Q513">
        <f t="shared" si="66"/>
        <v>9.2999999999999999E-2</v>
      </c>
      <c r="R513">
        <f t="shared" si="67"/>
        <v>3.5000000000000003E-2</v>
      </c>
      <c r="S513">
        <f t="shared" si="68"/>
        <v>0.66200000000000003</v>
      </c>
      <c r="T513">
        <f t="shared" si="69"/>
        <v>1.734736842</v>
      </c>
      <c r="U513">
        <f t="shared" si="70"/>
        <v>6.0353175779999999</v>
      </c>
      <c r="V513">
        <f t="shared" si="71"/>
        <v>8.2000000000000003E-2</v>
      </c>
      <c r="W513">
        <f t="shared" si="72"/>
        <v>0.22600000000000001</v>
      </c>
      <c r="X513">
        <f t="shared" si="73"/>
        <v>0.55900000000000005</v>
      </c>
      <c r="Y513">
        <v>160.8735945</v>
      </c>
      <c r="Z513">
        <v>0</v>
      </c>
      <c r="AA513">
        <v>454184</v>
      </c>
      <c r="AB513">
        <v>170596</v>
      </c>
      <c r="AC513">
        <v>6.5715274000000004E-2</v>
      </c>
      <c r="AD513">
        <v>0.72549415100000003</v>
      </c>
      <c r="AF513">
        <v>11.378073390000001</v>
      </c>
      <c r="AG513">
        <v>9.2999999999999999E-2</v>
      </c>
      <c r="AH513">
        <v>3.5000000000000003E-2</v>
      </c>
      <c r="AI513">
        <v>0.66200000000000003</v>
      </c>
      <c r="AJ513">
        <v>1.734736842</v>
      </c>
      <c r="AK513">
        <v>6.0353175779999999</v>
      </c>
      <c r="AL513">
        <v>8.2000000000000003E-2</v>
      </c>
      <c r="AM513">
        <v>0.22600000000000001</v>
      </c>
      <c r="AN513">
        <v>0.55900000000000005</v>
      </c>
    </row>
    <row r="514" spans="1:40">
      <c r="A514">
        <v>2582</v>
      </c>
      <c r="B514" t="s">
        <v>689</v>
      </c>
      <c r="C514" t="s">
        <v>687</v>
      </c>
      <c r="D514" t="s">
        <v>688</v>
      </c>
      <c r="E514">
        <v>452</v>
      </c>
      <c r="F514">
        <v>1663</v>
      </c>
      <c r="G514">
        <v>49.365748519999997</v>
      </c>
      <c r="H514">
        <v>11</v>
      </c>
      <c r="I514">
        <v>7.7166174000000004E-2</v>
      </c>
      <c r="J514">
        <v>1674</v>
      </c>
      <c r="K514">
        <v>21693.443039999998</v>
      </c>
      <c r="L514">
        <v>0.63600000000000001</v>
      </c>
      <c r="M514">
        <v>2.3758099000000001E-2</v>
      </c>
      <c r="N514">
        <v>0</v>
      </c>
      <c r="O514" t="s">
        <v>613</v>
      </c>
      <c r="P514">
        <f t="shared" si="65"/>
        <v>7.7549999999999999</v>
      </c>
      <c r="Q514">
        <f t="shared" si="66"/>
        <v>5.3999999999999999E-2</v>
      </c>
      <c r="R514">
        <f t="shared" si="67"/>
        <v>5.3999999999999999E-2</v>
      </c>
      <c r="S514">
        <f t="shared" si="68"/>
        <v>0.63600000000000001</v>
      </c>
      <c r="T514">
        <f t="shared" si="69"/>
        <v>2.140869565</v>
      </c>
      <c r="U514">
        <f t="shared" si="70"/>
        <v>5.035746692</v>
      </c>
      <c r="V514">
        <f t="shared" si="71"/>
        <v>0.09</v>
      </c>
      <c r="W514">
        <f t="shared" si="72"/>
        <v>0.21099999999999999</v>
      </c>
      <c r="X514">
        <f t="shared" si="73"/>
        <v>0.63200000000000001</v>
      </c>
      <c r="Y514">
        <v>306.47806109999999</v>
      </c>
      <c r="Z514">
        <v>0</v>
      </c>
      <c r="AA514">
        <v>454184</v>
      </c>
      <c r="AB514">
        <v>170596</v>
      </c>
      <c r="AC514">
        <v>6.5715274000000004E-2</v>
      </c>
      <c r="AD514">
        <v>0.72549415100000003</v>
      </c>
      <c r="AF514">
        <v>7.7549999999999999</v>
      </c>
      <c r="AG514">
        <v>5.3999999999999999E-2</v>
      </c>
      <c r="AH514">
        <v>5.3999999999999999E-2</v>
      </c>
      <c r="AI514">
        <v>0.63600000000000001</v>
      </c>
      <c r="AJ514">
        <v>2.140869565</v>
      </c>
      <c r="AK514">
        <v>5.035746692</v>
      </c>
      <c r="AL514">
        <v>0.09</v>
      </c>
      <c r="AM514">
        <v>0.21099999999999999</v>
      </c>
      <c r="AN514">
        <v>0.63200000000000001</v>
      </c>
    </row>
    <row r="515" spans="1:40">
      <c r="A515">
        <v>2583</v>
      </c>
      <c r="B515" t="s">
        <v>689</v>
      </c>
      <c r="C515" t="s">
        <v>687</v>
      </c>
      <c r="D515" t="s">
        <v>688</v>
      </c>
      <c r="E515">
        <v>527</v>
      </c>
      <c r="F515">
        <v>1955</v>
      </c>
      <c r="G515">
        <v>48.11768739</v>
      </c>
      <c r="H515">
        <v>212</v>
      </c>
      <c r="I515">
        <v>7.5215701999999995E-2</v>
      </c>
      <c r="J515">
        <v>2167</v>
      </c>
      <c r="K515">
        <v>28810.47364</v>
      </c>
      <c r="L515">
        <v>0.66400000000000003</v>
      </c>
      <c r="M515">
        <v>0.28687415399999999</v>
      </c>
      <c r="N515">
        <v>1</v>
      </c>
      <c r="O515" t="s">
        <v>606</v>
      </c>
      <c r="P515">
        <f t="shared" si="65"/>
        <v>12.4697619</v>
      </c>
      <c r="Q515">
        <f t="shared" si="66"/>
        <v>7.2999999999999995E-2</v>
      </c>
      <c r="R515">
        <f t="shared" si="67"/>
        <v>4.2000000000000003E-2</v>
      </c>
      <c r="S515">
        <f t="shared" si="68"/>
        <v>0.66400000000000003</v>
      </c>
      <c r="T515">
        <f t="shared" si="69"/>
        <v>1.8827419350000001</v>
      </c>
      <c r="U515">
        <f t="shared" si="70"/>
        <v>6.1674862790000002</v>
      </c>
      <c r="V515">
        <f t="shared" si="71"/>
        <v>0.08</v>
      </c>
      <c r="W515">
        <f t="shared" si="72"/>
        <v>0.216</v>
      </c>
      <c r="X515">
        <f t="shared" si="73"/>
        <v>0.59199999999999997</v>
      </c>
      <c r="Y515">
        <v>194.87795389999999</v>
      </c>
      <c r="Z515">
        <v>0</v>
      </c>
      <c r="AA515">
        <v>454184</v>
      </c>
      <c r="AB515">
        <v>170596</v>
      </c>
      <c r="AC515">
        <v>6.5715274000000004E-2</v>
      </c>
      <c r="AD515">
        <v>0.72549415100000003</v>
      </c>
      <c r="AF515">
        <v>12.4697619</v>
      </c>
      <c r="AG515">
        <v>7.2999999999999995E-2</v>
      </c>
      <c r="AH515">
        <v>4.2000000000000003E-2</v>
      </c>
      <c r="AI515">
        <v>0.66400000000000003</v>
      </c>
      <c r="AJ515">
        <v>1.8827419350000001</v>
      </c>
      <c r="AK515">
        <v>6.1674862790000002</v>
      </c>
      <c r="AL515">
        <v>0.08</v>
      </c>
      <c r="AM515">
        <v>0.216</v>
      </c>
      <c r="AN515">
        <v>0.59199999999999997</v>
      </c>
    </row>
    <row r="516" spans="1:40">
      <c r="A516">
        <v>2584</v>
      </c>
      <c r="B516" t="s">
        <v>689</v>
      </c>
      <c r="C516" t="s">
        <v>687</v>
      </c>
      <c r="D516" t="s">
        <v>688</v>
      </c>
      <c r="E516">
        <v>253</v>
      </c>
      <c r="F516">
        <v>900</v>
      </c>
      <c r="G516">
        <v>30.343342530000001</v>
      </c>
      <c r="H516">
        <v>49</v>
      </c>
      <c r="I516">
        <v>4.7434345000000003E-2</v>
      </c>
      <c r="J516">
        <v>949</v>
      </c>
      <c r="K516">
        <v>20006.600699999999</v>
      </c>
      <c r="L516">
        <v>0.66500000000000004</v>
      </c>
      <c r="M516">
        <v>0.16225165599999999</v>
      </c>
      <c r="N516">
        <v>0</v>
      </c>
      <c r="O516" t="s">
        <v>613</v>
      </c>
      <c r="P516">
        <f t="shared" si="65"/>
        <v>15.024897960000001</v>
      </c>
      <c r="Q516">
        <f t="shared" si="66"/>
        <v>6.8000000000000005E-2</v>
      </c>
      <c r="R516">
        <f t="shared" si="67"/>
        <v>4.7E-2</v>
      </c>
      <c r="S516">
        <f t="shared" si="68"/>
        <v>0.66500000000000004</v>
      </c>
      <c r="T516">
        <f t="shared" si="69"/>
        <v>1.9963333329999999</v>
      </c>
      <c r="U516">
        <f t="shared" si="70"/>
        <v>6.0409278349999997</v>
      </c>
      <c r="V516">
        <f t="shared" si="71"/>
        <v>0.106</v>
      </c>
      <c r="W516">
        <f t="shared" si="72"/>
        <v>0.28699999999999998</v>
      </c>
      <c r="X516">
        <f t="shared" si="73"/>
        <v>0.52100000000000002</v>
      </c>
      <c r="Y516">
        <v>84.892264780000005</v>
      </c>
      <c r="Z516">
        <v>0</v>
      </c>
      <c r="AA516">
        <v>454184</v>
      </c>
      <c r="AB516">
        <v>170596</v>
      </c>
      <c r="AC516">
        <v>6.5715274000000004E-2</v>
      </c>
      <c r="AD516">
        <v>0.72549415100000003</v>
      </c>
      <c r="AF516">
        <v>15.024897960000001</v>
      </c>
      <c r="AG516">
        <v>6.8000000000000005E-2</v>
      </c>
      <c r="AH516">
        <v>4.7E-2</v>
      </c>
      <c r="AI516">
        <v>0.66500000000000004</v>
      </c>
      <c r="AJ516">
        <v>1.9963333329999999</v>
      </c>
      <c r="AK516">
        <v>6.0409278349999997</v>
      </c>
      <c r="AL516">
        <v>0.106</v>
      </c>
      <c r="AM516">
        <v>0.28699999999999998</v>
      </c>
      <c r="AN516">
        <v>0.52100000000000002</v>
      </c>
    </row>
    <row r="517" spans="1:40">
      <c r="A517">
        <v>2585</v>
      </c>
      <c r="B517" t="s">
        <v>689</v>
      </c>
      <c r="C517" t="s">
        <v>687</v>
      </c>
      <c r="D517" t="s">
        <v>688</v>
      </c>
      <c r="E517">
        <v>513</v>
      </c>
      <c r="F517">
        <v>1731</v>
      </c>
      <c r="G517">
        <v>62.112578139999997</v>
      </c>
      <c r="H517">
        <v>978</v>
      </c>
      <c r="I517">
        <v>9.7091773000000006E-2</v>
      </c>
      <c r="J517">
        <v>2709</v>
      </c>
      <c r="K517">
        <v>27901.437129999998</v>
      </c>
      <c r="L517">
        <v>0.66300000000000003</v>
      </c>
      <c r="M517">
        <v>0.655935614</v>
      </c>
      <c r="N517">
        <v>0</v>
      </c>
      <c r="O517" t="s">
        <v>613</v>
      </c>
      <c r="P517">
        <f t="shared" si="65"/>
        <v>10.122</v>
      </c>
      <c r="Q517">
        <f t="shared" si="66"/>
        <v>5.0999999999999997E-2</v>
      </c>
      <c r="R517">
        <f t="shared" si="67"/>
        <v>0.03</v>
      </c>
      <c r="S517">
        <f t="shared" si="68"/>
        <v>0.66300000000000003</v>
      </c>
      <c r="T517">
        <f t="shared" si="69"/>
        <v>1.8910256409999999</v>
      </c>
      <c r="U517">
        <f t="shared" si="70"/>
        <v>5.7163240630000001</v>
      </c>
      <c r="V517">
        <f t="shared" si="71"/>
        <v>6.3E-2</v>
      </c>
      <c r="W517">
        <f t="shared" si="72"/>
        <v>0.19</v>
      </c>
      <c r="X517">
        <f t="shared" si="73"/>
        <v>0.66300000000000003</v>
      </c>
      <c r="Y517">
        <v>216.1067467</v>
      </c>
      <c r="Z517">
        <v>0</v>
      </c>
      <c r="AA517">
        <v>454184</v>
      </c>
      <c r="AB517">
        <v>170596</v>
      </c>
      <c r="AC517">
        <v>6.5715274000000004E-2</v>
      </c>
      <c r="AD517">
        <v>0.72549415100000003</v>
      </c>
      <c r="AF517">
        <v>10.122</v>
      </c>
      <c r="AG517">
        <v>5.0999999999999997E-2</v>
      </c>
      <c r="AH517">
        <v>0.03</v>
      </c>
      <c r="AI517">
        <v>0.66300000000000003</v>
      </c>
      <c r="AJ517">
        <v>1.8910256409999999</v>
      </c>
      <c r="AK517">
        <v>5.7163240630000001</v>
      </c>
      <c r="AL517">
        <v>6.3E-2</v>
      </c>
      <c r="AM517">
        <v>0.19</v>
      </c>
      <c r="AN517">
        <v>0.66300000000000003</v>
      </c>
    </row>
    <row r="518" spans="1:40">
      <c r="A518">
        <v>2586</v>
      </c>
      <c r="B518" t="s">
        <v>689</v>
      </c>
      <c r="C518" t="s">
        <v>687</v>
      </c>
      <c r="D518" t="s">
        <v>688</v>
      </c>
      <c r="E518">
        <v>356</v>
      </c>
      <c r="F518">
        <v>877</v>
      </c>
      <c r="G518">
        <v>408.21647150000001</v>
      </c>
      <c r="H518">
        <v>9</v>
      </c>
      <c r="I518">
        <v>0.63809666200000004</v>
      </c>
      <c r="J518">
        <v>886</v>
      </c>
      <c r="K518">
        <v>1388.5043639999999</v>
      </c>
      <c r="L518">
        <v>0.94099999999999995</v>
      </c>
      <c r="M518">
        <v>2.4657533999999998E-2</v>
      </c>
      <c r="N518">
        <v>0</v>
      </c>
      <c r="O518" t="s">
        <v>625</v>
      </c>
      <c r="P518">
        <f t="shared" si="65"/>
        <v>12.24376623</v>
      </c>
      <c r="Q518">
        <f t="shared" si="66"/>
        <v>3.5000000000000003E-2</v>
      </c>
      <c r="R518">
        <f t="shared" si="67"/>
        <v>3.1352808988764011E-2</v>
      </c>
      <c r="S518">
        <f t="shared" si="68"/>
        <v>0.94099999999999995</v>
      </c>
      <c r="T518">
        <f t="shared" si="69"/>
        <v>2.2353522564471904</v>
      </c>
      <c r="U518">
        <f t="shared" si="70"/>
        <v>9.3347941179999996</v>
      </c>
      <c r="V518">
        <f t="shared" si="71"/>
        <v>6.2414117647058849E-2</v>
      </c>
      <c r="W518">
        <f t="shared" si="72"/>
        <v>9.4E-2</v>
      </c>
      <c r="X518">
        <f t="shared" si="73"/>
        <v>0.90600000000000003</v>
      </c>
      <c r="Y518">
        <v>16.358106469999999</v>
      </c>
      <c r="Z518">
        <v>0</v>
      </c>
      <c r="AA518">
        <v>454184</v>
      </c>
      <c r="AB518">
        <v>170596</v>
      </c>
      <c r="AC518">
        <v>6.5715274000000004E-2</v>
      </c>
      <c r="AD518">
        <v>0.72549415100000003</v>
      </c>
      <c r="AF518">
        <v>12.24376623</v>
      </c>
      <c r="AG518">
        <v>3.5000000000000003E-2</v>
      </c>
      <c r="AH518">
        <v>0</v>
      </c>
      <c r="AI518">
        <v>0.94099999999999995</v>
      </c>
      <c r="AK518">
        <v>9.3347941179999996</v>
      </c>
      <c r="AL518">
        <v>0</v>
      </c>
      <c r="AM518">
        <v>9.4E-2</v>
      </c>
      <c r="AN518">
        <v>0.90600000000000003</v>
      </c>
    </row>
    <row r="519" spans="1:40">
      <c r="A519">
        <v>2587</v>
      </c>
      <c r="B519" t="s">
        <v>689</v>
      </c>
      <c r="C519" t="s">
        <v>687</v>
      </c>
      <c r="D519" t="s">
        <v>688</v>
      </c>
      <c r="E519">
        <v>339</v>
      </c>
      <c r="F519">
        <v>1372</v>
      </c>
      <c r="G519">
        <v>66.585545269999997</v>
      </c>
      <c r="H519">
        <v>185</v>
      </c>
      <c r="I519">
        <v>0.104089059</v>
      </c>
      <c r="J519">
        <v>1557</v>
      </c>
      <c r="K519">
        <v>14958.34447</v>
      </c>
      <c r="L519">
        <v>0.77700000000000002</v>
      </c>
      <c r="M519">
        <v>0.35305343500000003</v>
      </c>
      <c r="N519">
        <v>0</v>
      </c>
      <c r="O519" t="s">
        <v>613</v>
      </c>
      <c r="P519">
        <f t="shared" si="65"/>
        <v>12.225649349999999</v>
      </c>
      <c r="Q519">
        <f t="shared" si="66"/>
        <v>6.4000000000000001E-2</v>
      </c>
      <c r="R519">
        <f t="shared" si="67"/>
        <v>3.9E-2</v>
      </c>
      <c r="S519">
        <f t="shared" si="68"/>
        <v>0.77700000000000002</v>
      </c>
      <c r="T519">
        <f t="shared" si="69"/>
        <v>2.3295454549999999</v>
      </c>
      <c r="U519">
        <f t="shared" si="70"/>
        <v>6.5895908539999999</v>
      </c>
      <c r="V519">
        <f t="shared" si="71"/>
        <v>6.2E-2</v>
      </c>
      <c r="W519">
        <f t="shared" si="72"/>
        <v>0.24099999999999999</v>
      </c>
      <c r="X519">
        <f t="shared" si="73"/>
        <v>0.68799999999999994</v>
      </c>
      <c r="Y519">
        <v>89.998409480000007</v>
      </c>
      <c r="Z519">
        <v>0</v>
      </c>
      <c r="AA519">
        <v>454184</v>
      </c>
      <c r="AB519">
        <v>170596</v>
      </c>
      <c r="AC519">
        <v>6.5715274000000004E-2</v>
      </c>
      <c r="AD519">
        <v>0.72549415100000003</v>
      </c>
      <c r="AF519">
        <v>12.225649349999999</v>
      </c>
      <c r="AG519">
        <v>6.4000000000000001E-2</v>
      </c>
      <c r="AH519">
        <v>3.9E-2</v>
      </c>
      <c r="AI519">
        <v>0.77700000000000002</v>
      </c>
      <c r="AJ519">
        <v>2.3295454549999999</v>
      </c>
      <c r="AK519">
        <v>6.5895908539999999</v>
      </c>
      <c r="AL519">
        <v>6.2E-2</v>
      </c>
      <c r="AM519">
        <v>0.24099999999999999</v>
      </c>
      <c r="AN519">
        <v>0.68799999999999994</v>
      </c>
    </row>
    <row r="520" spans="1:40">
      <c r="A520">
        <v>2588</v>
      </c>
      <c r="B520" t="s">
        <v>689</v>
      </c>
      <c r="C520" t="s">
        <v>687</v>
      </c>
      <c r="D520" t="s">
        <v>688</v>
      </c>
      <c r="E520">
        <v>274</v>
      </c>
      <c r="F520">
        <v>746</v>
      </c>
      <c r="G520">
        <v>47.527173240000003</v>
      </c>
      <c r="H520">
        <v>10</v>
      </c>
      <c r="I520">
        <v>7.4290200000000001E-2</v>
      </c>
      <c r="J520">
        <v>756</v>
      </c>
      <c r="K520">
        <v>10176.308580000001</v>
      </c>
      <c r="L520">
        <v>0.81200000000000006</v>
      </c>
      <c r="M520">
        <v>3.5211267999999997E-2</v>
      </c>
      <c r="N520">
        <v>0</v>
      </c>
      <c r="O520" t="s">
        <v>620</v>
      </c>
      <c r="P520">
        <f t="shared" si="65"/>
        <v>12.0556044</v>
      </c>
      <c r="Q520">
        <f t="shared" si="66"/>
        <v>5.0999999999999997E-2</v>
      </c>
      <c r="R520">
        <f t="shared" si="67"/>
        <v>0.02</v>
      </c>
      <c r="S520">
        <f t="shared" si="68"/>
        <v>0.81200000000000006</v>
      </c>
      <c r="T520">
        <f t="shared" si="69"/>
        <v>2.6779999999999999</v>
      </c>
      <c r="U520">
        <f t="shared" si="70"/>
        <v>6.7832124350000003</v>
      </c>
      <c r="V520">
        <f t="shared" si="71"/>
        <v>3.5999999999999997E-2</v>
      </c>
      <c r="W520">
        <f t="shared" si="72"/>
        <v>0.14399999999999999</v>
      </c>
      <c r="X520">
        <f t="shared" si="73"/>
        <v>0.82</v>
      </c>
      <c r="Y520">
        <v>130.1286054</v>
      </c>
      <c r="Z520">
        <v>0</v>
      </c>
      <c r="AA520">
        <v>454184</v>
      </c>
      <c r="AB520">
        <v>170596</v>
      </c>
      <c r="AC520">
        <v>6.5715274000000004E-2</v>
      </c>
      <c r="AD520">
        <v>0.72549415100000003</v>
      </c>
      <c r="AF520">
        <v>12.0556044</v>
      </c>
      <c r="AG520">
        <v>5.0999999999999997E-2</v>
      </c>
      <c r="AH520">
        <v>0.02</v>
      </c>
      <c r="AI520">
        <v>0.81200000000000006</v>
      </c>
      <c r="AJ520">
        <v>2.6779999999999999</v>
      </c>
      <c r="AK520">
        <v>6.7832124350000003</v>
      </c>
      <c r="AL520">
        <v>3.5999999999999997E-2</v>
      </c>
      <c r="AM520">
        <v>0.14399999999999999</v>
      </c>
      <c r="AN520">
        <v>0.82</v>
      </c>
    </row>
    <row r="521" spans="1:40">
      <c r="A521">
        <v>2589</v>
      </c>
      <c r="B521" t="s">
        <v>689</v>
      </c>
      <c r="C521" t="s">
        <v>687</v>
      </c>
      <c r="D521" t="s">
        <v>688</v>
      </c>
      <c r="E521">
        <v>338</v>
      </c>
      <c r="F521">
        <v>852</v>
      </c>
      <c r="G521">
        <v>59.93850132</v>
      </c>
      <c r="H521">
        <v>249</v>
      </c>
      <c r="I521">
        <v>9.3692769999999995E-2</v>
      </c>
      <c r="J521">
        <v>1101</v>
      </c>
      <c r="K521">
        <v>11751.17354</v>
      </c>
      <c r="L521">
        <v>0.79300000000000004</v>
      </c>
      <c r="M521">
        <v>0.42419080100000001</v>
      </c>
      <c r="N521">
        <v>0</v>
      </c>
      <c r="O521" t="s">
        <v>620</v>
      </c>
      <c r="P521">
        <f t="shared" si="65"/>
        <v>12.796837610000001</v>
      </c>
      <c r="Q521">
        <f t="shared" si="66"/>
        <v>2.9000000000000001E-2</v>
      </c>
      <c r="R521">
        <f t="shared" si="67"/>
        <v>3.2000000000000001E-2</v>
      </c>
      <c r="S521">
        <f t="shared" si="68"/>
        <v>0.79300000000000004</v>
      </c>
      <c r="T521">
        <f t="shared" si="69"/>
        <v>1.88625</v>
      </c>
      <c r="U521">
        <f t="shared" si="70"/>
        <v>7.3594316160000002</v>
      </c>
      <c r="V521">
        <f t="shared" si="71"/>
        <v>2.9000000000000001E-2</v>
      </c>
      <c r="W521">
        <f t="shared" si="72"/>
        <v>0.123</v>
      </c>
      <c r="X521">
        <f t="shared" si="73"/>
        <v>0.84799999999999998</v>
      </c>
      <c r="Y521">
        <v>145.82167609999999</v>
      </c>
      <c r="Z521">
        <v>0</v>
      </c>
      <c r="AA521">
        <v>454184</v>
      </c>
      <c r="AB521">
        <v>170596</v>
      </c>
      <c r="AC521">
        <v>6.5715274000000004E-2</v>
      </c>
      <c r="AD521">
        <v>0.72549415100000003</v>
      </c>
      <c r="AF521">
        <v>12.796837610000001</v>
      </c>
      <c r="AG521">
        <v>2.9000000000000001E-2</v>
      </c>
      <c r="AH521">
        <v>3.2000000000000001E-2</v>
      </c>
      <c r="AI521">
        <v>0.79300000000000004</v>
      </c>
      <c r="AJ521">
        <v>1.88625</v>
      </c>
      <c r="AK521">
        <v>7.3594316160000002</v>
      </c>
      <c r="AL521">
        <v>2.9000000000000001E-2</v>
      </c>
      <c r="AM521">
        <v>0.123</v>
      </c>
      <c r="AN521">
        <v>0.84799999999999998</v>
      </c>
    </row>
    <row r="522" spans="1:40">
      <c r="A522">
        <v>2590</v>
      </c>
      <c r="B522" t="s">
        <v>689</v>
      </c>
      <c r="C522" t="s">
        <v>687</v>
      </c>
      <c r="D522" t="s">
        <v>688</v>
      </c>
      <c r="E522">
        <v>429</v>
      </c>
      <c r="F522">
        <v>1118</v>
      </c>
      <c r="G522">
        <v>56.224667859999997</v>
      </c>
      <c r="H522">
        <v>261</v>
      </c>
      <c r="I522">
        <v>8.7889417999999997E-2</v>
      </c>
      <c r="J522">
        <v>1379</v>
      </c>
      <c r="K522">
        <v>15690.17103</v>
      </c>
      <c r="L522">
        <v>0.79700000000000004</v>
      </c>
      <c r="M522">
        <v>0.37826087000000003</v>
      </c>
      <c r="N522">
        <v>0</v>
      </c>
      <c r="O522" t="s">
        <v>620</v>
      </c>
      <c r="P522">
        <f t="shared" si="65"/>
        <v>13.437564099999999</v>
      </c>
      <c r="Q522">
        <f t="shared" si="66"/>
        <v>3.7999999999999999E-2</v>
      </c>
      <c r="R522">
        <f t="shared" si="67"/>
        <v>2.3E-2</v>
      </c>
      <c r="S522">
        <f t="shared" si="68"/>
        <v>0.79700000000000004</v>
      </c>
      <c r="T522">
        <f t="shared" si="69"/>
        <v>2.6105</v>
      </c>
      <c r="U522">
        <f t="shared" si="70"/>
        <v>8.0176767679999994</v>
      </c>
      <c r="V522">
        <f t="shared" si="71"/>
        <v>1.0999999999999999E-2</v>
      </c>
      <c r="W522">
        <f t="shared" si="72"/>
        <v>0.104</v>
      </c>
      <c r="X522">
        <f t="shared" si="73"/>
        <v>0.85699999999999998</v>
      </c>
      <c r="Y522">
        <v>128.91125199999999</v>
      </c>
      <c r="Z522">
        <v>0</v>
      </c>
      <c r="AA522">
        <v>454184</v>
      </c>
      <c r="AB522">
        <v>170596</v>
      </c>
      <c r="AC522">
        <v>6.5715274000000004E-2</v>
      </c>
      <c r="AD522">
        <v>0.72549415100000003</v>
      </c>
      <c r="AF522">
        <v>13.437564099999999</v>
      </c>
      <c r="AG522">
        <v>3.7999999999999999E-2</v>
      </c>
      <c r="AH522">
        <v>2.3E-2</v>
      </c>
      <c r="AI522">
        <v>0.79700000000000004</v>
      </c>
      <c r="AJ522">
        <v>2.6105</v>
      </c>
      <c r="AK522">
        <v>8.0176767679999994</v>
      </c>
      <c r="AL522">
        <v>1.0999999999999999E-2</v>
      </c>
      <c r="AM522">
        <v>0.104</v>
      </c>
      <c r="AN522">
        <v>0.85699999999999998</v>
      </c>
    </row>
    <row r="523" spans="1:40">
      <c r="A523">
        <v>2591</v>
      </c>
      <c r="B523" t="s">
        <v>689</v>
      </c>
      <c r="C523" t="s">
        <v>687</v>
      </c>
      <c r="D523" t="s">
        <v>688</v>
      </c>
      <c r="E523">
        <v>279</v>
      </c>
      <c r="F523">
        <v>724</v>
      </c>
      <c r="G523">
        <v>53.001835560000004</v>
      </c>
      <c r="H523">
        <v>78</v>
      </c>
      <c r="I523">
        <v>8.2851535000000004E-2</v>
      </c>
      <c r="J523">
        <v>802</v>
      </c>
      <c r="K523">
        <v>9679.9654950000004</v>
      </c>
      <c r="L523">
        <v>0.80100000000000005</v>
      </c>
      <c r="M523">
        <v>0.218487395</v>
      </c>
      <c r="N523">
        <v>0</v>
      </c>
      <c r="O523" t="s">
        <v>620</v>
      </c>
      <c r="P523">
        <f t="shared" si="65"/>
        <v>12.943250000000001</v>
      </c>
      <c r="Q523">
        <f t="shared" si="66"/>
        <v>3.6999999999999998E-2</v>
      </c>
      <c r="R523">
        <f t="shared" si="67"/>
        <v>1.7000000000000001E-2</v>
      </c>
      <c r="S523">
        <f t="shared" si="68"/>
        <v>0.80100000000000005</v>
      </c>
      <c r="T523">
        <f t="shared" si="69"/>
        <v>2.1124999999999998</v>
      </c>
      <c r="U523">
        <f t="shared" si="70"/>
        <v>8.0323415980000004</v>
      </c>
      <c r="V523">
        <f t="shared" si="71"/>
        <v>6.2414117647058849E-2</v>
      </c>
      <c r="W523">
        <f t="shared" si="72"/>
        <v>6.7000000000000004E-2</v>
      </c>
      <c r="X523">
        <f t="shared" si="73"/>
        <v>0.88900000000000001</v>
      </c>
      <c r="Y523">
        <v>160.5160875</v>
      </c>
      <c r="Z523">
        <v>0</v>
      </c>
      <c r="AA523">
        <v>454184</v>
      </c>
      <c r="AB523">
        <v>170596</v>
      </c>
      <c r="AC523">
        <v>6.5715274000000004E-2</v>
      </c>
      <c r="AD523">
        <v>0.72549415100000003</v>
      </c>
      <c r="AF523">
        <v>12.943250000000001</v>
      </c>
      <c r="AG523">
        <v>3.6999999999999998E-2</v>
      </c>
      <c r="AH523">
        <v>1.7000000000000001E-2</v>
      </c>
      <c r="AI523">
        <v>0.80100000000000005</v>
      </c>
      <c r="AJ523">
        <v>2.1124999999999998</v>
      </c>
      <c r="AK523">
        <v>8.0323415980000004</v>
      </c>
      <c r="AL523">
        <v>0</v>
      </c>
      <c r="AM523">
        <v>6.7000000000000004E-2</v>
      </c>
      <c r="AN523">
        <v>0.88900000000000001</v>
      </c>
    </row>
    <row r="524" spans="1:40">
      <c r="A524">
        <v>2592</v>
      </c>
      <c r="B524" t="s">
        <v>689</v>
      </c>
      <c r="C524" t="s">
        <v>687</v>
      </c>
      <c r="D524" t="s">
        <v>688</v>
      </c>
      <c r="E524">
        <v>465</v>
      </c>
      <c r="F524">
        <v>1180</v>
      </c>
      <c r="G524">
        <v>82.238499189999999</v>
      </c>
      <c r="H524">
        <v>237</v>
      </c>
      <c r="I524">
        <v>0.12855091799999999</v>
      </c>
      <c r="J524">
        <v>1417</v>
      </c>
      <c r="K524">
        <v>11022.869549999999</v>
      </c>
      <c r="L524">
        <v>0.73399999999999999</v>
      </c>
      <c r="M524">
        <v>0.33760683800000002</v>
      </c>
      <c r="N524">
        <v>0</v>
      </c>
      <c r="O524" t="s">
        <v>620</v>
      </c>
      <c r="P524">
        <f t="shared" ref="P524:P587" si="74">IF(OR(IFERROR(AF524=0,TRUE),ISERROR(AF524)),AVERAGEIFS(AF:AF,$B:$B,$B524,AF:AF,"&gt;0"),AF524)</f>
        <v>11.275112780000001</v>
      </c>
      <c r="Q524">
        <f t="shared" ref="Q524:Q587" si="75">IF(OR(IFERROR(AG524=0,TRUE),ISERROR(AG524)),AVERAGEIFS(AG:AG,$B:$B,$B524,AG:AG,"&gt;0"),AG524)</f>
        <v>5.1999999999999998E-2</v>
      </c>
      <c r="R524">
        <f t="shared" ref="R524:R587" si="76">IF(OR(IFERROR(AH524=0,TRUE),ISERROR(AH524)),AVERAGEIFS(AH:AH,$B:$B,$B524,AH:AH,"&gt;0"),AH524)</f>
        <v>2.3E-2</v>
      </c>
      <c r="S524">
        <f t="shared" ref="S524:S587" si="77">IF(OR(IFERROR(AI524=0,TRUE),ISERROR(AI524)),AVERAGEIFS(AI:AI,$B:$B,$B524,AI:AI,"&gt;0"),AI524)</f>
        <v>0.73399999999999999</v>
      </c>
      <c r="T524">
        <f t="shared" ref="T524:T587" si="78">IF(OR(IFERROR(AJ524=0,TRUE),ISERROR(AJ524)),AVERAGEIFS(AJ:AJ,$B:$B,$B524,AJ:AJ,"&gt;0"),AJ524)</f>
        <v>1.471363636</v>
      </c>
      <c r="U524">
        <f t="shared" ref="U524:U587" si="79">IF(OR(IFERROR(AK524=0,TRUE),ISERROR(AK524)),AVERAGEIFS(AK:AK,$B:$B,$B524,AK:AK,"&gt;0"),AK524)</f>
        <v>7.1478915660000002</v>
      </c>
      <c r="V524">
        <f t="shared" ref="V524:V587" si="80">IF(OR(IFERROR(AL524=0,TRUE),ISERROR(AL524)),AVERAGEIFS(AL:AL,$B:$B,$B524,AL:AL,"&gt;0"),AL524)</f>
        <v>3.4000000000000002E-2</v>
      </c>
      <c r="W524">
        <f t="shared" ref="W524:W587" si="81">IF(OR(IFERROR(AM524=0,TRUE),ISERROR(AM524)),AVERAGEIFS(AM:AM,$B:$B,$B524,AM:AM,"&gt;0"),AM524)</f>
        <v>0.19900000000000001</v>
      </c>
      <c r="X524">
        <f t="shared" ref="X524:X587" si="82">IF(OR(IFERROR(AN524=0,TRUE),ISERROR(AN524)),AVERAGEIFS(AN:AN,$B:$B,$B524,AN:AN,"&gt;0"),AN524)</f>
        <v>0.75600000000000001</v>
      </c>
      <c r="Y524">
        <v>150.5239991</v>
      </c>
      <c r="Z524">
        <v>0</v>
      </c>
      <c r="AA524">
        <v>454184</v>
      </c>
      <c r="AB524">
        <v>170596</v>
      </c>
      <c r="AC524">
        <v>6.5715274000000004E-2</v>
      </c>
      <c r="AD524">
        <v>0.72549415100000003</v>
      </c>
      <c r="AF524">
        <v>11.275112780000001</v>
      </c>
      <c r="AG524">
        <v>5.1999999999999998E-2</v>
      </c>
      <c r="AH524">
        <v>2.3E-2</v>
      </c>
      <c r="AI524">
        <v>0.73399999999999999</v>
      </c>
      <c r="AJ524">
        <v>1.471363636</v>
      </c>
      <c r="AK524">
        <v>7.1478915660000002</v>
      </c>
      <c r="AL524">
        <v>3.4000000000000002E-2</v>
      </c>
      <c r="AM524">
        <v>0.19900000000000001</v>
      </c>
      <c r="AN524">
        <v>0.75600000000000001</v>
      </c>
    </row>
    <row r="525" spans="1:40">
      <c r="A525">
        <v>2593</v>
      </c>
      <c r="B525" t="s">
        <v>689</v>
      </c>
      <c r="C525" t="s">
        <v>687</v>
      </c>
      <c r="D525" t="s">
        <v>688</v>
      </c>
      <c r="E525">
        <v>289</v>
      </c>
      <c r="F525">
        <v>740</v>
      </c>
      <c r="G525">
        <v>83.432717589999996</v>
      </c>
      <c r="H525">
        <v>0</v>
      </c>
      <c r="I525">
        <v>0.130416895</v>
      </c>
      <c r="J525">
        <v>740</v>
      </c>
      <c r="K525">
        <v>5674.1114719999996</v>
      </c>
      <c r="L525">
        <v>0.83499999999999996</v>
      </c>
      <c r="M525">
        <v>0</v>
      </c>
      <c r="N525">
        <v>0</v>
      </c>
      <c r="O525" t="s">
        <v>620</v>
      </c>
      <c r="P525">
        <f t="shared" si="74"/>
        <v>9.4923893810000006</v>
      </c>
      <c r="Q525">
        <f t="shared" si="75"/>
        <v>5.0999999999999997E-2</v>
      </c>
      <c r="R525">
        <f t="shared" si="76"/>
        <v>2.9000000000000001E-2</v>
      </c>
      <c r="S525">
        <f t="shared" si="77"/>
        <v>0.83499999999999996</v>
      </c>
      <c r="T525">
        <f t="shared" si="78"/>
        <v>2.1357142859999998</v>
      </c>
      <c r="U525">
        <f t="shared" si="79"/>
        <v>6.6046733670000002</v>
      </c>
      <c r="V525">
        <f t="shared" si="80"/>
        <v>1.4999999999999999E-2</v>
      </c>
      <c r="W525">
        <f t="shared" si="81"/>
        <v>0.129</v>
      </c>
      <c r="X525">
        <f t="shared" si="82"/>
        <v>0.85599999999999998</v>
      </c>
      <c r="Y525">
        <v>89.37964624</v>
      </c>
      <c r="Z525">
        <v>0</v>
      </c>
      <c r="AA525">
        <v>454184</v>
      </c>
      <c r="AB525">
        <v>170596</v>
      </c>
      <c r="AC525">
        <v>6.5715274000000004E-2</v>
      </c>
      <c r="AD525">
        <v>0.72549415100000003</v>
      </c>
      <c r="AF525">
        <v>9.4923893810000006</v>
      </c>
      <c r="AG525">
        <v>5.0999999999999997E-2</v>
      </c>
      <c r="AH525">
        <v>2.9000000000000001E-2</v>
      </c>
      <c r="AI525">
        <v>0.83499999999999996</v>
      </c>
      <c r="AJ525">
        <v>2.1357142859999998</v>
      </c>
      <c r="AK525">
        <v>6.6046733670000002</v>
      </c>
      <c r="AL525">
        <v>1.4999999999999999E-2</v>
      </c>
      <c r="AM525">
        <v>0.129</v>
      </c>
      <c r="AN525">
        <v>0.85599999999999998</v>
      </c>
    </row>
    <row r="526" spans="1:40">
      <c r="A526">
        <v>2594</v>
      </c>
      <c r="B526" t="s">
        <v>690</v>
      </c>
      <c r="C526" t="s">
        <v>687</v>
      </c>
      <c r="D526" t="s">
        <v>688</v>
      </c>
      <c r="E526">
        <v>300</v>
      </c>
      <c r="F526">
        <v>638</v>
      </c>
      <c r="G526">
        <v>55.380342820000003</v>
      </c>
      <c r="H526">
        <v>2604</v>
      </c>
      <c r="I526">
        <v>8.6567601999999994E-2</v>
      </c>
      <c r="J526">
        <v>3242</v>
      </c>
      <c r="K526">
        <v>37450.500249999997</v>
      </c>
      <c r="L526">
        <v>0.77100000000000002</v>
      </c>
      <c r="M526">
        <v>0.89669421500000002</v>
      </c>
      <c r="N526">
        <v>0</v>
      </c>
      <c r="O526" t="s">
        <v>613</v>
      </c>
      <c r="P526">
        <f t="shared" si="74"/>
        <v>13.25638365</v>
      </c>
      <c r="Q526">
        <f t="shared" si="75"/>
        <v>4.2999999999999997E-2</v>
      </c>
      <c r="R526">
        <f t="shared" si="76"/>
        <v>1.7999999999999999E-2</v>
      </c>
      <c r="S526">
        <f t="shared" si="77"/>
        <v>0.77100000000000002</v>
      </c>
      <c r="T526">
        <f t="shared" si="78"/>
        <v>1.9838888889999999</v>
      </c>
      <c r="U526">
        <f t="shared" si="79"/>
        <v>6.439920635</v>
      </c>
      <c r="V526">
        <f t="shared" si="80"/>
        <v>2.9000000000000001E-2</v>
      </c>
      <c r="W526">
        <f t="shared" si="81"/>
        <v>0.11700000000000001</v>
      </c>
      <c r="X526">
        <f t="shared" si="82"/>
        <v>0.75700000000000001</v>
      </c>
      <c r="Y526">
        <v>326.77252570000002</v>
      </c>
      <c r="Z526">
        <v>0</v>
      </c>
      <c r="AA526">
        <v>82284</v>
      </c>
      <c r="AB526">
        <v>32030</v>
      </c>
      <c r="AC526">
        <v>4.7570397E-2</v>
      </c>
      <c r="AD526">
        <v>0.78974696300000002</v>
      </c>
      <c r="AF526">
        <v>13.25638365</v>
      </c>
      <c r="AG526">
        <v>4.2999999999999997E-2</v>
      </c>
      <c r="AH526">
        <v>1.7999999999999999E-2</v>
      </c>
      <c r="AI526">
        <v>0.77100000000000002</v>
      </c>
      <c r="AJ526">
        <v>1.9838888889999999</v>
      </c>
      <c r="AK526">
        <v>6.439920635</v>
      </c>
      <c r="AL526">
        <v>2.9000000000000001E-2</v>
      </c>
      <c r="AM526">
        <v>0.11700000000000001</v>
      </c>
      <c r="AN526">
        <v>0.75700000000000001</v>
      </c>
    </row>
    <row r="527" spans="1:40">
      <c r="A527">
        <v>2595</v>
      </c>
      <c r="B527" t="s">
        <v>689</v>
      </c>
      <c r="C527" t="s">
        <v>687</v>
      </c>
      <c r="D527" t="s">
        <v>688</v>
      </c>
      <c r="E527">
        <v>313</v>
      </c>
      <c r="F527">
        <v>1096</v>
      </c>
      <c r="G527">
        <v>50.837560789999998</v>
      </c>
      <c r="H527">
        <v>58</v>
      </c>
      <c r="I527">
        <v>7.9469053999999997E-2</v>
      </c>
      <c r="J527">
        <v>1154</v>
      </c>
      <c r="K527">
        <v>14521.375830000001</v>
      </c>
      <c r="L527">
        <v>0.69899999999999995</v>
      </c>
      <c r="M527">
        <v>0.15633423199999999</v>
      </c>
      <c r="N527">
        <v>0</v>
      </c>
      <c r="O527" t="s">
        <v>613</v>
      </c>
      <c r="P527">
        <f t="shared" si="74"/>
        <v>8.9479687499999994</v>
      </c>
      <c r="Q527">
        <f t="shared" si="75"/>
        <v>4.3999999999999997E-2</v>
      </c>
      <c r="R527">
        <f t="shared" si="76"/>
        <v>2.8000000000000001E-2</v>
      </c>
      <c r="S527">
        <f t="shared" si="77"/>
        <v>0.69899999999999995</v>
      </c>
      <c r="T527">
        <f t="shared" si="78"/>
        <v>2.4768750000000002</v>
      </c>
      <c r="U527">
        <f t="shared" si="79"/>
        <v>5.9344086020000004</v>
      </c>
      <c r="V527">
        <f t="shared" si="80"/>
        <v>4.9000000000000002E-2</v>
      </c>
      <c r="W527">
        <f t="shared" si="81"/>
        <v>0.17100000000000001</v>
      </c>
      <c r="X527">
        <f t="shared" si="82"/>
        <v>0.78</v>
      </c>
      <c r="Y527">
        <v>155.2882736</v>
      </c>
      <c r="Z527">
        <v>0</v>
      </c>
      <c r="AA527">
        <v>454184</v>
      </c>
      <c r="AB527">
        <v>170596</v>
      </c>
      <c r="AC527">
        <v>6.5715274000000004E-2</v>
      </c>
      <c r="AD527">
        <v>0.72549415100000003</v>
      </c>
      <c r="AF527">
        <v>8.9479687499999994</v>
      </c>
      <c r="AG527">
        <v>4.3999999999999997E-2</v>
      </c>
      <c r="AH527">
        <v>2.8000000000000001E-2</v>
      </c>
      <c r="AI527">
        <v>0.69899999999999995</v>
      </c>
      <c r="AJ527">
        <v>2.4768750000000002</v>
      </c>
      <c r="AK527">
        <v>5.9344086020000004</v>
      </c>
      <c r="AL527">
        <v>4.9000000000000002E-2</v>
      </c>
      <c r="AM527">
        <v>0.17100000000000001</v>
      </c>
      <c r="AN527">
        <v>0.78</v>
      </c>
    </row>
    <row r="528" spans="1:40">
      <c r="A528">
        <v>2596</v>
      </c>
      <c r="B528" t="s">
        <v>707</v>
      </c>
      <c r="C528" t="s">
        <v>696</v>
      </c>
      <c r="D528" t="s">
        <v>697</v>
      </c>
      <c r="E528">
        <v>402</v>
      </c>
      <c r="F528">
        <v>1096</v>
      </c>
      <c r="G528">
        <v>149.58311029999999</v>
      </c>
      <c r="H528">
        <v>19</v>
      </c>
      <c r="I528">
        <v>0.23381192200000001</v>
      </c>
      <c r="J528">
        <v>1115</v>
      </c>
      <c r="K528">
        <v>4768.7901899999997</v>
      </c>
      <c r="L528">
        <v>0.81</v>
      </c>
      <c r="M528">
        <v>4.5130640999999999E-2</v>
      </c>
      <c r="N528">
        <v>0</v>
      </c>
      <c r="O528" t="s">
        <v>620</v>
      </c>
      <c r="P528">
        <f t="shared" si="74"/>
        <v>14.13181818</v>
      </c>
      <c r="Q528">
        <f t="shared" si="75"/>
        <v>0.02</v>
      </c>
      <c r="R528">
        <f t="shared" si="76"/>
        <v>2.9000000000000001E-2</v>
      </c>
      <c r="S528">
        <f t="shared" si="77"/>
        <v>0.81</v>
      </c>
      <c r="T528">
        <f t="shared" si="78"/>
        <v>1.6071428569999999</v>
      </c>
      <c r="U528">
        <f t="shared" si="79"/>
        <v>8.6148010609999996</v>
      </c>
      <c r="V528">
        <f t="shared" si="80"/>
        <v>0.11835714285714286</v>
      </c>
      <c r="W528">
        <f t="shared" si="81"/>
        <v>0.105</v>
      </c>
      <c r="X528">
        <f t="shared" si="82"/>
        <v>0.86799999999999999</v>
      </c>
      <c r="Y528">
        <v>79.814529469999997</v>
      </c>
      <c r="Z528">
        <v>0</v>
      </c>
      <c r="AA528">
        <v>21149</v>
      </c>
      <c r="AB528">
        <v>6968</v>
      </c>
      <c r="AC528">
        <v>1.6645858999999999E-2</v>
      </c>
      <c r="AD528">
        <v>0.89069218999999999</v>
      </c>
      <c r="AF528">
        <v>14.13181818</v>
      </c>
      <c r="AG528">
        <v>0.02</v>
      </c>
      <c r="AH528">
        <v>2.9000000000000001E-2</v>
      </c>
      <c r="AI528">
        <v>0.81</v>
      </c>
      <c r="AJ528">
        <v>1.6071428569999999</v>
      </c>
      <c r="AK528">
        <v>8.6148010609999996</v>
      </c>
      <c r="AL528">
        <v>0</v>
      </c>
      <c r="AM528">
        <v>0.105</v>
      </c>
      <c r="AN528">
        <v>0.86799999999999999</v>
      </c>
    </row>
    <row r="529" spans="1:40">
      <c r="A529">
        <v>2597</v>
      </c>
      <c r="B529" t="s">
        <v>703</v>
      </c>
      <c r="C529" t="s">
        <v>696</v>
      </c>
      <c r="D529" t="s">
        <v>697</v>
      </c>
      <c r="E529">
        <v>395</v>
      </c>
      <c r="F529">
        <v>1360</v>
      </c>
      <c r="G529">
        <v>100.90268759999999</v>
      </c>
      <c r="H529">
        <v>375</v>
      </c>
      <c r="I529">
        <v>0.15772192900000001</v>
      </c>
      <c r="J529">
        <v>1735</v>
      </c>
      <c r="K529">
        <v>11000.37269</v>
      </c>
      <c r="L529">
        <v>0.86699999999999999</v>
      </c>
      <c r="M529">
        <v>0.48701298700000001</v>
      </c>
      <c r="N529">
        <v>0</v>
      </c>
      <c r="O529" t="s">
        <v>620</v>
      </c>
      <c r="P529">
        <f t="shared" si="74"/>
        <v>12.38597633</v>
      </c>
      <c r="Q529">
        <f t="shared" si="75"/>
        <v>0.02</v>
      </c>
      <c r="R529">
        <f t="shared" si="76"/>
        <v>1.7000000000000001E-2</v>
      </c>
      <c r="S529">
        <f t="shared" si="77"/>
        <v>0.86699999999999999</v>
      </c>
      <c r="T529">
        <f t="shared" si="78"/>
        <v>1.99</v>
      </c>
      <c r="U529">
        <f t="shared" si="79"/>
        <v>6.6826178450000002</v>
      </c>
      <c r="V529">
        <f t="shared" si="80"/>
        <v>0.05</v>
      </c>
      <c r="W529">
        <f t="shared" si="81"/>
        <v>9.5000000000000001E-2</v>
      </c>
      <c r="X529">
        <f t="shared" si="82"/>
        <v>0.84499999999999997</v>
      </c>
      <c r="Y529">
        <v>129.0321509</v>
      </c>
      <c r="Z529">
        <v>0</v>
      </c>
      <c r="AA529">
        <v>27567</v>
      </c>
      <c r="AB529">
        <v>8371</v>
      </c>
      <c r="AC529">
        <v>2.6639960000000001E-2</v>
      </c>
      <c r="AD529">
        <v>0.83875813700000001</v>
      </c>
      <c r="AF529">
        <v>12.38597633</v>
      </c>
      <c r="AG529">
        <v>0.02</v>
      </c>
      <c r="AH529">
        <v>1.7000000000000001E-2</v>
      </c>
      <c r="AI529">
        <v>0.86699999999999999</v>
      </c>
      <c r="AJ529">
        <v>1.99</v>
      </c>
      <c r="AK529">
        <v>6.6826178450000002</v>
      </c>
      <c r="AL529">
        <v>0.05</v>
      </c>
      <c r="AM529">
        <v>9.5000000000000001E-2</v>
      </c>
      <c r="AN529">
        <v>0.84499999999999997</v>
      </c>
    </row>
    <row r="530" spans="1:40">
      <c r="A530">
        <v>2598</v>
      </c>
      <c r="B530" t="s">
        <v>689</v>
      </c>
      <c r="C530" t="s">
        <v>687</v>
      </c>
      <c r="D530" t="s">
        <v>688</v>
      </c>
      <c r="E530">
        <v>351</v>
      </c>
      <c r="F530">
        <v>1302</v>
      </c>
      <c r="G530">
        <v>37.414123349999997</v>
      </c>
      <c r="H530">
        <v>214</v>
      </c>
      <c r="I530">
        <v>5.8480742000000002E-2</v>
      </c>
      <c r="J530">
        <v>1516</v>
      </c>
      <c r="K530">
        <v>25923.063699999999</v>
      </c>
      <c r="L530">
        <v>0.73199999999999998</v>
      </c>
      <c r="M530">
        <v>0.37876106199999998</v>
      </c>
      <c r="N530">
        <v>0</v>
      </c>
      <c r="O530" t="s">
        <v>613</v>
      </c>
      <c r="P530">
        <f t="shared" si="74"/>
        <v>12.847777779999999</v>
      </c>
      <c r="Q530">
        <f t="shared" si="75"/>
        <v>4.3999999999999997E-2</v>
      </c>
      <c r="R530">
        <f t="shared" si="76"/>
        <v>2.7E-2</v>
      </c>
      <c r="S530">
        <f t="shared" si="77"/>
        <v>0.73199999999999998</v>
      </c>
      <c r="T530">
        <f t="shared" si="78"/>
        <v>2.5014285709999999</v>
      </c>
      <c r="U530">
        <f t="shared" si="79"/>
        <v>6.0194329179999997</v>
      </c>
      <c r="V530">
        <f t="shared" si="80"/>
        <v>4.2999999999999997E-2</v>
      </c>
      <c r="W530">
        <f t="shared" si="81"/>
        <v>0.217</v>
      </c>
      <c r="X530">
        <f t="shared" si="82"/>
        <v>0.65200000000000002</v>
      </c>
      <c r="Y530">
        <v>193.52781300000001</v>
      </c>
      <c r="Z530">
        <v>0</v>
      </c>
      <c r="AA530">
        <v>454184</v>
      </c>
      <c r="AB530">
        <v>170596</v>
      </c>
      <c r="AC530">
        <v>6.5715274000000004E-2</v>
      </c>
      <c r="AD530">
        <v>0.72549415100000003</v>
      </c>
      <c r="AF530">
        <v>12.847777779999999</v>
      </c>
      <c r="AG530">
        <v>4.3999999999999997E-2</v>
      </c>
      <c r="AH530">
        <v>2.7E-2</v>
      </c>
      <c r="AI530">
        <v>0.73199999999999998</v>
      </c>
      <c r="AJ530">
        <v>2.5014285709999999</v>
      </c>
      <c r="AK530">
        <v>6.0194329179999997</v>
      </c>
      <c r="AL530">
        <v>4.2999999999999997E-2</v>
      </c>
      <c r="AM530">
        <v>0.217</v>
      </c>
      <c r="AN530">
        <v>0.65200000000000002</v>
      </c>
    </row>
    <row r="531" spans="1:40">
      <c r="A531">
        <v>2599</v>
      </c>
      <c r="B531" t="s">
        <v>689</v>
      </c>
      <c r="C531" t="s">
        <v>687</v>
      </c>
      <c r="D531" t="s">
        <v>688</v>
      </c>
      <c r="E531">
        <v>341</v>
      </c>
      <c r="F531">
        <v>854</v>
      </c>
      <c r="G531">
        <v>50.264849609999999</v>
      </c>
      <c r="H531">
        <v>125</v>
      </c>
      <c r="I531">
        <v>7.8571176000000006E-2</v>
      </c>
      <c r="J531">
        <v>979</v>
      </c>
      <c r="K531">
        <v>12460.04005</v>
      </c>
      <c r="L531">
        <v>0.76500000000000001</v>
      </c>
      <c r="M531">
        <v>0.26824034299999999</v>
      </c>
      <c r="N531">
        <v>0</v>
      </c>
      <c r="O531" t="s">
        <v>620</v>
      </c>
      <c r="P531">
        <f t="shared" si="74"/>
        <v>11.386981130000001</v>
      </c>
      <c r="Q531">
        <f t="shared" si="75"/>
        <v>4.2999999999999997E-2</v>
      </c>
      <c r="R531">
        <f t="shared" si="76"/>
        <v>3.5999999999999997E-2</v>
      </c>
      <c r="S531">
        <f t="shared" si="77"/>
        <v>0.76500000000000001</v>
      </c>
      <c r="T531">
        <f t="shared" si="78"/>
        <v>2.1646153849999998</v>
      </c>
      <c r="U531">
        <f t="shared" si="79"/>
        <v>6.9661163229999996</v>
      </c>
      <c r="V531">
        <f t="shared" si="80"/>
        <v>5.8999999999999997E-2</v>
      </c>
      <c r="W531">
        <f t="shared" si="81"/>
        <v>0.14699999999999999</v>
      </c>
      <c r="X531">
        <f t="shared" si="82"/>
        <v>0.77900000000000003</v>
      </c>
      <c r="Y531">
        <v>174.12854050000001</v>
      </c>
      <c r="Z531">
        <v>0</v>
      </c>
      <c r="AA531">
        <v>454184</v>
      </c>
      <c r="AB531">
        <v>170596</v>
      </c>
      <c r="AC531">
        <v>6.5715274000000004E-2</v>
      </c>
      <c r="AD531">
        <v>0.72549415100000003</v>
      </c>
      <c r="AF531">
        <v>11.386981130000001</v>
      </c>
      <c r="AG531">
        <v>4.2999999999999997E-2</v>
      </c>
      <c r="AH531">
        <v>3.5999999999999997E-2</v>
      </c>
      <c r="AI531">
        <v>0.76500000000000001</v>
      </c>
      <c r="AJ531">
        <v>2.1646153849999998</v>
      </c>
      <c r="AK531">
        <v>6.9661163229999996</v>
      </c>
      <c r="AL531">
        <v>5.8999999999999997E-2</v>
      </c>
      <c r="AM531">
        <v>0.14699999999999999</v>
      </c>
      <c r="AN531">
        <v>0.77900000000000003</v>
      </c>
    </row>
    <row r="532" spans="1:40">
      <c r="A532">
        <v>2600</v>
      </c>
      <c r="B532" t="s">
        <v>690</v>
      </c>
      <c r="C532" t="s">
        <v>687</v>
      </c>
      <c r="D532" t="s">
        <v>688</v>
      </c>
      <c r="E532">
        <v>620</v>
      </c>
      <c r="F532">
        <v>1537</v>
      </c>
      <c r="G532">
        <v>78.861347050000006</v>
      </c>
      <c r="H532">
        <v>57</v>
      </c>
      <c r="I532">
        <v>0.123271598</v>
      </c>
      <c r="J532">
        <v>1594</v>
      </c>
      <c r="K532">
        <v>12930.796920000001</v>
      </c>
      <c r="L532">
        <v>0.84799999999999998</v>
      </c>
      <c r="M532">
        <v>8.4194978000000004E-2</v>
      </c>
      <c r="N532">
        <v>0</v>
      </c>
      <c r="O532" t="s">
        <v>620</v>
      </c>
      <c r="P532">
        <f t="shared" si="74"/>
        <v>11.43070968</v>
      </c>
      <c r="Q532">
        <f t="shared" si="75"/>
        <v>2.9000000000000001E-2</v>
      </c>
      <c r="R532">
        <f t="shared" si="76"/>
        <v>1.9E-2</v>
      </c>
      <c r="S532">
        <f t="shared" si="77"/>
        <v>0.84799999999999998</v>
      </c>
      <c r="T532">
        <f t="shared" si="78"/>
        <v>2.0619999999999998</v>
      </c>
      <c r="U532">
        <f t="shared" si="79"/>
        <v>6.7978963410000004</v>
      </c>
      <c r="V532">
        <f t="shared" si="80"/>
        <v>1.0999999999999999E-2</v>
      </c>
      <c r="W532">
        <f t="shared" si="81"/>
        <v>0.113</v>
      </c>
      <c r="X532">
        <f t="shared" si="82"/>
        <v>0.876</v>
      </c>
      <c r="Y532">
        <v>146.17345800000001</v>
      </c>
      <c r="Z532">
        <v>0</v>
      </c>
      <c r="AA532">
        <v>82284</v>
      </c>
      <c r="AB532">
        <v>32030</v>
      </c>
      <c r="AC532">
        <v>4.7570397E-2</v>
      </c>
      <c r="AD532">
        <v>0.78974696300000002</v>
      </c>
      <c r="AF532">
        <v>11.43070968</v>
      </c>
      <c r="AG532">
        <v>2.9000000000000001E-2</v>
      </c>
      <c r="AH532">
        <v>1.9E-2</v>
      </c>
      <c r="AI532">
        <v>0.84799999999999998</v>
      </c>
      <c r="AJ532">
        <v>2.0619999999999998</v>
      </c>
      <c r="AK532">
        <v>6.7978963410000004</v>
      </c>
      <c r="AL532">
        <v>1.0999999999999999E-2</v>
      </c>
      <c r="AM532">
        <v>0.113</v>
      </c>
      <c r="AN532">
        <v>0.876</v>
      </c>
    </row>
    <row r="533" spans="1:40">
      <c r="A533">
        <v>2601</v>
      </c>
      <c r="B533" t="s">
        <v>689</v>
      </c>
      <c r="C533" t="s">
        <v>687</v>
      </c>
      <c r="D533" t="s">
        <v>688</v>
      </c>
      <c r="E533">
        <v>480</v>
      </c>
      <c r="F533">
        <v>1510</v>
      </c>
      <c r="G533">
        <v>49.030113540000002</v>
      </c>
      <c r="H533">
        <v>47</v>
      </c>
      <c r="I533">
        <v>7.6636282E-2</v>
      </c>
      <c r="J533">
        <v>1557</v>
      </c>
      <c r="K533">
        <v>20316.747619999998</v>
      </c>
      <c r="L533">
        <v>0.72</v>
      </c>
      <c r="M533">
        <v>8.9184060999999995E-2</v>
      </c>
      <c r="N533">
        <v>0</v>
      </c>
      <c r="O533" t="s">
        <v>613</v>
      </c>
      <c r="P533">
        <f t="shared" si="74"/>
        <v>8.4724324319999997</v>
      </c>
      <c r="Q533">
        <f t="shared" si="75"/>
        <v>2.5000000000000001E-2</v>
      </c>
      <c r="R533">
        <f t="shared" si="76"/>
        <v>2.7E-2</v>
      </c>
      <c r="S533">
        <f t="shared" si="77"/>
        <v>0.72</v>
      </c>
      <c r="T533">
        <f t="shared" si="78"/>
        <v>2.4674999999999998</v>
      </c>
      <c r="U533">
        <f t="shared" si="79"/>
        <v>5.3485123970000004</v>
      </c>
      <c r="V533">
        <f t="shared" si="80"/>
        <v>1.4E-2</v>
      </c>
      <c r="W533">
        <f t="shared" si="81"/>
        <v>0.14399999999999999</v>
      </c>
      <c r="X533">
        <f t="shared" si="82"/>
        <v>0.79900000000000004</v>
      </c>
      <c r="Y533">
        <v>143.53140310000001</v>
      </c>
      <c r="Z533">
        <v>0</v>
      </c>
      <c r="AA533">
        <v>454184</v>
      </c>
      <c r="AB533">
        <v>170596</v>
      </c>
      <c r="AC533">
        <v>6.5715274000000004E-2</v>
      </c>
      <c r="AD533">
        <v>0.72549415100000003</v>
      </c>
      <c r="AF533">
        <v>8.4724324319999997</v>
      </c>
      <c r="AG533">
        <v>2.5000000000000001E-2</v>
      </c>
      <c r="AH533">
        <v>2.7E-2</v>
      </c>
      <c r="AI533">
        <v>0.72</v>
      </c>
      <c r="AJ533">
        <v>2.4674999999999998</v>
      </c>
      <c r="AK533">
        <v>5.3485123970000004</v>
      </c>
      <c r="AL533">
        <v>1.4E-2</v>
      </c>
      <c r="AM533">
        <v>0.14399999999999999</v>
      </c>
      <c r="AN533">
        <v>0.79900000000000004</v>
      </c>
    </row>
    <row r="534" spans="1:40">
      <c r="A534">
        <v>2602</v>
      </c>
      <c r="B534" t="s">
        <v>689</v>
      </c>
      <c r="C534" t="s">
        <v>687</v>
      </c>
      <c r="D534" t="s">
        <v>688</v>
      </c>
      <c r="E534">
        <v>448</v>
      </c>
      <c r="F534">
        <v>1694</v>
      </c>
      <c r="G534">
        <v>46.296088179999998</v>
      </c>
      <c r="H534">
        <v>417</v>
      </c>
      <c r="I534">
        <v>7.2367718999999997E-2</v>
      </c>
      <c r="J534">
        <v>2111</v>
      </c>
      <c r="K534">
        <v>29170.464800000002</v>
      </c>
      <c r="L534">
        <v>0.69599999999999995</v>
      </c>
      <c r="M534">
        <v>0.48208092499999999</v>
      </c>
      <c r="N534">
        <v>1</v>
      </c>
      <c r="O534" t="s">
        <v>613</v>
      </c>
      <c r="P534">
        <f t="shared" si="74"/>
        <v>10.509931509999999</v>
      </c>
      <c r="Q534">
        <f t="shared" si="75"/>
        <v>7.4999999999999997E-2</v>
      </c>
      <c r="R534">
        <f t="shared" si="76"/>
        <v>0.03</v>
      </c>
      <c r="S534">
        <f t="shared" si="77"/>
        <v>0.69599999999999995</v>
      </c>
      <c r="T534">
        <f t="shared" si="78"/>
        <v>2.1993181819999998</v>
      </c>
      <c r="U534">
        <f t="shared" si="79"/>
        <v>6.1035939089999998</v>
      </c>
      <c r="V534">
        <f t="shared" si="80"/>
        <v>8.5000000000000006E-2</v>
      </c>
      <c r="W534">
        <f t="shared" si="81"/>
        <v>0.215</v>
      </c>
      <c r="X534">
        <f t="shared" si="82"/>
        <v>0.65500000000000003</v>
      </c>
      <c r="Y534">
        <v>202.19367249999999</v>
      </c>
      <c r="Z534">
        <v>0</v>
      </c>
      <c r="AA534">
        <v>454184</v>
      </c>
      <c r="AB534">
        <v>170596</v>
      </c>
      <c r="AC534">
        <v>6.5715274000000004E-2</v>
      </c>
      <c r="AD534">
        <v>0.72549415100000003</v>
      </c>
      <c r="AF534">
        <v>10.509931509999999</v>
      </c>
      <c r="AG534">
        <v>7.4999999999999997E-2</v>
      </c>
      <c r="AH534">
        <v>0.03</v>
      </c>
      <c r="AI534">
        <v>0.69599999999999995</v>
      </c>
      <c r="AJ534">
        <v>2.1993181819999998</v>
      </c>
      <c r="AK534">
        <v>6.1035939089999998</v>
      </c>
      <c r="AL534">
        <v>8.5000000000000006E-2</v>
      </c>
      <c r="AM534">
        <v>0.215</v>
      </c>
      <c r="AN534">
        <v>0.65500000000000003</v>
      </c>
    </row>
    <row r="535" spans="1:40">
      <c r="A535">
        <v>2603</v>
      </c>
      <c r="B535" t="s">
        <v>689</v>
      </c>
      <c r="C535" t="s">
        <v>687</v>
      </c>
      <c r="D535" t="s">
        <v>688</v>
      </c>
      <c r="E535">
        <v>249</v>
      </c>
      <c r="F535">
        <v>920</v>
      </c>
      <c r="G535">
        <v>31.808750109999998</v>
      </c>
      <c r="H535">
        <v>321</v>
      </c>
      <c r="I535">
        <v>4.9720092E-2</v>
      </c>
      <c r="J535">
        <v>1241</v>
      </c>
      <c r="K535">
        <v>24959.72855</v>
      </c>
      <c r="L535">
        <v>0.79600000000000004</v>
      </c>
      <c r="M535">
        <v>0.56315789500000002</v>
      </c>
      <c r="N535">
        <v>0</v>
      </c>
      <c r="O535" t="s">
        <v>613</v>
      </c>
      <c r="P535">
        <f t="shared" si="74"/>
        <v>10.46212766</v>
      </c>
      <c r="Q535">
        <f t="shared" si="75"/>
        <v>4.8000000000000001E-2</v>
      </c>
      <c r="R535">
        <f t="shared" si="76"/>
        <v>8.9999999999999993E-3</v>
      </c>
      <c r="S535">
        <f t="shared" si="77"/>
        <v>0.79600000000000004</v>
      </c>
      <c r="T535">
        <f t="shared" si="78"/>
        <v>1.6012500000000001</v>
      </c>
      <c r="U535">
        <f t="shared" si="79"/>
        <v>5.5938040349999998</v>
      </c>
      <c r="V535">
        <f t="shared" si="80"/>
        <v>3.2000000000000001E-2</v>
      </c>
      <c r="W535">
        <f t="shared" si="81"/>
        <v>0.19800000000000001</v>
      </c>
      <c r="X535">
        <f t="shared" si="82"/>
        <v>0.746</v>
      </c>
      <c r="Y535">
        <v>67.465627670000003</v>
      </c>
      <c r="Z535">
        <v>0</v>
      </c>
      <c r="AA535">
        <v>454184</v>
      </c>
      <c r="AB535">
        <v>170596</v>
      </c>
      <c r="AC535">
        <v>6.5715274000000004E-2</v>
      </c>
      <c r="AD535">
        <v>0.72549415100000003</v>
      </c>
      <c r="AF535">
        <v>10.46212766</v>
      </c>
      <c r="AG535">
        <v>4.8000000000000001E-2</v>
      </c>
      <c r="AH535">
        <v>8.9999999999999993E-3</v>
      </c>
      <c r="AI535">
        <v>0.79600000000000004</v>
      </c>
      <c r="AJ535">
        <v>1.6012500000000001</v>
      </c>
      <c r="AK535">
        <v>5.5938040349999998</v>
      </c>
      <c r="AL535">
        <v>3.2000000000000001E-2</v>
      </c>
      <c r="AM535">
        <v>0.19800000000000001</v>
      </c>
      <c r="AN535">
        <v>0.746</v>
      </c>
    </row>
    <row r="536" spans="1:40">
      <c r="A536">
        <v>2604</v>
      </c>
      <c r="B536" t="s">
        <v>689</v>
      </c>
      <c r="C536" t="s">
        <v>687</v>
      </c>
      <c r="D536" t="s">
        <v>688</v>
      </c>
      <c r="E536">
        <v>461</v>
      </c>
      <c r="F536">
        <v>1531</v>
      </c>
      <c r="G536">
        <v>44.365762349999997</v>
      </c>
      <c r="H536">
        <v>28</v>
      </c>
      <c r="I536">
        <v>6.9351516000000002E-2</v>
      </c>
      <c r="J536">
        <v>1559</v>
      </c>
      <c r="K536">
        <v>22479.681629999999</v>
      </c>
      <c r="L536">
        <v>0.70899999999999996</v>
      </c>
      <c r="M536">
        <v>5.7259714000000003E-2</v>
      </c>
      <c r="N536">
        <v>0</v>
      </c>
      <c r="O536" t="s">
        <v>613</v>
      </c>
      <c r="P536">
        <f t="shared" si="74"/>
        <v>10.9605</v>
      </c>
      <c r="Q536">
        <f t="shared" si="75"/>
        <v>3.5999999999999997E-2</v>
      </c>
      <c r="R536">
        <f t="shared" si="76"/>
        <v>1.4999999999999999E-2</v>
      </c>
      <c r="S536">
        <f t="shared" si="77"/>
        <v>0.70899999999999996</v>
      </c>
      <c r="T536">
        <f t="shared" si="78"/>
        <v>2.0378571430000001</v>
      </c>
      <c r="U536">
        <f t="shared" si="79"/>
        <v>5.4836333330000002</v>
      </c>
      <c r="V536">
        <f t="shared" si="80"/>
        <v>4.5999999999999999E-2</v>
      </c>
      <c r="W536">
        <f t="shared" si="81"/>
        <v>0.16500000000000001</v>
      </c>
      <c r="X536">
        <f t="shared" si="82"/>
        <v>0.73399999999999999</v>
      </c>
      <c r="Y536">
        <v>120.48245300000001</v>
      </c>
      <c r="Z536">
        <v>0</v>
      </c>
      <c r="AA536">
        <v>454184</v>
      </c>
      <c r="AB536">
        <v>170596</v>
      </c>
      <c r="AC536">
        <v>6.5715274000000004E-2</v>
      </c>
      <c r="AD536">
        <v>0.72549415100000003</v>
      </c>
      <c r="AF536">
        <v>10.9605</v>
      </c>
      <c r="AG536">
        <v>3.5999999999999997E-2</v>
      </c>
      <c r="AH536">
        <v>1.4999999999999999E-2</v>
      </c>
      <c r="AI536">
        <v>0.70899999999999996</v>
      </c>
      <c r="AJ536">
        <v>2.0378571430000001</v>
      </c>
      <c r="AK536">
        <v>5.4836333330000002</v>
      </c>
      <c r="AL536">
        <v>4.5999999999999999E-2</v>
      </c>
      <c r="AM536">
        <v>0.16500000000000001</v>
      </c>
      <c r="AN536">
        <v>0.73399999999999999</v>
      </c>
    </row>
    <row r="537" spans="1:40">
      <c r="A537">
        <v>2605</v>
      </c>
      <c r="B537" t="s">
        <v>701</v>
      </c>
      <c r="C537" t="s">
        <v>696</v>
      </c>
      <c r="D537" t="s">
        <v>697</v>
      </c>
      <c r="E537">
        <v>242</v>
      </c>
      <c r="F537">
        <v>823</v>
      </c>
      <c r="G537">
        <v>111.2661392</v>
      </c>
      <c r="H537">
        <v>403</v>
      </c>
      <c r="I537">
        <v>0.173916983</v>
      </c>
      <c r="J537">
        <v>1226</v>
      </c>
      <c r="K537">
        <v>7049.3403170000001</v>
      </c>
      <c r="L537">
        <v>0.81200000000000006</v>
      </c>
      <c r="M537">
        <v>0.62480620200000003</v>
      </c>
      <c r="N537">
        <v>0</v>
      </c>
      <c r="O537" t="s">
        <v>620</v>
      </c>
      <c r="P537">
        <f t="shared" si="74"/>
        <v>10.879922479999999</v>
      </c>
      <c r="Q537">
        <f t="shared" si="75"/>
        <v>2.7E-2</v>
      </c>
      <c r="R537">
        <f t="shared" si="76"/>
        <v>2.8000000000000001E-2</v>
      </c>
      <c r="S537">
        <f t="shared" si="77"/>
        <v>0.81200000000000006</v>
      </c>
      <c r="T537">
        <f t="shared" si="78"/>
        <v>2.1141999999999999</v>
      </c>
      <c r="U537">
        <f t="shared" si="79"/>
        <v>5.8400072249999999</v>
      </c>
      <c r="V537">
        <f t="shared" si="80"/>
        <v>8.3000000000000004E-2</v>
      </c>
      <c r="W537">
        <f t="shared" si="81"/>
        <v>5.7000000000000002E-2</v>
      </c>
      <c r="X537">
        <f t="shared" si="82"/>
        <v>0.82199999999999995</v>
      </c>
      <c r="Y537">
        <v>208.5903323</v>
      </c>
      <c r="Z537">
        <v>0</v>
      </c>
      <c r="AA537">
        <v>22589</v>
      </c>
      <c r="AB537">
        <v>7233</v>
      </c>
      <c r="AC537">
        <v>3.8721845999999997E-2</v>
      </c>
      <c r="AD537">
        <v>0.78947076400000005</v>
      </c>
      <c r="AF537">
        <v>10.879922479999999</v>
      </c>
      <c r="AG537">
        <v>2.7E-2</v>
      </c>
      <c r="AH537">
        <v>2.8000000000000001E-2</v>
      </c>
      <c r="AI537">
        <v>0.81200000000000006</v>
      </c>
      <c r="AJ537">
        <v>2.1141999999999999</v>
      </c>
      <c r="AK537">
        <v>5.8400072249999999</v>
      </c>
      <c r="AL537">
        <v>8.3000000000000004E-2</v>
      </c>
      <c r="AM537">
        <v>5.7000000000000002E-2</v>
      </c>
      <c r="AN537">
        <v>0.82199999999999995</v>
      </c>
    </row>
    <row r="538" spans="1:40">
      <c r="A538">
        <v>2606</v>
      </c>
      <c r="B538" t="s">
        <v>695</v>
      </c>
      <c r="C538" t="s">
        <v>696</v>
      </c>
      <c r="D538" t="s">
        <v>697</v>
      </c>
      <c r="E538">
        <v>581</v>
      </c>
      <c r="F538">
        <v>1699</v>
      </c>
      <c r="G538">
        <v>112.45808529999999</v>
      </c>
      <c r="H538">
        <v>12</v>
      </c>
      <c r="I538">
        <v>0.175782099</v>
      </c>
      <c r="J538">
        <v>1711</v>
      </c>
      <c r="K538">
        <v>9733.641877</v>
      </c>
      <c r="L538">
        <v>0.76800000000000002</v>
      </c>
      <c r="M538">
        <v>2.0236087999999999E-2</v>
      </c>
      <c r="N538">
        <v>0</v>
      </c>
      <c r="O538" t="s">
        <v>620</v>
      </c>
      <c r="P538">
        <f t="shared" si="74"/>
        <v>13.71170732</v>
      </c>
      <c r="Q538">
        <f t="shared" si="75"/>
        <v>4.2999999999999997E-2</v>
      </c>
      <c r="R538">
        <f t="shared" si="76"/>
        <v>2.3E-2</v>
      </c>
      <c r="S538">
        <f t="shared" si="77"/>
        <v>0.76800000000000002</v>
      </c>
      <c r="T538">
        <f t="shared" si="78"/>
        <v>1.8458333330000001</v>
      </c>
      <c r="U538">
        <f t="shared" si="79"/>
        <v>8.0415582659999991</v>
      </c>
      <c r="V538">
        <f t="shared" si="80"/>
        <v>1.2999999999999999E-2</v>
      </c>
      <c r="W538">
        <f t="shared" si="81"/>
        <v>0.19600000000000001</v>
      </c>
      <c r="X538">
        <f t="shared" si="82"/>
        <v>0.77800000000000002</v>
      </c>
      <c r="Y538">
        <v>117.4133437</v>
      </c>
      <c r="Z538">
        <v>0</v>
      </c>
      <c r="AA538">
        <v>62139</v>
      </c>
      <c r="AB538">
        <v>22178</v>
      </c>
      <c r="AC538">
        <v>2.5956119999999999E-2</v>
      </c>
      <c r="AD538">
        <v>0.81129361</v>
      </c>
      <c r="AF538">
        <v>13.71170732</v>
      </c>
      <c r="AG538">
        <v>4.2999999999999997E-2</v>
      </c>
      <c r="AH538">
        <v>2.3E-2</v>
      </c>
      <c r="AI538">
        <v>0.76800000000000002</v>
      </c>
      <c r="AJ538">
        <v>1.8458333330000001</v>
      </c>
      <c r="AK538">
        <v>8.0415582659999991</v>
      </c>
      <c r="AL538">
        <v>1.2999999999999999E-2</v>
      </c>
      <c r="AM538">
        <v>0.19600000000000001</v>
      </c>
      <c r="AN538">
        <v>0.77800000000000002</v>
      </c>
    </row>
    <row r="539" spans="1:40">
      <c r="A539">
        <v>2607</v>
      </c>
      <c r="B539" t="s">
        <v>705</v>
      </c>
      <c r="C539" t="s">
        <v>696</v>
      </c>
      <c r="D539" t="s">
        <v>697</v>
      </c>
      <c r="E539">
        <v>314</v>
      </c>
      <c r="F539">
        <v>1163</v>
      </c>
      <c r="G539">
        <v>51.379540009999999</v>
      </c>
      <c r="H539">
        <v>0</v>
      </c>
      <c r="I539">
        <v>8.0315757000000002E-2</v>
      </c>
      <c r="J539">
        <v>1163</v>
      </c>
      <c r="K539">
        <v>14480.346610000001</v>
      </c>
      <c r="L539">
        <v>0.78600000000000003</v>
      </c>
      <c r="M539">
        <v>0</v>
      </c>
      <c r="N539">
        <v>0</v>
      </c>
      <c r="O539" t="s">
        <v>620</v>
      </c>
      <c r="P539">
        <f t="shared" si="74"/>
        <v>13.042403849999999</v>
      </c>
      <c r="Q539">
        <f t="shared" si="75"/>
        <v>3.4000000000000002E-2</v>
      </c>
      <c r="R539">
        <f t="shared" si="76"/>
        <v>4.1000000000000002E-2</v>
      </c>
      <c r="S539">
        <f t="shared" si="77"/>
        <v>0.78600000000000003</v>
      </c>
      <c r="T539">
        <f t="shared" si="78"/>
        <v>1.1429166669999999</v>
      </c>
      <c r="U539">
        <f t="shared" si="79"/>
        <v>8.0034009009999991</v>
      </c>
      <c r="V539">
        <f t="shared" si="80"/>
        <v>1.7000000000000001E-2</v>
      </c>
      <c r="W539">
        <f t="shared" si="81"/>
        <v>0.124</v>
      </c>
      <c r="X539">
        <f t="shared" si="82"/>
        <v>0.86</v>
      </c>
      <c r="Y539">
        <v>181.93450490000001</v>
      </c>
      <c r="Z539">
        <v>0</v>
      </c>
      <c r="AA539">
        <v>152832</v>
      </c>
      <c r="AB539">
        <v>45686</v>
      </c>
      <c r="AC539">
        <v>2.1596295000000001E-2</v>
      </c>
      <c r="AD539">
        <v>0.84212384500000004</v>
      </c>
      <c r="AF539">
        <v>13.042403849999999</v>
      </c>
      <c r="AG539">
        <v>3.4000000000000002E-2</v>
      </c>
      <c r="AH539">
        <v>4.1000000000000002E-2</v>
      </c>
      <c r="AI539">
        <v>0.78600000000000003</v>
      </c>
      <c r="AJ539">
        <v>1.1429166669999999</v>
      </c>
      <c r="AK539">
        <v>8.0034009009999991</v>
      </c>
      <c r="AL539">
        <v>1.7000000000000001E-2</v>
      </c>
      <c r="AM539">
        <v>0.124</v>
      </c>
      <c r="AN539">
        <v>0.86</v>
      </c>
    </row>
    <row r="540" spans="1:40">
      <c r="A540">
        <v>2608</v>
      </c>
      <c r="B540" t="s">
        <v>705</v>
      </c>
      <c r="C540" t="s">
        <v>696</v>
      </c>
      <c r="D540" t="s">
        <v>697</v>
      </c>
      <c r="E540">
        <v>449</v>
      </c>
      <c r="F540">
        <v>1664</v>
      </c>
      <c r="G540">
        <v>89.80970379</v>
      </c>
      <c r="H540">
        <v>170</v>
      </c>
      <c r="I540">
        <v>0.140378541</v>
      </c>
      <c r="J540">
        <v>1834</v>
      </c>
      <c r="K540">
        <v>13064.67489</v>
      </c>
      <c r="L540">
        <v>0.80800000000000005</v>
      </c>
      <c r="M540">
        <v>0.27463651100000003</v>
      </c>
      <c r="N540">
        <v>0</v>
      </c>
      <c r="O540" t="s">
        <v>620</v>
      </c>
      <c r="P540">
        <f t="shared" si="74"/>
        <v>14.480450449999999</v>
      </c>
      <c r="Q540">
        <f t="shared" si="75"/>
        <v>0.02</v>
      </c>
      <c r="R540">
        <f t="shared" si="76"/>
        <v>1.4E-2</v>
      </c>
      <c r="S540">
        <f t="shared" si="77"/>
        <v>0.80800000000000005</v>
      </c>
      <c r="T540">
        <f t="shared" si="78"/>
        <v>2.26125</v>
      </c>
      <c r="U540">
        <f t="shared" si="79"/>
        <v>7.3556726460000004</v>
      </c>
      <c r="V540">
        <f t="shared" si="80"/>
        <v>1.6E-2</v>
      </c>
      <c r="W540">
        <f t="shared" si="81"/>
        <v>0.10299999999999999</v>
      </c>
      <c r="X540">
        <f t="shared" si="82"/>
        <v>0.88100000000000001</v>
      </c>
      <c r="Y540">
        <v>137.87247249999999</v>
      </c>
      <c r="Z540">
        <v>0</v>
      </c>
      <c r="AA540">
        <v>152832</v>
      </c>
      <c r="AB540">
        <v>45686</v>
      </c>
      <c r="AC540">
        <v>2.1596295000000001E-2</v>
      </c>
      <c r="AD540">
        <v>0.84212384500000004</v>
      </c>
      <c r="AF540">
        <v>14.480450449999999</v>
      </c>
      <c r="AG540">
        <v>0.02</v>
      </c>
      <c r="AH540">
        <v>1.4E-2</v>
      </c>
      <c r="AI540">
        <v>0.80800000000000005</v>
      </c>
      <c r="AJ540">
        <v>2.26125</v>
      </c>
      <c r="AK540">
        <v>7.3556726460000004</v>
      </c>
      <c r="AL540">
        <v>1.6E-2</v>
      </c>
      <c r="AM540">
        <v>0.10299999999999999</v>
      </c>
      <c r="AN540">
        <v>0.88100000000000001</v>
      </c>
    </row>
    <row r="541" spans="1:40">
      <c r="A541">
        <v>2609</v>
      </c>
      <c r="B541" t="s">
        <v>691</v>
      </c>
      <c r="C541" t="s">
        <v>684</v>
      </c>
      <c r="D541" t="s">
        <v>685</v>
      </c>
      <c r="E541">
        <v>108</v>
      </c>
      <c r="F541">
        <v>337</v>
      </c>
      <c r="G541">
        <v>59.999069499999997</v>
      </c>
      <c r="H541">
        <v>287</v>
      </c>
      <c r="I541">
        <v>9.3780942000000006E-2</v>
      </c>
      <c r="J541">
        <v>624</v>
      </c>
      <c r="K541">
        <v>6653.8039250000002</v>
      </c>
      <c r="L541">
        <v>0.92</v>
      </c>
      <c r="M541">
        <v>0.72658227799999997</v>
      </c>
      <c r="N541">
        <v>0</v>
      </c>
      <c r="O541" t="s">
        <v>620</v>
      </c>
      <c r="P541">
        <f t="shared" si="74"/>
        <v>12.7622093</v>
      </c>
      <c r="Q541">
        <f t="shared" si="75"/>
        <v>1.2999999999999999E-2</v>
      </c>
      <c r="R541">
        <f t="shared" si="76"/>
        <v>1.6E-2</v>
      </c>
      <c r="S541">
        <f t="shared" si="77"/>
        <v>0.92</v>
      </c>
      <c r="T541">
        <f t="shared" si="78"/>
        <v>2.66</v>
      </c>
      <c r="U541">
        <f t="shared" si="79"/>
        <v>9.5599423629999993</v>
      </c>
      <c r="V541">
        <f t="shared" si="80"/>
        <v>4.2000000000000003E-2</v>
      </c>
      <c r="W541">
        <f t="shared" si="81"/>
        <v>3.2000000000000001E-2</v>
      </c>
      <c r="X541">
        <f t="shared" si="82"/>
        <v>0.90500000000000003</v>
      </c>
      <c r="Y541">
        <v>188.19138390000001</v>
      </c>
      <c r="Z541">
        <v>0</v>
      </c>
      <c r="AA541">
        <v>236250</v>
      </c>
      <c r="AB541">
        <v>76158</v>
      </c>
      <c r="AC541">
        <v>1.7652984E-2</v>
      </c>
      <c r="AD541">
        <v>0.84750225300000004</v>
      </c>
      <c r="AF541">
        <v>12.7622093</v>
      </c>
      <c r="AG541">
        <v>1.2999999999999999E-2</v>
      </c>
      <c r="AH541">
        <v>1.6E-2</v>
      </c>
      <c r="AI541">
        <v>0.92</v>
      </c>
      <c r="AJ541">
        <v>2.66</v>
      </c>
      <c r="AK541">
        <v>9.5599423629999993</v>
      </c>
      <c r="AL541">
        <v>4.2000000000000003E-2</v>
      </c>
      <c r="AM541">
        <v>3.2000000000000001E-2</v>
      </c>
      <c r="AN541">
        <v>0.90500000000000003</v>
      </c>
    </row>
    <row r="542" spans="1:40">
      <c r="A542">
        <v>2610</v>
      </c>
      <c r="B542" t="s">
        <v>691</v>
      </c>
      <c r="C542" t="s">
        <v>684</v>
      </c>
      <c r="D542" t="s">
        <v>685</v>
      </c>
      <c r="E542">
        <v>1</v>
      </c>
      <c r="F542">
        <v>2</v>
      </c>
      <c r="G542">
        <v>24.150351709999999</v>
      </c>
      <c r="H542">
        <v>482</v>
      </c>
      <c r="I542">
        <v>3.7749351E-2</v>
      </c>
      <c r="J542">
        <v>484</v>
      </c>
      <c r="K542">
        <v>12821.412480000001</v>
      </c>
      <c r="L542">
        <v>0.88400000000000001</v>
      </c>
      <c r="M542">
        <v>0.997929607</v>
      </c>
      <c r="N542">
        <v>0</v>
      </c>
      <c r="O542" t="s">
        <v>620</v>
      </c>
      <c r="P542">
        <f t="shared" si="74"/>
        <v>10.68527473</v>
      </c>
      <c r="Q542">
        <f t="shared" si="75"/>
        <v>3.0000000000000001E-3</v>
      </c>
      <c r="R542">
        <f t="shared" si="76"/>
        <v>2.5999999999999999E-2</v>
      </c>
      <c r="S542">
        <f t="shared" si="77"/>
        <v>0.88400000000000001</v>
      </c>
      <c r="T542">
        <f t="shared" si="78"/>
        <v>3.2237499999999999</v>
      </c>
      <c r="U542">
        <f t="shared" si="79"/>
        <v>8.7879850749999999</v>
      </c>
      <c r="V542">
        <f t="shared" si="80"/>
        <v>0.08</v>
      </c>
      <c r="W542">
        <f t="shared" si="81"/>
        <v>0.01</v>
      </c>
      <c r="X542">
        <f t="shared" si="82"/>
        <v>0.91</v>
      </c>
      <c r="Y542">
        <v>13.133640359999999</v>
      </c>
      <c r="Z542">
        <v>0</v>
      </c>
      <c r="AA542">
        <v>236250</v>
      </c>
      <c r="AB542">
        <v>76158</v>
      </c>
      <c r="AC542">
        <v>1.7652984E-2</v>
      </c>
      <c r="AD542">
        <v>0.84750225300000004</v>
      </c>
      <c r="AF542">
        <v>10.68527473</v>
      </c>
      <c r="AG542">
        <v>3.0000000000000001E-3</v>
      </c>
      <c r="AH542">
        <v>2.5999999999999999E-2</v>
      </c>
      <c r="AI542">
        <v>0.88400000000000001</v>
      </c>
      <c r="AJ542">
        <v>3.2237499999999999</v>
      </c>
      <c r="AK542">
        <v>8.7879850749999999</v>
      </c>
      <c r="AL542">
        <v>0.08</v>
      </c>
      <c r="AM542">
        <v>0.01</v>
      </c>
      <c r="AN542">
        <v>0.91</v>
      </c>
    </row>
    <row r="543" spans="1:40">
      <c r="A543">
        <v>2611</v>
      </c>
      <c r="B543" t="s">
        <v>703</v>
      </c>
      <c r="C543" t="s">
        <v>696</v>
      </c>
      <c r="D543" t="s">
        <v>697</v>
      </c>
      <c r="E543">
        <v>666</v>
      </c>
      <c r="F543">
        <v>2085</v>
      </c>
      <c r="G543">
        <v>99.782414979999999</v>
      </c>
      <c r="H543">
        <v>177</v>
      </c>
      <c r="I543">
        <v>0.15597058699999999</v>
      </c>
      <c r="J543">
        <v>2262</v>
      </c>
      <c r="K543">
        <v>14502.734420000001</v>
      </c>
      <c r="L543">
        <v>0.81499999999999995</v>
      </c>
      <c r="M543">
        <v>0.20996441299999999</v>
      </c>
      <c r="N543">
        <v>0</v>
      </c>
      <c r="O543" t="s">
        <v>620</v>
      </c>
      <c r="P543">
        <f t="shared" si="74"/>
        <v>14.378914290000001</v>
      </c>
      <c r="Q543">
        <f t="shared" si="75"/>
        <v>3.9E-2</v>
      </c>
      <c r="R543">
        <f t="shared" si="76"/>
        <v>0.02</v>
      </c>
      <c r="S543">
        <f t="shared" si="77"/>
        <v>0.81499999999999995</v>
      </c>
      <c r="T543">
        <f t="shared" si="78"/>
        <v>2.5407692310000001</v>
      </c>
      <c r="U543">
        <f t="shared" si="79"/>
        <v>6.8323980579999999</v>
      </c>
      <c r="V543">
        <f t="shared" si="80"/>
        <v>2.8000000000000001E-2</v>
      </c>
      <c r="W543">
        <f t="shared" si="81"/>
        <v>0.13</v>
      </c>
      <c r="X543">
        <f t="shared" si="82"/>
        <v>0.81</v>
      </c>
      <c r="Y543">
        <v>123.8071073</v>
      </c>
      <c r="Z543">
        <v>0</v>
      </c>
      <c r="AA543">
        <v>27567</v>
      </c>
      <c r="AB543">
        <v>8371</v>
      </c>
      <c r="AC543">
        <v>2.6639960000000001E-2</v>
      </c>
      <c r="AD543">
        <v>0.83875813700000001</v>
      </c>
      <c r="AF543">
        <v>14.378914290000001</v>
      </c>
      <c r="AG543">
        <v>3.9E-2</v>
      </c>
      <c r="AH543">
        <v>0.02</v>
      </c>
      <c r="AI543">
        <v>0.81499999999999995</v>
      </c>
      <c r="AJ543">
        <v>2.5407692310000001</v>
      </c>
      <c r="AK543">
        <v>6.8323980579999999</v>
      </c>
      <c r="AL543">
        <v>2.8000000000000001E-2</v>
      </c>
      <c r="AM543">
        <v>0.13</v>
      </c>
      <c r="AN543">
        <v>0.81</v>
      </c>
    </row>
    <row r="544" spans="1:40">
      <c r="A544">
        <v>2612</v>
      </c>
      <c r="B544" t="s">
        <v>691</v>
      </c>
      <c r="C544" t="s">
        <v>684</v>
      </c>
      <c r="D544" t="s">
        <v>685</v>
      </c>
      <c r="E544">
        <v>728</v>
      </c>
      <c r="F544">
        <v>2403</v>
      </c>
      <c r="G544">
        <v>246.13278819999999</v>
      </c>
      <c r="H544">
        <v>580</v>
      </c>
      <c r="I544">
        <v>0.38472913600000003</v>
      </c>
      <c r="J544">
        <v>2983</v>
      </c>
      <c r="K544">
        <v>7753.5068719999999</v>
      </c>
      <c r="L544">
        <v>0.86399999999999999</v>
      </c>
      <c r="M544">
        <v>0.44342507599999997</v>
      </c>
      <c r="N544">
        <v>0</v>
      </c>
      <c r="O544" t="s">
        <v>620</v>
      </c>
      <c r="P544">
        <f t="shared" si="74"/>
        <v>14.84912548</v>
      </c>
      <c r="Q544">
        <f t="shared" si="75"/>
        <v>1.4E-2</v>
      </c>
      <c r="R544">
        <f t="shared" si="76"/>
        <v>1.2E-2</v>
      </c>
      <c r="S544">
        <f t="shared" si="77"/>
        <v>0.86399999999999999</v>
      </c>
      <c r="T544">
        <f t="shared" si="78"/>
        <v>2.11</v>
      </c>
      <c r="U544">
        <f t="shared" si="79"/>
        <v>7.8312111599999996</v>
      </c>
      <c r="V544">
        <f t="shared" si="80"/>
        <v>7.0000000000000001E-3</v>
      </c>
      <c r="W544">
        <f t="shared" si="81"/>
        <v>5.3999999999999999E-2</v>
      </c>
      <c r="X544">
        <f t="shared" si="82"/>
        <v>0.93899999999999995</v>
      </c>
      <c r="Y544">
        <v>95.932565539999999</v>
      </c>
      <c r="Z544">
        <v>0</v>
      </c>
      <c r="AA544">
        <v>236250</v>
      </c>
      <c r="AB544">
        <v>76158</v>
      </c>
      <c r="AC544">
        <v>1.7652984E-2</v>
      </c>
      <c r="AD544">
        <v>0.84750225300000004</v>
      </c>
      <c r="AF544">
        <v>14.84912548</v>
      </c>
      <c r="AG544">
        <v>1.4E-2</v>
      </c>
      <c r="AH544">
        <v>1.2E-2</v>
      </c>
      <c r="AI544">
        <v>0.86399999999999999</v>
      </c>
      <c r="AJ544">
        <v>2.11</v>
      </c>
      <c r="AK544">
        <v>7.8312111599999996</v>
      </c>
      <c r="AL544">
        <v>7.0000000000000001E-3</v>
      </c>
      <c r="AM544">
        <v>5.3999999999999999E-2</v>
      </c>
      <c r="AN544">
        <v>0.93899999999999995</v>
      </c>
    </row>
    <row r="545" spans="1:40">
      <c r="A545">
        <v>2613</v>
      </c>
      <c r="B545" t="s">
        <v>689</v>
      </c>
      <c r="C545" t="s">
        <v>687</v>
      </c>
      <c r="D545" t="s">
        <v>688</v>
      </c>
      <c r="E545">
        <v>642</v>
      </c>
      <c r="F545">
        <v>2172</v>
      </c>
      <c r="G545">
        <v>57.552723090000001</v>
      </c>
      <c r="H545">
        <v>58</v>
      </c>
      <c r="I545">
        <v>8.9961544000000004E-2</v>
      </c>
      <c r="J545">
        <v>2230</v>
      </c>
      <c r="K545">
        <v>24788.369569999999</v>
      </c>
      <c r="L545">
        <v>0.74</v>
      </c>
      <c r="M545">
        <v>8.2857142999999994E-2</v>
      </c>
      <c r="N545">
        <v>0</v>
      </c>
      <c r="O545" t="s">
        <v>613</v>
      </c>
      <c r="P545">
        <f t="shared" si="74"/>
        <v>9.4775735290000007</v>
      </c>
      <c r="Q545">
        <f t="shared" si="75"/>
        <v>4.4999999999999998E-2</v>
      </c>
      <c r="R545">
        <f t="shared" si="76"/>
        <v>2.3E-2</v>
      </c>
      <c r="S545">
        <f t="shared" si="77"/>
        <v>0.74</v>
      </c>
      <c r="T545">
        <f t="shared" si="78"/>
        <v>2.2803125</v>
      </c>
      <c r="U545">
        <f t="shared" si="79"/>
        <v>5.2942083760000003</v>
      </c>
      <c r="V545">
        <f t="shared" si="80"/>
        <v>5.6000000000000001E-2</v>
      </c>
      <c r="W545">
        <f t="shared" si="81"/>
        <v>0.16700000000000001</v>
      </c>
      <c r="X545">
        <f t="shared" si="82"/>
        <v>0.75600000000000001</v>
      </c>
      <c r="Y545">
        <v>229.2848458</v>
      </c>
      <c r="Z545">
        <v>0</v>
      </c>
      <c r="AA545">
        <v>454184</v>
      </c>
      <c r="AB545">
        <v>170596</v>
      </c>
      <c r="AC545">
        <v>6.5715274000000004E-2</v>
      </c>
      <c r="AD545">
        <v>0.72549415100000003</v>
      </c>
      <c r="AF545">
        <v>9.4775735290000007</v>
      </c>
      <c r="AG545">
        <v>4.4999999999999998E-2</v>
      </c>
      <c r="AH545">
        <v>2.3E-2</v>
      </c>
      <c r="AI545">
        <v>0.74</v>
      </c>
      <c r="AJ545">
        <v>2.2803125</v>
      </c>
      <c r="AK545">
        <v>5.2942083760000003</v>
      </c>
      <c r="AL545">
        <v>5.6000000000000001E-2</v>
      </c>
      <c r="AM545">
        <v>0.16700000000000001</v>
      </c>
      <c r="AN545">
        <v>0.75600000000000001</v>
      </c>
    </row>
    <row r="546" spans="1:40">
      <c r="A546">
        <v>2614</v>
      </c>
      <c r="B546" t="s">
        <v>689</v>
      </c>
      <c r="C546" t="s">
        <v>687</v>
      </c>
      <c r="D546" t="s">
        <v>688</v>
      </c>
      <c r="E546">
        <v>627</v>
      </c>
      <c r="F546">
        <v>1613</v>
      </c>
      <c r="G546">
        <v>92.034188490000005</v>
      </c>
      <c r="H546">
        <v>0</v>
      </c>
      <c r="I546">
        <v>0.143858917</v>
      </c>
      <c r="J546">
        <v>1613</v>
      </c>
      <c r="K546">
        <v>11212.37413</v>
      </c>
      <c r="L546">
        <v>0.76500000000000001</v>
      </c>
      <c r="M546">
        <v>0</v>
      </c>
      <c r="N546">
        <v>0</v>
      </c>
      <c r="O546" t="s">
        <v>620</v>
      </c>
      <c r="P546">
        <f t="shared" si="74"/>
        <v>12.26836207</v>
      </c>
      <c r="Q546">
        <f t="shared" si="75"/>
        <v>3.6999999999999998E-2</v>
      </c>
      <c r="R546">
        <f t="shared" si="76"/>
        <v>4.4999999999999998E-2</v>
      </c>
      <c r="S546">
        <f t="shared" si="77"/>
        <v>0.76500000000000001</v>
      </c>
      <c r="T546">
        <f t="shared" si="78"/>
        <v>2.1823076920000002</v>
      </c>
      <c r="U546">
        <f t="shared" si="79"/>
        <v>7.0741846150000001</v>
      </c>
      <c r="V546">
        <f t="shared" si="80"/>
        <v>8.3000000000000004E-2</v>
      </c>
      <c r="W546">
        <f t="shared" si="81"/>
        <v>0.14099999999999999</v>
      </c>
      <c r="X546">
        <f t="shared" si="82"/>
        <v>0.74399999999999999</v>
      </c>
      <c r="Y546">
        <v>106.7414081</v>
      </c>
      <c r="Z546">
        <v>0</v>
      </c>
      <c r="AA546">
        <v>454184</v>
      </c>
      <c r="AB546">
        <v>170596</v>
      </c>
      <c r="AC546">
        <v>6.5715274000000004E-2</v>
      </c>
      <c r="AD546">
        <v>0.72549415100000003</v>
      </c>
      <c r="AF546">
        <v>12.26836207</v>
      </c>
      <c r="AG546">
        <v>3.6999999999999998E-2</v>
      </c>
      <c r="AH546">
        <v>4.4999999999999998E-2</v>
      </c>
      <c r="AI546">
        <v>0.76500000000000001</v>
      </c>
      <c r="AJ546">
        <v>2.1823076920000002</v>
      </c>
      <c r="AK546">
        <v>7.0741846150000001</v>
      </c>
      <c r="AL546">
        <v>8.3000000000000004E-2</v>
      </c>
      <c r="AM546">
        <v>0.14099999999999999</v>
      </c>
      <c r="AN546">
        <v>0.74399999999999999</v>
      </c>
    </row>
    <row r="547" spans="1:40">
      <c r="A547">
        <v>2615</v>
      </c>
      <c r="B547" t="s">
        <v>695</v>
      </c>
      <c r="C547" t="s">
        <v>696</v>
      </c>
      <c r="D547" t="s">
        <v>697</v>
      </c>
      <c r="E547">
        <v>478</v>
      </c>
      <c r="F547">
        <v>1392</v>
      </c>
      <c r="G547">
        <v>154.4135809</v>
      </c>
      <c r="H547">
        <v>45</v>
      </c>
      <c r="I547">
        <v>0.24137103600000001</v>
      </c>
      <c r="J547">
        <v>1437</v>
      </c>
      <c r="K547">
        <v>5953.4897970000002</v>
      </c>
      <c r="L547">
        <v>0.76600000000000001</v>
      </c>
      <c r="M547">
        <v>8.6042065000000001E-2</v>
      </c>
      <c r="N547">
        <v>0</v>
      </c>
      <c r="O547" t="s">
        <v>620</v>
      </c>
      <c r="P547">
        <f t="shared" si="74"/>
        <v>12.32582734</v>
      </c>
      <c r="Q547">
        <f t="shared" si="75"/>
        <v>3.5000000000000003E-2</v>
      </c>
      <c r="R547">
        <f t="shared" si="76"/>
        <v>2.5000000000000001E-2</v>
      </c>
      <c r="S547">
        <f t="shared" si="77"/>
        <v>0.76600000000000001</v>
      </c>
      <c r="T547">
        <f t="shared" si="78"/>
        <v>1.3009090910000001</v>
      </c>
      <c r="U547">
        <f t="shared" si="79"/>
        <v>8.0020606060000006</v>
      </c>
      <c r="V547">
        <f t="shared" si="80"/>
        <v>4.15609756097561E-2</v>
      </c>
      <c r="W547">
        <f t="shared" si="81"/>
        <v>0.14699999999999999</v>
      </c>
      <c r="X547">
        <f t="shared" si="82"/>
        <v>0.85299999999999998</v>
      </c>
      <c r="Y547">
        <v>62.2886679</v>
      </c>
      <c r="Z547">
        <v>0</v>
      </c>
      <c r="AA547">
        <v>62139</v>
      </c>
      <c r="AB547">
        <v>22178</v>
      </c>
      <c r="AC547">
        <v>2.5956119999999999E-2</v>
      </c>
      <c r="AD547">
        <v>0.81129361</v>
      </c>
      <c r="AF547">
        <v>12.32582734</v>
      </c>
      <c r="AG547">
        <v>3.5000000000000003E-2</v>
      </c>
      <c r="AH547">
        <v>2.5000000000000001E-2</v>
      </c>
      <c r="AI547">
        <v>0.76600000000000001</v>
      </c>
      <c r="AJ547">
        <v>1.3009090910000001</v>
      </c>
      <c r="AK547">
        <v>8.0020606060000006</v>
      </c>
      <c r="AL547">
        <v>0</v>
      </c>
      <c r="AM547">
        <v>0.14699999999999999</v>
      </c>
      <c r="AN547">
        <v>0.85299999999999998</v>
      </c>
    </row>
    <row r="548" spans="1:40">
      <c r="A548">
        <v>2616</v>
      </c>
      <c r="B548" t="s">
        <v>689</v>
      </c>
      <c r="C548" t="s">
        <v>687</v>
      </c>
      <c r="D548" t="s">
        <v>688</v>
      </c>
      <c r="E548">
        <v>1310</v>
      </c>
      <c r="F548">
        <v>3200</v>
      </c>
      <c r="G548">
        <v>756.78705019999995</v>
      </c>
      <c r="H548">
        <v>450</v>
      </c>
      <c r="I548" s="515">
        <v>1.18297152740707</v>
      </c>
      <c r="J548">
        <v>3650</v>
      </c>
      <c r="K548">
        <v>3085.4504229999998</v>
      </c>
      <c r="L548">
        <v>0.878</v>
      </c>
      <c r="M548">
        <v>0.25568181800000001</v>
      </c>
      <c r="N548">
        <v>0</v>
      </c>
      <c r="O548" t="s">
        <v>620</v>
      </c>
      <c r="P548">
        <f t="shared" si="74"/>
        <v>12.775130020000001</v>
      </c>
      <c r="Q548">
        <f t="shared" si="75"/>
        <v>3.5000000000000003E-2</v>
      </c>
      <c r="R548">
        <f t="shared" si="76"/>
        <v>3.3000000000000002E-2</v>
      </c>
      <c r="S548">
        <f t="shared" si="77"/>
        <v>0.878</v>
      </c>
      <c r="T548">
        <f t="shared" si="78"/>
        <v>2.5743939390000001</v>
      </c>
      <c r="U548">
        <f t="shared" si="79"/>
        <v>8.8228787880000006</v>
      </c>
      <c r="V548">
        <f t="shared" si="80"/>
        <v>5.1999999999999998E-2</v>
      </c>
      <c r="W548">
        <f t="shared" si="81"/>
        <v>0.128</v>
      </c>
      <c r="X548">
        <f t="shared" si="82"/>
        <v>0.82</v>
      </c>
      <c r="Y548">
        <v>49.381008999999999</v>
      </c>
      <c r="Z548">
        <v>0</v>
      </c>
      <c r="AA548">
        <v>454184</v>
      </c>
      <c r="AB548">
        <v>170596</v>
      </c>
      <c r="AC548">
        <v>6.5715274000000004E-2</v>
      </c>
      <c r="AD548">
        <v>0.72549415100000003</v>
      </c>
      <c r="AF548">
        <v>12.775130020000001</v>
      </c>
      <c r="AG548">
        <v>3.5000000000000003E-2</v>
      </c>
      <c r="AH548">
        <v>3.3000000000000002E-2</v>
      </c>
      <c r="AI548">
        <v>0.878</v>
      </c>
      <c r="AJ548">
        <v>2.5743939390000001</v>
      </c>
      <c r="AK548">
        <v>8.8228787880000006</v>
      </c>
      <c r="AL548">
        <v>5.1999999999999998E-2</v>
      </c>
      <c r="AM548">
        <v>0.128</v>
      </c>
      <c r="AN548">
        <v>0.82</v>
      </c>
    </row>
    <row r="549" spans="1:40">
      <c r="A549">
        <v>2617</v>
      </c>
      <c r="B549" t="s">
        <v>691</v>
      </c>
      <c r="C549" t="s">
        <v>684</v>
      </c>
      <c r="D549" t="s">
        <v>685</v>
      </c>
      <c r="E549">
        <v>497</v>
      </c>
      <c r="F549">
        <v>1739</v>
      </c>
      <c r="G549">
        <v>115.96509090000001</v>
      </c>
      <c r="H549">
        <v>101</v>
      </c>
      <c r="I549">
        <v>0.181264552</v>
      </c>
      <c r="J549">
        <v>1840</v>
      </c>
      <c r="K549">
        <v>10150.909149999999</v>
      </c>
      <c r="L549">
        <v>0.85599999999999998</v>
      </c>
      <c r="M549">
        <v>0.16889632099999999</v>
      </c>
      <c r="N549">
        <v>0</v>
      </c>
      <c r="O549" t="s">
        <v>620</v>
      </c>
      <c r="P549">
        <f t="shared" si="74"/>
        <v>13.302121209999999</v>
      </c>
      <c r="Q549">
        <f t="shared" si="75"/>
        <v>1.7999999999999999E-2</v>
      </c>
      <c r="R549">
        <f t="shared" si="76"/>
        <v>6.0000000000000001E-3</v>
      </c>
      <c r="S549">
        <f t="shared" si="77"/>
        <v>0.85599999999999998</v>
      </c>
      <c r="T549">
        <f t="shared" si="78"/>
        <v>2.8683333329999998</v>
      </c>
      <c r="U549">
        <f t="shared" si="79"/>
        <v>7.4029411759999997</v>
      </c>
      <c r="V549">
        <f t="shared" si="80"/>
        <v>3.5151315789473656E-2</v>
      </c>
      <c r="W549">
        <f t="shared" si="81"/>
        <v>7.0000000000000007E-2</v>
      </c>
      <c r="X549">
        <f t="shared" si="82"/>
        <v>0.93</v>
      </c>
      <c r="Y549">
        <v>117.7723972</v>
      </c>
      <c r="Z549">
        <v>0</v>
      </c>
      <c r="AA549">
        <v>236250</v>
      </c>
      <c r="AB549">
        <v>76158</v>
      </c>
      <c r="AC549">
        <v>1.7652984E-2</v>
      </c>
      <c r="AD549">
        <v>0.84750225300000004</v>
      </c>
      <c r="AF549">
        <v>13.302121209999999</v>
      </c>
      <c r="AG549">
        <v>1.7999999999999999E-2</v>
      </c>
      <c r="AH549">
        <v>6.0000000000000001E-3</v>
      </c>
      <c r="AI549">
        <v>0.85599999999999998</v>
      </c>
      <c r="AJ549">
        <v>2.8683333329999998</v>
      </c>
      <c r="AK549">
        <v>7.4029411759999997</v>
      </c>
      <c r="AL549">
        <v>0</v>
      </c>
      <c r="AM549">
        <v>7.0000000000000007E-2</v>
      </c>
      <c r="AN549">
        <v>0.93</v>
      </c>
    </row>
    <row r="550" spans="1:40">
      <c r="A550">
        <v>2618</v>
      </c>
      <c r="B550" t="s">
        <v>691</v>
      </c>
      <c r="C550" t="s">
        <v>684</v>
      </c>
      <c r="D550" t="s">
        <v>685</v>
      </c>
      <c r="E550">
        <v>479</v>
      </c>
      <c r="F550">
        <v>1629</v>
      </c>
      <c r="G550">
        <v>75.160292549999994</v>
      </c>
      <c r="H550">
        <v>0</v>
      </c>
      <c r="I550">
        <v>0.117482316</v>
      </c>
      <c r="J550">
        <v>1629</v>
      </c>
      <c r="K550">
        <v>13865.916639999999</v>
      </c>
      <c r="L550">
        <v>0.79300000000000004</v>
      </c>
      <c r="M550">
        <v>0</v>
      </c>
      <c r="N550">
        <v>0</v>
      </c>
      <c r="O550" t="s">
        <v>620</v>
      </c>
      <c r="P550">
        <f t="shared" si="74"/>
        <v>10.83224806</v>
      </c>
      <c r="Q550">
        <f t="shared" si="75"/>
        <v>7.0000000000000001E-3</v>
      </c>
      <c r="R550">
        <f t="shared" si="76"/>
        <v>3.6999999999999998E-2</v>
      </c>
      <c r="S550">
        <f t="shared" si="77"/>
        <v>0.79300000000000004</v>
      </c>
      <c r="T550">
        <f t="shared" si="78"/>
        <v>1.7961111110000001</v>
      </c>
      <c r="U550">
        <f t="shared" si="79"/>
        <v>5.3987755100000001</v>
      </c>
      <c r="V550">
        <f t="shared" si="80"/>
        <v>2.8000000000000001E-2</v>
      </c>
      <c r="W550">
        <f t="shared" si="81"/>
        <v>2.1000000000000001E-2</v>
      </c>
      <c r="X550">
        <f t="shared" si="82"/>
        <v>0.90200000000000002</v>
      </c>
      <c r="Y550">
        <v>99.627830779999996</v>
      </c>
      <c r="Z550">
        <v>0</v>
      </c>
      <c r="AA550">
        <v>236250</v>
      </c>
      <c r="AB550">
        <v>76158</v>
      </c>
      <c r="AC550">
        <v>1.7652984E-2</v>
      </c>
      <c r="AD550">
        <v>0.84750225300000004</v>
      </c>
      <c r="AF550">
        <v>10.83224806</v>
      </c>
      <c r="AG550">
        <v>7.0000000000000001E-3</v>
      </c>
      <c r="AH550">
        <v>3.6999999999999998E-2</v>
      </c>
      <c r="AI550">
        <v>0.79300000000000004</v>
      </c>
      <c r="AJ550">
        <v>1.7961111110000001</v>
      </c>
      <c r="AK550">
        <v>5.3987755100000001</v>
      </c>
      <c r="AL550">
        <v>2.8000000000000001E-2</v>
      </c>
      <c r="AM550">
        <v>2.1000000000000001E-2</v>
      </c>
      <c r="AN550">
        <v>0.90200000000000002</v>
      </c>
    </row>
    <row r="551" spans="1:40">
      <c r="A551">
        <v>2619</v>
      </c>
      <c r="B551" t="s">
        <v>691</v>
      </c>
      <c r="C551" t="s">
        <v>684</v>
      </c>
      <c r="D551" t="s">
        <v>685</v>
      </c>
      <c r="E551">
        <v>483</v>
      </c>
      <c r="F551">
        <v>1661</v>
      </c>
      <c r="G551">
        <v>103.9462967</v>
      </c>
      <c r="H551">
        <v>294</v>
      </c>
      <c r="I551">
        <v>0.162476017</v>
      </c>
      <c r="J551">
        <v>1955</v>
      </c>
      <c r="K551">
        <v>12032.54509</v>
      </c>
      <c r="L551">
        <v>0.80400000000000005</v>
      </c>
      <c r="M551">
        <v>0.37837837800000002</v>
      </c>
      <c r="N551">
        <v>0</v>
      </c>
      <c r="O551" t="s">
        <v>620</v>
      </c>
      <c r="P551">
        <f t="shared" si="74"/>
        <v>13.09908654</v>
      </c>
      <c r="Q551">
        <f t="shared" si="75"/>
        <v>1.7000000000000001E-2</v>
      </c>
      <c r="R551">
        <f t="shared" si="76"/>
        <v>2.4E-2</v>
      </c>
      <c r="S551">
        <f t="shared" si="77"/>
        <v>0.80400000000000005</v>
      </c>
      <c r="T551">
        <f t="shared" si="78"/>
        <v>2.1213157890000001</v>
      </c>
      <c r="U551">
        <f t="shared" si="79"/>
        <v>6.7496859899999997</v>
      </c>
      <c r="V551">
        <f t="shared" si="80"/>
        <v>0.02</v>
      </c>
      <c r="W551">
        <f t="shared" si="81"/>
        <v>8.2000000000000003E-2</v>
      </c>
      <c r="X551">
        <f t="shared" si="82"/>
        <v>0.84899999999999998</v>
      </c>
      <c r="Y551">
        <v>170.14672569999999</v>
      </c>
      <c r="Z551">
        <v>0</v>
      </c>
      <c r="AA551">
        <v>236250</v>
      </c>
      <c r="AB551">
        <v>76158</v>
      </c>
      <c r="AC551">
        <v>1.7652984E-2</v>
      </c>
      <c r="AD551">
        <v>0.84750225300000004</v>
      </c>
      <c r="AF551">
        <v>13.09908654</v>
      </c>
      <c r="AG551">
        <v>1.7000000000000001E-2</v>
      </c>
      <c r="AH551">
        <v>2.4E-2</v>
      </c>
      <c r="AI551">
        <v>0.80400000000000005</v>
      </c>
      <c r="AJ551">
        <v>2.1213157890000001</v>
      </c>
      <c r="AK551">
        <v>6.7496859899999997</v>
      </c>
      <c r="AL551">
        <v>0.02</v>
      </c>
      <c r="AM551">
        <v>8.2000000000000003E-2</v>
      </c>
      <c r="AN551">
        <v>0.84899999999999998</v>
      </c>
    </row>
    <row r="552" spans="1:40">
      <c r="A552">
        <v>2620</v>
      </c>
      <c r="B552" t="s">
        <v>691</v>
      </c>
      <c r="C552" t="s">
        <v>684</v>
      </c>
      <c r="D552" t="s">
        <v>685</v>
      </c>
      <c r="E552">
        <v>525</v>
      </c>
      <c r="F552">
        <v>1769</v>
      </c>
      <c r="G552">
        <v>140.037969</v>
      </c>
      <c r="H552">
        <v>28</v>
      </c>
      <c r="I552">
        <v>0.218884844</v>
      </c>
      <c r="J552">
        <v>1797</v>
      </c>
      <c r="K552">
        <v>8209.7963799999998</v>
      </c>
      <c r="L552">
        <v>0.82599999999999996</v>
      </c>
      <c r="M552">
        <v>5.0632911000000003E-2</v>
      </c>
      <c r="N552">
        <v>0</v>
      </c>
      <c r="O552" t="s">
        <v>620</v>
      </c>
      <c r="P552">
        <f t="shared" si="74"/>
        <v>12.998579879999999</v>
      </c>
      <c r="Q552">
        <f t="shared" si="75"/>
        <v>2.3E-2</v>
      </c>
      <c r="R552">
        <f t="shared" si="76"/>
        <v>1.2999999999999999E-2</v>
      </c>
      <c r="S552">
        <f t="shared" si="77"/>
        <v>0.82599999999999996</v>
      </c>
      <c r="T552">
        <f t="shared" si="78"/>
        <v>2.81</v>
      </c>
      <c r="U552">
        <f t="shared" si="79"/>
        <v>7.6289961389999998</v>
      </c>
      <c r="V552">
        <f t="shared" si="80"/>
        <v>1.0999999999999999E-2</v>
      </c>
      <c r="W552">
        <f t="shared" si="81"/>
        <v>3.3000000000000002E-2</v>
      </c>
      <c r="X552">
        <f t="shared" si="82"/>
        <v>0.93400000000000005</v>
      </c>
      <c r="Y552">
        <v>114.171412</v>
      </c>
      <c r="Z552">
        <v>0</v>
      </c>
      <c r="AA552">
        <v>236250</v>
      </c>
      <c r="AB552">
        <v>76158</v>
      </c>
      <c r="AC552">
        <v>1.7652984E-2</v>
      </c>
      <c r="AD552">
        <v>0.84750225300000004</v>
      </c>
      <c r="AF552">
        <v>12.998579879999999</v>
      </c>
      <c r="AG552">
        <v>2.3E-2</v>
      </c>
      <c r="AH552">
        <v>1.2999999999999999E-2</v>
      </c>
      <c r="AI552">
        <v>0.82599999999999996</v>
      </c>
      <c r="AJ552">
        <v>2.81</v>
      </c>
      <c r="AK552">
        <v>7.6289961389999998</v>
      </c>
      <c r="AL552">
        <v>1.0999999999999999E-2</v>
      </c>
      <c r="AM552">
        <v>3.3000000000000002E-2</v>
      </c>
      <c r="AN552">
        <v>0.93400000000000005</v>
      </c>
    </row>
    <row r="553" spans="1:40">
      <c r="A553">
        <v>2621</v>
      </c>
      <c r="B553" t="s">
        <v>689</v>
      </c>
      <c r="C553" t="s">
        <v>687</v>
      </c>
      <c r="D553" t="s">
        <v>688</v>
      </c>
      <c r="E553">
        <v>435</v>
      </c>
      <c r="F553">
        <v>1197</v>
      </c>
      <c r="G553">
        <v>65.094332039999998</v>
      </c>
      <c r="H553">
        <v>262</v>
      </c>
      <c r="I553">
        <v>0.10175395600000001</v>
      </c>
      <c r="J553">
        <v>1459</v>
      </c>
      <c r="K553">
        <v>14338.50886</v>
      </c>
      <c r="L553">
        <v>0.68</v>
      </c>
      <c r="M553">
        <v>0.37589669999999997</v>
      </c>
      <c r="N553">
        <v>0</v>
      </c>
      <c r="O553" t="s">
        <v>613</v>
      </c>
      <c r="P553">
        <f t="shared" si="74"/>
        <v>11.404556960000001</v>
      </c>
      <c r="Q553">
        <f t="shared" si="75"/>
        <v>7.0000000000000007E-2</v>
      </c>
      <c r="R553">
        <f t="shared" si="76"/>
        <v>2.1999999999999999E-2</v>
      </c>
      <c r="S553">
        <f t="shared" si="77"/>
        <v>0.68</v>
      </c>
      <c r="T553">
        <f t="shared" si="78"/>
        <v>1.7745</v>
      </c>
      <c r="U553">
        <f t="shared" si="79"/>
        <v>5.4106644519999998</v>
      </c>
      <c r="V553">
        <f t="shared" si="80"/>
        <v>4.9000000000000002E-2</v>
      </c>
      <c r="W553">
        <f t="shared" si="81"/>
        <v>0.19500000000000001</v>
      </c>
      <c r="X553">
        <f t="shared" si="82"/>
        <v>0.64200000000000002</v>
      </c>
      <c r="Y553">
        <v>140.8918401</v>
      </c>
      <c r="Z553">
        <v>0</v>
      </c>
      <c r="AA553">
        <v>454184</v>
      </c>
      <c r="AB553">
        <v>170596</v>
      </c>
      <c r="AC553">
        <v>6.5715274000000004E-2</v>
      </c>
      <c r="AD553">
        <v>0.72549415100000003</v>
      </c>
      <c r="AF553">
        <v>11.404556960000001</v>
      </c>
      <c r="AG553">
        <v>7.0000000000000007E-2</v>
      </c>
      <c r="AH553">
        <v>2.1999999999999999E-2</v>
      </c>
      <c r="AI553">
        <v>0.68</v>
      </c>
      <c r="AJ553">
        <v>1.7745</v>
      </c>
      <c r="AK553">
        <v>5.4106644519999998</v>
      </c>
      <c r="AL553">
        <v>4.9000000000000002E-2</v>
      </c>
      <c r="AM553">
        <v>0.19500000000000001</v>
      </c>
      <c r="AN553">
        <v>0.64200000000000002</v>
      </c>
    </row>
    <row r="554" spans="1:40">
      <c r="A554">
        <v>2622</v>
      </c>
      <c r="B554" t="s">
        <v>686</v>
      </c>
      <c r="C554" t="s">
        <v>687</v>
      </c>
      <c r="D554" t="s">
        <v>688</v>
      </c>
      <c r="E554">
        <v>297</v>
      </c>
      <c r="F554">
        <v>691</v>
      </c>
      <c r="G554">
        <v>29.677720180000001</v>
      </c>
      <c r="H554">
        <v>56</v>
      </c>
      <c r="I554">
        <v>4.6387312E-2</v>
      </c>
      <c r="J554">
        <v>747</v>
      </c>
      <c r="K554">
        <v>16103.54142</v>
      </c>
      <c r="L554">
        <v>0.66600000000000004</v>
      </c>
      <c r="M554">
        <v>0.15864022699999999</v>
      </c>
      <c r="N554">
        <v>0</v>
      </c>
      <c r="O554" t="s">
        <v>613</v>
      </c>
      <c r="P554">
        <f t="shared" si="74"/>
        <v>9.8414814810000006</v>
      </c>
      <c r="Q554">
        <f t="shared" si="75"/>
        <v>7.2999999999999995E-2</v>
      </c>
      <c r="R554">
        <f t="shared" si="76"/>
        <v>2.7E-2</v>
      </c>
      <c r="S554">
        <f t="shared" si="77"/>
        <v>0.66600000000000004</v>
      </c>
      <c r="T554">
        <f t="shared" si="78"/>
        <v>2.0135714290000002</v>
      </c>
      <c r="U554">
        <f t="shared" si="79"/>
        <v>5.0622873899999998</v>
      </c>
      <c r="V554">
        <f t="shared" si="80"/>
        <v>4.4999999999999998E-2</v>
      </c>
      <c r="W554">
        <f t="shared" si="81"/>
        <v>0.27300000000000002</v>
      </c>
      <c r="X554">
        <f t="shared" si="82"/>
        <v>0.61399999999999999</v>
      </c>
      <c r="Y554">
        <v>115.8483835</v>
      </c>
      <c r="Z554">
        <v>1</v>
      </c>
      <c r="AA554">
        <v>140316</v>
      </c>
      <c r="AB554">
        <v>49638</v>
      </c>
      <c r="AC554">
        <v>9.1283894000000004E-2</v>
      </c>
      <c r="AD554">
        <v>0.60339869999999995</v>
      </c>
      <c r="AF554">
        <v>9.8414814810000006</v>
      </c>
      <c r="AG554">
        <v>7.2999999999999995E-2</v>
      </c>
      <c r="AH554">
        <v>2.7E-2</v>
      </c>
      <c r="AI554">
        <v>0.66600000000000004</v>
      </c>
      <c r="AJ554">
        <v>2.0135714290000002</v>
      </c>
      <c r="AK554">
        <v>5.0622873899999998</v>
      </c>
      <c r="AL554">
        <v>4.4999999999999998E-2</v>
      </c>
      <c r="AM554">
        <v>0.27300000000000002</v>
      </c>
      <c r="AN554">
        <v>0.61399999999999999</v>
      </c>
    </row>
    <row r="555" spans="1:40">
      <c r="A555">
        <v>2623</v>
      </c>
      <c r="B555" t="s">
        <v>689</v>
      </c>
      <c r="C555" t="s">
        <v>687</v>
      </c>
      <c r="D555" t="s">
        <v>688</v>
      </c>
      <c r="E555">
        <v>369</v>
      </c>
      <c r="F555">
        <v>1270</v>
      </c>
      <c r="G555">
        <v>60.822025340000003</v>
      </c>
      <c r="H555">
        <v>992</v>
      </c>
      <c r="I555">
        <v>9.5073826E-2</v>
      </c>
      <c r="J555">
        <v>2262</v>
      </c>
      <c r="K555">
        <v>23792.03715</v>
      </c>
      <c r="L555">
        <v>0.78100000000000003</v>
      </c>
      <c r="M555">
        <v>0.72887582699999998</v>
      </c>
      <c r="N555">
        <v>0</v>
      </c>
      <c r="O555" t="s">
        <v>613</v>
      </c>
      <c r="P555">
        <f t="shared" si="74"/>
        <v>11.671201719999999</v>
      </c>
      <c r="Q555">
        <f t="shared" si="75"/>
        <v>3.6999999999999998E-2</v>
      </c>
      <c r="R555">
        <f t="shared" si="76"/>
        <v>2.1999999999999999E-2</v>
      </c>
      <c r="S555">
        <f t="shared" si="77"/>
        <v>0.78100000000000003</v>
      </c>
      <c r="T555">
        <f t="shared" si="78"/>
        <v>1.972608696</v>
      </c>
      <c r="U555">
        <f t="shared" si="79"/>
        <v>6.1908726109999996</v>
      </c>
      <c r="V555">
        <f t="shared" si="80"/>
        <v>4.7E-2</v>
      </c>
      <c r="W555">
        <f t="shared" si="81"/>
        <v>0.105</v>
      </c>
      <c r="X555">
        <f t="shared" si="82"/>
        <v>0.78700000000000003</v>
      </c>
      <c r="Y555">
        <v>59.813881379999998</v>
      </c>
      <c r="Z555">
        <v>0</v>
      </c>
      <c r="AA555">
        <v>454184</v>
      </c>
      <c r="AB555">
        <v>170596</v>
      </c>
      <c r="AC555">
        <v>6.5715274000000004E-2</v>
      </c>
      <c r="AD555">
        <v>0.72549415100000003</v>
      </c>
      <c r="AF555">
        <v>11.671201719999999</v>
      </c>
      <c r="AG555">
        <v>3.6999999999999998E-2</v>
      </c>
      <c r="AH555">
        <v>2.1999999999999999E-2</v>
      </c>
      <c r="AI555">
        <v>0.78100000000000003</v>
      </c>
      <c r="AJ555">
        <v>1.972608696</v>
      </c>
      <c r="AK555">
        <v>6.1908726109999996</v>
      </c>
      <c r="AL555">
        <v>4.7E-2</v>
      </c>
      <c r="AM555">
        <v>0.105</v>
      </c>
      <c r="AN555">
        <v>0.78700000000000003</v>
      </c>
    </row>
    <row r="556" spans="1:40">
      <c r="A556">
        <v>2624</v>
      </c>
      <c r="B556" t="s">
        <v>689</v>
      </c>
      <c r="C556" t="s">
        <v>687</v>
      </c>
      <c r="D556" t="s">
        <v>688</v>
      </c>
      <c r="E556">
        <v>237</v>
      </c>
      <c r="F556">
        <v>811</v>
      </c>
      <c r="G556">
        <v>27.253825849999998</v>
      </c>
      <c r="H556">
        <v>60</v>
      </c>
      <c r="I556">
        <v>4.2599392E-2</v>
      </c>
      <c r="J556">
        <v>871</v>
      </c>
      <c r="K556">
        <v>20446.301210000001</v>
      </c>
      <c r="L556">
        <v>0.75</v>
      </c>
      <c r="M556">
        <v>0.20202020200000001</v>
      </c>
      <c r="N556">
        <v>0</v>
      </c>
      <c r="O556" t="s">
        <v>613</v>
      </c>
      <c r="P556">
        <f t="shared" si="74"/>
        <v>12.16071429</v>
      </c>
      <c r="Q556">
        <f t="shared" si="75"/>
        <v>3.7999999999999999E-2</v>
      </c>
      <c r="R556">
        <f t="shared" si="76"/>
        <v>1.2999999999999999E-2</v>
      </c>
      <c r="S556">
        <f t="shared" si="77"/>
        <v>0.75</v>
      </c>
      <c r="T556">
        <f t="shared" si="78"/>
        <v>1.5862499999999999</v>
      </c>
      <c r="U556">
        <f t="shared" si="79"/>
        <v>5.0935849060000002</v>
      </c>
      <c r="V556">
        <f t="shared" si="80"/>
        <v>3.5999999999999997E-2</v>
      </c>
      <c r="W556">
        <f t="shared" si="81"/>
        <v>0.2</v>
      </c>
      <c r="X556">
        <f t="shared" si="82"/>
        <v>0.76400000000000001</v>
      </c>
      <c r="Y556">
        <v>226.2282189</v>
      </c>
      <c r="Z556">
        <v>0</v>
      </c>
      <c r="AA556">
        <v>454184</v>
      </c>
      <c r="AB556">
        <v>170596</v>
      </c>
      <c r="AC556">
        <v>6.5715274000000004E-2</v>
      </c>
      <c r="AD556">
        <v>0.72549415100000003</v>
      </c>
      <c r="AF556">
        <v>12.16071429</v>
      </c>
      <c r="AG556">
        <v>3.7999999999999999E-2</v>
      </c>
      <c r="AH556">
        <v>1.2999999999999999E-2</v>
      </c>
      <c r="AI556">
        <v>0.75</v>
      </c>
      <c r="AJ556">
        <v>1.5862499999999999</v>
      </c>
      <c r="AK556">
        <v>5.0935849060000002</v>
      </c>
      <c r="AL556">
        <v>3.5999999999999997E-2</v>
      </c>
      <c r="AM556">
        <v>0.2</v>
      </c>
      <c r="AN556">
        <v>0.76400000000000001</v>
      </c>
    </row>
    <row r="557" spans="1:40">
      <c r="A557">
        <v>2625</v>
      </c>
      <c r="B557" t="s">
        <v>689</v>
      </c>
      <c r="C557" t="s">
        <v>687</v>
      </c>
      <c r="D557" t="s">
        <v>688</v>
      </c>
      <c r="E557">
        <v>407</v>
      </c>
      <c r="F557">
        <v>794</v>
      </c>
      <c r="G557">
        <v>27.27612749</v>
      </c>
      <c r="H557">
        <v>0</v>
      </c>
      <c r="I557">
        <v>4.2637091000000002E-2</v>
      </c>
      <c r="J557">
        <v>794</v>
      </c>
      <c r="K557">
        <v>18622.283589999999</v>
      </c>
      <c r="L557">
        <v>0.72899999999999998</v>
      </c>
      <c r="M557">
        <v>0</v>
      </c>
      <c r="N557">
        <v>0</v>
      </c>
      <c r="O557" t="s">
        <v>613</v>
      </c>
      <c r="P557">
        <f t="shared" si="74"/>
        <v>6.6033333330000001</v>
      </c>
      <c r="Q557">
        <f t="shared" si="75"/>
        <v>3.4000000000000002E-2</v>
      </c>
      <c r="R557">
        <f t="shared" si="76"/>
        <v>3.9E-2</v>
      </c>
      <c r="S557">
        <f t="shared" si="77"/>
        <v>0.72899999999999998</v>
      </c>
      <c r="T557">
        <f t="shared" si="78"/>
        <v>1.796875</v>
      </c>
      <c r="U557">
        <f t="shared" si="79"/>
        <v>5.5080149809999996</v>
      </c>
      <c r="V557">
        <f t="shared" si="80"/>
        <v>0.1</v>
      </c>
      <c r="W557">
        <f t="shared" si="81"/>
        <v>0.125</v>
      </c>
      <c r="X557">
        <f t="shared" si="82"/>
        <v>0.71199999999999997</v>
      </c>
      <c r="Y557">
        <v>311.06348200000002</v>
      </c>
      <c r="Z557">
        <v>0</v>
      </c>
      <c r="AA557">
        <v>454184</v>
      </c>
      <c r="AB557">
        <v>170596</v>
      </c>
      <c r="AC557">
        <v>6.5715274000000004E-2</v>
      </c>
      <c r="AD557">
        <v>0.72549415100000003</v>
      </c>
      <c r="AF557">
        <v>6.6033333330000001</v>
      </c>
      <c r="AG557">
        <v>3.4000000000000002E-2</v>
      </c>
      <c r="AH557">
        <v>3.9E-2</v>
      </c>
      <c r="AI557">
        <v>0.72899999999999998</v>
      </c>
      <c r="AJ557">
        <v>1.796875</v>
      </c>
      <c r="AK557">
        <v>5.5080149809999996</v>
      </c>
      <c r="AL557">
        <v>0.1</v>
      </c>
      <c r="AM557">
        <v>0.125</v>
      </c>
      <c r="AN557">
        <v>0.71199999999999997</v>
      </c>
    </row>
    <row r="558" spans="1:40">
      <c r="A558">
        <v>2626</v>
      </c>
      <c r="B558" t="s">
        <v>689</v>
      </c>
      <c r="C558" t="s">
        <v>687</v>
      </c>
      <c r="D558" t="s">
        <v>688</v>
      </c>
      <c r="E558">
        <v>236</v>
      </c>
      <c r="F558">
        <v>816</v>
      </c>
      <c r="G558">
        <v>30.631264009999999</v>
      </c>
      <c r="H558">
        <v>59</v>
      </c>
      <c r="I558">
        <v>4.7881754999999998E-2</v>
      </c>
      <c r="J558">
        <v>875</v>
      </c>
      <c r="K558">
        <v>18274.183980000002</v>
      </c>
      <c r="L558">
        <v>0.84699999999999998</v>
      </c>
      <c r="M558">
        <v>0.2</v>
      </c>
      <c r="N558">
        <v>0</v>
      </c>
      <c r="O558" t="s">
        <v>613</v>
      </c>
      <c r="P558">
        <f t="shared" si="74"/>
        <v>11.05212766</v>
      </c>
      <c r="Q558">
        <f t="shared" si="75"/>
        <v>0.03</v>
      </c>
      <c r="R558">
        <f t="shared" si="76"/>
        <v>0.01</v>
      </c>
      <c r="S558">
        <f t="shared" si="77"/>
        <v>0.84699999999999998</v>
      </c>
      <c r="T558">
        <f t="shared" si="78"/>
        <v>1.615</v>
      </c>
      <c r="U558">
        <f t="shared" si="79"/>
        <v>5.4744303800000003</v>
      </c>
      <c r="V558">
        <f t="shared" si="80"/>
        <v>3.5999999999999997E-2</v>
      </c>
      <c r="W558">
        <f t="shared" si="81"/>
        <v>0.125</v>
      </c>
      <c r="X558">
        <f t="shared" si="82"/>
        <v>0.83899999999999997</v>
      </c>
      <c r="Y558">
        <v>153.2375596</v>
      </c>
      <c r="Z558">
        <v>0</v>
      </c>
      <c r="AA558">
        <v>454184</v>
      </c>
      <c r="AB558">
        <v>170596</v>
      </c>
      <c r="AC558">
        <v>6.5715274000000004E-2</v>
      </c>
      <c r="AD558">
        <v>0.72549415100000003</v>
      </c>
      <c r="AF558">
        <v>11.05212766</v>
      </c>
      <c r="AG558">
        <v>0.03</v>
      </c>
      <c r="AH558">
        <v>0.01</v>
      </c>
      <c r="AI558">
        <v>0.84699999999999998</v>
      </c>
      <c r="AJ558">
        <v>1.615</v>
      </c>
      <c r="AK558">
        <v>5.4744303800000003</v>
      </c>
      <c r="AL558">
        <v>3.5999999999999997E-2</v>
      </c>
      <c r="AM558">
        <v>0.125</v>
      </c>
      <c r="AN558">
        <v>0.83899999999999997</v>
      </c>
    </row>
    <row r="559" spans="1:40">
      <c r="A559">
        <v>2627</v>
      </c>
      <c r="B559" t="s">
        <v>689</v>
      </c>
      <c r="C559" t="s">
        <v>687</v>
      </c>
      <c r="D559" t="s">
        <v>688</v>
      </c>
      <c r="E559">
        <v>356</v>
      </c>
      <c r="F559">
        <v>1210</v>
      </c>
      <c r="G559">
        <v>43.948176940000003</v>
      </c>
      <c r="H559">
        <v>24</v>
      </c>
      <c r="I559">
        <v>6.8696048999999995E-2</v>
      </c>
      <c r="J559">
        <v>1234</v>
      </c>
      <c r="K559">
        <v>17963.18737</v>
      </c>
      <c r="L559">
        <v>0.69899999999999995</v>
      </c>
      <c r="M559">
        <v>6.3157895000000006E-2</v>
      </c>
      <c r="N559">
        <v>0</v>
      </c>
      <c r="O559" t="s">
        <v>613</v>
      </c>
      <c r="P559">
        <f t="shared" si="74"/>
        <v>12.926125000000001</v>
      </c>
      <c r="Q559">
        <f t="shared" si="75"/>
        <v>4.4999999999999998E-2</v>
      </c>
      <c r="R559">
        <f t="shared" si="76"/>
        <v>3.3000000000000002E-2</v>
      </c>
      <c r="S559">
        <f t="shared" si="77"/>
        <v>0.69899999999999995</v>
      </c>
      <c r="T559">
        <f t="shared" si="78"/>
        <v>1.3920689660000001</v>
      </c>
      <c r="U559">
        <f t="shared" si="79"/>
        <v>5.6210068260000003</v>
      </c>
      <c r="V559">
        <f t="shared" si="80"/>
        <v>5.2999999999999999E-2</v>
      </c>
      <c r="W559">
        <f t="shared" si="81"/>
        <v>0.21099999999999999</v>
      </c>
      <c r="X559">
        <f t="shared" si="82"/>
        <v>0.70199999999999996</v>
      </c>
      <c r="Y559">
        <v>135.60412400000001</v>
      </c>
      <c r="Z559">
        <v>0</v>
      </c>
      <c r="AA559">
        <v>454184</v>
      </c>
      <c r="AB559">
        <v>170596</v>
      </c>
      <c r="AC559">
        <v>6.5715274000000004E-2</v>
      </c>
      <c r="AD559">
        <v>0.72549415100000003</v>
      </c>
      <c r="AF559">
        <v>12.926125000000001</v>
      </c>
      <c r="AG559">
        <v>4.4999999999999998E-2</v>
      </c>
      <c r="AH559">
        <v>3.3000000000000002E-2</v>
      </c>
      <c r="AI559">
        <v>0.69899999999999995</v>
      </c>
      <c r="AJ559">
        <v>1.3920689660000001</v>
      </c>
      <c r="AK559">
        <v>5.6210068260000003</v>
      </c>
      <c r="AL559">
        <v>5.2999999999999999E-2</v>
      </c>
      <c r="AM559">
        <v>0.21099999999999999</v>
      </c>
      <c r="AN559">
        <v>0.70199999999999996</v>
      </c>
    </row>
    <row r="560" spans="1:40">
      <c r="A560">
        <v>2628</v>
      </c>
      <c r="B560" t="s">
        <v>689</v>
      </c>
      <c r="C560" t="s">
        <v>687</v>
      </c>
      <c r="D560" t="s">
        <v>688</v>
      </c>
      <c r="E560">
        <v>624</v>
      </c>
      <c r="F560">
        <v>2065</v>
      </c>
      <c r="G560">
        <v>58.667428600000001</v>
      </c>
      <c r="H560">
        <v>9</v>
      </c>
      <c r="I560">
        <v>9.1717240000000005E-2</v>
      </c>
      <c r="J560">
        <v>2074</v>
      </c>
      <c r="K560">
        <v>22612.978760000002</v>
      </c>
      <c r="L560">
        <v>0.71</v>
      </c>
      <c r="M560">
        <v>1.4218009E-2</v>
      </c>
      <c r="N560">
        <v>0</v>
      </c>
      <c r="O560" t="s">
        <v>613</v>
      </c>
      <c r="P560">
        <f t="shared" si="74"/>
        <v>9.5299029130000008</v>
      </c>
      <c r="Q560">
        <f t="shared" si="75"/>
        <v>4.4999999999999998E-2</v>
      </c>
      <c r="R560">
        <f t="shared" si="76"/>
        <v>2.4E-2</v>
      </c>
      <c r="S560">
        <f t="shared" si="77"/>
        <v>0.71</v>
      </c>
      <c r="T560">
        <f t="shared" si="78"/>
        <v>1.7153846150000001</v>
      </c>
      <c r="U560">
        <f t="shared" si="79"/>
        <v>5.2917397079999997</v>
      </c>
      <c r="V560">
        <f t="shared" si="80"/>
        <v>0.03</v>
      </c>
      <c r="W560">
        <f t="shared" si="81"/>
        <v>0.17799999999999999</v>
      </c>
      <c r="X560">
        <f t="shared" si="82"/>
        <v>0.76300000000000001</v>
      </c>
      <c r="Y560">
        <v>109.0066566</v>
      </c>
      <c r="Z560">
        <v>0</v>
      </c>
      <c r="AA560">
        <v>454184</v>
      </c>
      <c r="AB560">
        <v>170596</v>
      </c>
      <c r="AC560">
        <v>6.5715274000000004E-2</v>
      </c>
      <c r="AD560">
        <v>0.72549415100000003</v>
      </c>
      <c r="AF560">
        <v>9.5299029130000008</v>
      </c>
      <c r="AG560">
        <v>4.4999999999999998E-2</v>
      </c>
      <c r="AH560">
        <v>2.4E-2</v>
      </c>
      <c r="AI560">
        <v>0.71</v>
      </c>
      <c r="AJ560">
        <v>1.7153846150000001</v>
      </c>
      <c r="AK560">
        <v>5.2917397079999997</v>
      </c>
      <c r="AL560">
        <v>0.03</v>
      </c>
      <c r="AM560">
        <v>0.17799999999999999</v>
      </c>
      <c r="AN560">
        <v>0.76300000000000001</v>
      </c>
    </row>
    <row r="561" spans="1:40">
      <c r="A561">
        <v>2629</v>
      </c>
      <c r="B561" t="s">
        <v>689</v>
      </c>
      <c r="C561" t="s">
        <v>687</v>
      </c>
      <c r="D561" t="s">
        <v>688</v>
      </c>
      <c r="E561">
        <v>429</v>
      </c>
      <c r="F561">
        <v>1350</v>
      </c>
      <c r="G561">
        <v>47.31307692</v>
      </c>
      <c r="H561">
        <v>136</v>
      </c>
      <c r="I561">
        <v>7.3955168000000002E-2</v>
      </c>
      <c r="J561">
        <v>1486</v>
      </c>
      <c r="K561">
        <v>20093.25433</v>
      </c>
      <c r="L561">
        <v>0.71699999999999997</v>
      </c>
      <c r="M561">
        <v>0.240707965</v>
      </c>
      <c r="N561">
        <v>0</v>
      </c>
      <c r="O561" t="s">
        <v>613</v>
      </c>
      <c r="P561">
        <f t="shared" si="74"/>
        <v>9.5336170209999995</v>
      </c>
      <c r="Q561">
        <f t="shared" si="75"/>
        <v>0.03</v>
      </c>
      <c r="R561">
        <f t="shared" si="76"/>
        <v>2.9000000000000001E-2</v>
      </c>
      <c r="S561">
        <f t="shared" si="77"/>
        <v>0.71699999999999997</v>
      </c>
      <c r="T561">
        <f t="shared" si="78"/>
        <v>1.85</v>
      </c>
      <c r="U561">
        <f t="shared" si="79"/>
        <v>5.2216084980000002</v>
      </c>
      <c r="V561">
        <f t="shared" si="80"/>
        <v>3.4000000000000002E-2</v>
      </c>
      <c r="W561">
        <f t="shared" si="81"/>
        <v>0.14299999999999999</v>
      </c>
      <c r="X561">
        <f t="shared" si="82"/>
        <v>0.79</v>
      </c>
      <c r="Y561">
        <v>126.7396009</v>
      </c>
      <c r="Z561">
        <v>0</v>
      </c>
      <c r="AA561">
        <v>454184</v>
      </c>
      <c r="AB561">
        <v>170596</v>
      </c>
      <c r="AC561">
        <v>6.5715274000000004E-2</v>
      </c>
      <c r="AD561">
        <v>0.72549415100000003</v>
      </c>
      <c r="AF561">
        <v>9.5336170209999995</v>
      </c>
      <c r="AG561">
        <v>0.03</v>
      </c>
      <c r="AH561">
        <v>2.9000000000000001E-2</v>
      </c>
      <c r="AI561">
        <v>0.71699999999999997</v>
      </c>
      <c r="AJ561">
        <v>1.85</v>
      </c>
      <c r="AK561">
        <v>5.2216084980000002</v>
      </c>
      <c r="AL561">
        <v>3.4000000000000002E-2</v>
      </c>
      <c r="AM561">
        <v>0.14299999999999999</v>
      </c>
      <c r="AN561">
        <v>0.79</v>
      </c>
    </row>
    <row r="562" spans="1:40">
      <c r="A562">
        <v>2630</v>
      </c>
      <c r="B562" t="s">
        <v>689</v>
      </c>
      <c r="C562" t="s">
        <v>687</v>
      </c>
      <c r="D562" t="s">
        <v>688</v>
      </c>
      <c r="E562">
        <v>359</v>
      </c>
      <c r="F562">
        <v>1255</v>
      </c>
      <c r="G562">
        <v>65.049956409999993</v>
      </c>
      <c r="H562">
        <v>136</v>
      </c>
      <c r="I562">
        <v>0.101678754</v>
      </c>
      <c r="J562">
        <v>1391</v>
      </c>
      <c r="K562">
        <v>13680.34073</v>
      </c>
      <c r="L562">
        <v>0.77500000000000002</v>
      </c>
      <c r="M562">
        <v>0.27474747500000002</v>
      </c>
      <c r="N562">
        <v>0</v>
      </c>
      <c r="O562" t="s">
        <v>613</v>
      </c>
      <c r="P562">
        <f t="shared" si="74"/>
        <v>13.720084030000001</v>
      </c>
      <c r="Q562">
        <f t="shared" si="75"/>
        <v>2.7E-2</v>
      </c>
      <c r="R562">
        <f t="shared" si="76"/>
        <v>1.9E-2</v>
      </c>
      <c r="S562">
        <f t="shared" si="77"/>
        <v>0.77500000000000002</v>
      </c>
      <c r="T562">
        <f t="shared" si="78"/>
        <v>2.5833333330000001</v>
      </c>
      <c r="U562">
        <f t="shared" si="79"/>
        <v>7.2005142859999998</v>
      </c>
      <c r="V562">
        <f t="shared" si="80"/>
        <v>5.8000000000000003E-2</v>
      </c>
      <c r="W562">
        <f t="shared" si="81"/>
        <v>7.9000000000000001E-2</v>
      </c>
      <c r="X562">
        <f t="shared" si="82"/>
        <v>0.85599999999999998</v>
      </c>
      <c r="Y562">
        <v>216.01300420000001</v>
      </c>
      <c r="Z562">
        <v>0</v>
      </c>
      <c r="AA562">
        <v>454184</v>
      </c>
      <c r="AB562">
        <v>170596</v>
      </c>
      <c r="AC562">
        <v>6.5715274000000004E-2</v>
      </c>
      <c r="AD562">
        <v>0.72549415100000003</v>
      </c>
      <c r="AF562">
        <v>13.720084030000001</v>
      </c>
      <c r="AG562">
        <v>2.7E-2</v>
      </c>
      <c r="AH562">
        <v>1.9E-2</v>
      </c>
      <c r="AI562">
        <v>0.77500000000000002</v>
      </c>
      <c r="AJ562">
        <v>2.5833333330000001</v>
      </c>
      <c r="AK562">
        <v>7.2005142859999998</v>
      </c>
      <c r="AL562">
        <v>5.8000000000000003E-2</v>
      </c>
      <c r="AM562">
        <v>7.9000000000000001E-2</v>
      </c>
      <c r="AN562">
        <v>0.85599999999999998</v>
      </c>
    </row>
    <row r="563" spans="1:40">
      <c r="A563">
        <v>2631</v>
      </c>
      <c r="B563" t="s">
        <v>695</v>
      </c>
      <c r="C563" t="s">
        <v>696</v>
      </c>
      <c r="D563" t="s">
        <v>697</v>
      </c>
      <c r="E563">
        <v>883</v>
      </c>
      <c r="F563">
        <v>2586</v>
      </c>
      <c r="G563">
        <v>224.59143169999999</v>
      </c>
      <c r="H563">
        <v>226</v>
      </c>
      <c r="I563">
        <v>0.35105679000000001</v>
      </c>
      <c r="J563">
        <v>2812</v>
      </c>
      <c r="K563">
        <v>8010.1000180000001</v>
      </c>
      <c r="L563">
        <v>0.79900000000000004</v>
      </c>
      <c r="M563">
        <v>0.203787196</v>
      </c>
      <c r="N563">
        <v>0</v>
      </c>
      <c r="O563" t="s">
        <v>620</v>
      </c>
      <c r="P563">
        <f t="shared" si="74"/>
        <v>14.00082969</v>
      </c>
      <c r="Q563">
        <f t="shared" si="75"/>
        <v>0.03</v>
      </c>
      <c r="R563">
        <f t="shared" si="76"/>
        <v>2.5999999999999999E-2</v>
      </c>
      <c r="S563">
        <f t="shared" si="77"/>
        <v>0.79900000000000004</v>
      </c>
      <c r="T563">
        <f t="shared" si="78"/>
        <v>2.123043478</v>
      </c>
      <c r="U563">
        <f t="shared" si="79"/>
        <v>7.4256456240000004</v>
      </c>
      <c r="V563">
        <f t="shared" si="80"/>
        <v>4.1000000000000002E-2</v>
      </c>
      <c r="W563">
        <f t="shared" si="81"/>
        <v>0.124</v>
      </c>
      <c r="X563">
        <f t="shared" si="82"/>
        <v>0.78700000000000003</v>
      </c>
      <c r="Y563">
        <v>89.258782670000002</v>
      </c>
      <c r="Z563">
        <v>0</v>
      </c>
      <c r="AA563">
        <v>62139</v>
      </c>
      <c r="AB563">
        <v>22178</v>
      </c>
      <c r="AC563">
        <v>2.5956119999999999E-2</v>
      </c>
      <c r="AD563">
        <v>0.81129361</v>
      </c>
      <c r="AF563">
        <v>14.00082969</v>
      </c>
      <c r="AG563">
        <v>0.03</v>
      </c>
      <c r="AH563">
        <v>2.5999999999999999E-2</v>
      </c>
      <c r="AI563">
        <v>0.79900000000000004</v>
      </c>
      <c r="AJ563">
        <v>2.123043478</v>
      </c>
      <c r="AK563">
        <v>7.4256456240000004</v>
      </c>
      <c r="AL563">
        <v>4.1000000000000002E-2</v>
      </c>
      <c r="AM563">
        <v>0.124</v>
      </c>
      <c r="AN563">
        <v>0.78700000000000003</v>
      </c>
    </row>
    <row r="564" spans="1:40">
      <c r="A564">
        <v>2632</v>
      </c>
      <c r="B564" t="s">
        <v>689</v>
      </c>
      <c r="C564" t="s">
        <v>687</v>
      </c>
      <c r="D564" t="s">
        <v>688</v>
      </c>
      <c r="E564">
        <v>391</v>
      </c>
      <c r="F564">
        <v>1243</v>
      </c>
      <c r="G564">
        <v>46.45306377</v>
      </c>
      <c r="H564">
        <v>5</v>
      </c>
      <c r="I564">
        <v>7.2607665000000002E-2</v>
      </c>
      <c r="J564">
        <v>1248</v>
      </c>
      <c r="K564">
        <v>17188.267930000002</v>
      </c>
      <c r="L564">
        <v>0.83599999999999997</v>
      </c>
      <c r="M564">
        <v>1.2626263E-2</v>
      </c>
      <c r="N564">
        <v>0</v>
      </c>
      <c r="O564" t="s">
        <v>620</v>
      </c>
      <c r="P564">
        <f t="shared" si="74"/>
        <v>10.708085110000001</v>
      </c>
      <c r="Q564">
        <f t="shared" si="75"/>
        <v>3.1E-2</v>
      </c>
      <c r="R564">
        <f t="shared" si="76"/>
        <v>6.0000000000000001E-3</v>
      </c>
      <c r="S564">
        <f t="shared" si="77"/>
        <v>0.83599999999999997</v>
      </c>
      <c r="T564">
        <f t="shared" si="78"/>
        <v>1.34</v>
      </c>
      <c r="U564">
        <f t="shared" si="79"/>
        <v>5.5281176470000002</v>
      </c>
      <c r="V564">
        <f t="shared" si="80"/>
        <v>1.7999999999999999E-2</v>
      </c>
      <c r="W564">
        <f t="shared" si="81"/>
        <v>0.125</v>
      </c>
      <c r="X564">
        <f t="shared" si="82"/>
        <v>0.83899999999999997</v>
      </c>
      <c r="Y564">
        <v>174.4392101</v>
      </c>
      <c r="Z564">
        <v>0</v>
      </c>
      <c r="AA564">
        <v>454184</v>
      </c>
      <c r="AB564">
        <v>170596</v>
      </c>
      <c r="AC564">
        <v>6.5715274000000004E-2</v>
      </c>
      <c r="AD564">
        <v>0.72549415100000003</v>
      </c>
      <c r="AF564">
        <v>10.708085110000001</v>
      </c>
      <c r="AG564">
        <v>3.1E-2</v>
      </c>
      <c r="AH564">
        <v>6.0000000000000001E-3</v>
      </c>
      <c r="AI564">
        <v>0.83599999999999997</v>
      </c>
      <c r="AJ564">
        <v>1.34</v>
      </c>
      <c r="AK564">
        <v>5.5281176470000002</v>
      </c>
      <c r="AL564">
        <v>1.7999999999999999E-2</v>
      </c>
      <c r="AM564">
        <v>0.125</v>
      </c>
      <c r="AN564">
        <v>0.83899999999999997</v>
      </c>
    </row>
    <row r="565" spans="1:40">
      <c r="A565">
        <v>2633</v>
      </c>
      <c r="B565" t="s">
        <v>695</v>
      </c>
      <c r="C565" t="s">
        <v>696</v>
      </c>
      <c r="D565" t="s">
        <v>697</v>
      </c>
      <c r="E565">
        <v>387</v>
      </c>
      <c r="F565">
        <v>1147</v>
      </c>
      <c r="G565">
        <v>83.696367789999996</v>
      </c>
      <c r="H565">
        <v>40</v>
      </c>
      <c r="I565">
        <v>0.13082898100000001</v>
      </c>
      <c r="J565">
        <v>1187</v>
      </c>
      <c r="K565">
        <v>9072.9132869999994</v>
      </c>
      <c r="L565">
        <v>0.77200000000000002</v>
      </c>
      <c r="M565">
        <v>9.3676814999999997E-2</v>
      </c>
      <c r="N565">
        <v>0</v>
      </c>
      <c r="O565" t="s">
        <v>620</v>
      </c>
      <c r="P565">
        <f t="shared" si="74"/>
        <v>12.26566038</v>
      </c>
      <c r="Q565">
        <f t="shared" si="75"/>
        <v>0.03</v>
      </c>
      <c r="R565">
        <f t="shared" si="76"/>
        <v>3.9E-2</v>
      </c>
      <c r="S565">
        <f t="shared" si="77"/>
        <v>0.77200000000000002</v>
      </c>
      <c r="T565">
        <f t="shared" si="78"/>
        <v>2.0542307690000001</v>
      </c>
      <c r="U565">
        <f t="shared" si="79"/>
        <v>7.763575758</v>
      </c>
      <c r="V565">
        <f t="shared" si="80"/>
        <v>2.3E-2</v>
      </c>
      <c r="W565">
        <f t="shared" si="81"/>
        <v>0.13500000000000001</v>
      </c>
      <c r="X565">
        <f t="shared" si="82"/>
        <v>0.79700000000000004</v>
      </c>
      <c r="Y565">
        <v>122.3659177</v>
      </c>
      <c r="Z565">
        <v>0</v>
      </c>
      <c r="AA565">
        <v>62139</v>
      </c>
      <c r="AB565">
        <v>22178</v>
      </c>
      <c r="AC565">
        <v>2.5956119999999999E-2</v>
      </c>
      <c r="AD565">
        <v>0.81129361</v>
      </c>
      <c r="AF565">
        <v>12.26566038</v>
      </c>
      <c r="AG565">
        <v>0.03</v>
      </c>
      <c r="AH565">
        <v>3.9E-2</v>
      </c>
      <c r="AI565">
        <v>0.77200000000000002</v>
      </c>
      <c r="AJ565">
        <v>2.0542307690000001</v>
      </c>
      <c r="AK565">
        <v>7.763575758</v>
      </c>
      <c r="AL565">
        <v>2.3E-2</v>
      </c>
      <c r="AM565">
        <v>0.13500000000000001</v>
      </c>
      <c r="AN565">
        <v>0.79700000000000004</v>
      </c>
    </row>
    <row r="566" spans="1:40">
      <c r="A566">
        <v>2634</v>
      </c>
      <c r="B566" t="s">
        <v>695</v>
      </c>
      <c r="C566" t="s">
        <v>696</v>
      </c>
      <c r="D566" t="s">
        <v>697</v>
      </c>
      <c r="E566">
        <v>390</v>
      </c>
      <c r="F566">
        <v>1135</v>
      </c>
      <c r="G566">
        <v>115.6745373</v>
      </c>
      <c r="H566">
        <v>223</v>
      </c>
      <c r="I566">
        <v>0.180812791</v>
      </c>
      <c r="J566">
        <v>1358</v>
      </c>
      <c r="K566">
        <v>7510.5306019999998</v>
      </c>
      <c r="L566">
        <v>0.78500000000000003</v>
      </c>
      <c r="M566">
        <v>0.36378466599999998</v>
      </c>
      <c r="N566">
        <v>0</v>
      </c>
      <c r="O566" t="s">
        <v>613</v>
      </c>
      <c r="P566">
        <f t="shared" si="74"/>
        <v>14.843207550000001</v>
      </c>
      <c r="Q566">
        <f t="shared" si="75"/>
        <v>2.4E-2</v>
      </c>
      <c r="R566">
        <f t="shared" si="76"/>
        <v>1.9E-2</v>
      </c>
      <c r="S566">
        <f t="shared" si="77"/>
        <v>0.78500000000000003</v>
      </c>
      <c r="T566">
        <f t="shared" si="78"/>
        <v>1.6027777780000001</v>
      </c>
      <c r="U566">
        <f t="shared" si="79"/>
        <v>8.4481476319999995</v>
      </c>
      <c r="V566">
        <f t="shared" si="80"/>
        <v>2.1000000000000001E-2</v>
      </c>
      <c r="W566">
        <f t="shared" si="81"/>
        <v>0.115</v>
      </c>
      <c r="X566">
        <f t="shared" si="82"/>
        <v>0.83199999999999996</v>
      </c>
      <c r="Y566">
        <v>101.29664560000001</v>
      </c>
      <c r="Z566">
        <v>0</v>
      </c>
      <c r="AA566">
        <v>62139</v>
      </c>
      <c r="AB566">
        <v>22178</v>
      </c>
      <c r="AC566">
        <v>2.5956119999999999E-2</v>
      </c>
      <c r="AD566">
        <v>0.81129361</v>
      </c>
      <c r="AF566">
        <v>14.843207550000001</v>
      </c>
      <c r="AG566">
        <v>2.4E-2</v>
      </c>
      <c r="AH566">
        <v>1.9E-2</v>
      </c>
      <c r="AI566">
        <v>0.78500000000000003</v>
      </c>
      <c r="AJ566">
        <v>1.6027777780000001</v>
      </c>
      <c r="AK566">
        <v>8.4481476319999995</v>
      </c>
      <c r="AL566">
        <v>2.1000000000000001E-2</v>
      </c>
      <c r="AM566">
        <v>0.115</v>
      </c>
      <c r="AN566">
        <v>0.83199999999999996</v>
      </c>
    </row>
    <row r="567" spans="1:40">
      <c r="A567">
        <v>2635</v>
      </c>
      <c r="B567" t="s">
        <v>689</v>
      </c>
      <c r="C567" t="s">
        <v>687</v>
      </c>
      <c r="D567" t="s">
        <v>688</v>
      </c>
      <c r="E567">
        <v>359</v>
      </c>
      <c r="F567">
        <v>1202</v>
      </c>
      <c r="G567">
        <v>40.933018939999997</v>
      </c>
      <c r="H567">
        <v>52</v>
      </c>
      <c r="I567">
        <v>6.3980558000000007E-2</v>
      </c>
      <c r="J567">
        <v>1254</v>
      </c>
      <c r="K567">
        <v>19599.704020000001</v>
      </c>
      <c r="L567">
        <v>0.72299999999999998</v>
      </c>
      <c r="M567">
        <v>0.126520681</v>
      </c>
      <c r="N567">
        <v>0</v>
      </c>
      <c r="O567" t="s">
        <v>613</v>
      </c>
      <c r="P567">
        <f t="shared" si="74"/>
        <v>13.536041669999999</v>
      </c>
      <c r="Q567">
        <f t="shared" si="75"/>
        <v>3.3000000000000002E-2</v>
      </c>
      <c r="R567">
        <f t="shared" si="76"/>
        <v>1.6E-2</v>
      </c>
      <c r="S567">
        <f t="shared" si="77"/>
        <v>0.72299999999999998</v>
      </c>
      <c r="T567">
        <f t="shared" si="78"/>
        <v>2.6120000000000001</v>
      </c>
      <c r="U567">
        <f t="shared" si="79"/>
        <v>5.9067619049999998</v>
      </c>
      <c r="V567">
        <f t="shared" si="80"/>
        <v>6.2414117647058849E-2</v>
      </c>
      <c r="W567">
        <f t="shared" si="81"/>
        <v>0.13800000000000001</v>
      </c>
      <c r="X567">
        <f t="shared" si="82"/>
        <v>0.82799999999999996</v>
      </c>
      <c r="Y567">
        <v>223.3029544</v>
      </c>
      <c r="Z567">
        <v>0</v>
      </c>
      <c r="AA567">
        <v>454184</v>
      </c>
      <c r="AB567">
        <v>170596</v>
      </c>
      <c r="AC567">
        <v>6.5715274000000004E-2</v>
      </c>
      <c r="AD567">
        <v>0.72549415100000003</v>
      </c>
      <c r="AF567">
        <v>13.536041669999999</v>
      </c>
      <c r="AG567">
        <v>3.3000000000000002E-2</v>
      </c>
      <c r="AH567">
        <v>1.6E-2</v>
      </c>
      <c r="AI567">
        <v>0.72299999999999998</v>
      </c>
      <c r="AJ567">
        <v>2.6120000000000001</v>
      </c>
      <c r="AK567">
        <v>5.9067619049999998</v>
      </c>
      <c r="AL567">
        <v>0</v>
      </c>
      <c r="AM567">
        <v>0.13800000000000001</v>
      </c>
      <c r="AN567">
        <v>0.82799999999999996</v>
      </c>
    </row>
    <row r="568" spans="1:40">
      <c r="A568">
        <v>2636</v>
      </c>
      <c r="B568" t="s">
        <v>705</v>
      </c>
      <c r="C568" t="s">
        <v>696</v>
      </c>
      <c r="D568" t="s">
        <v>697</v>
      </c>
      <c r="E568">
        <v>343</v>
      </c>
      <c r="F568">
        <v>1518</v>
      </c>
      <c r="G568">
        <v>80.893572890000002</v>
      </c>
      <c r="H568">
        <v>39</v>
      </c>
      <c r="I568">
        <v>0.126441575</v>
      </c>
      <c r="J568">
        <v>1557</v>
      </c>
      <c r="K568">
        <v>12313.987709999999</v>
      </c>
      <c r="L568">
        <v>0.80600000000000005</v>
      </c>
      <c r="M568">
        <v>0.102094241</v>
      </c>
      <c r="N568">
        <v>0</v>
      </c>
      <c r="O568" t="s">
        <v>620</v>
      </c>
      <c r="P568">
        <f t="shared" si="74"/>
        <v>11.666785709999999</v>
      </c>
      <c r="Q568">
        <f t="shared" si="75"/>
        <v>2.7E-2</v>
      </c>
      <c r="R568">
        <f t="shared" si="76"/>
        <v>1.7999999999999999E-2</v>
      </c>
      <c r="S568">
        <f t="shared" si="77"/>
        <v>0.80600000000000005</v>
      </c>
      <c r="T568">
        <f t="shared" si="78"/>
        <v>1.8031250000000001</v>
      </c>
      <c r="U568">
        <f t="shared" si="79"/>
        <v>6.3509210530000004</v>
      </c>
      <c r="V568">
        <f t="shared" si="80"/>
        <v>2.1000000000000001E-2</v>
      </c>
      <c r="W568">
        <f t="shared" si="81"/>
        <v>0.127</v>
      </c>
      <c r="X568">
        <f t="shared" si="82"/>
        <v>0.78900000000000003</v>
      </c>
      <c r="Y568">
        <v>176.13050580000001</v>
      </c>
      <c r="Z568">
        <v>0</v>
      </c>
      <c r="AA568">
        <v>152832</v>
      </c>
      <c r="AB568">
        <v>45686</v>
      </c>
      <c r="AC568">
        <v>2.1596295000000001E-2</v>
      </c>
      <c r="AD568">
        <v>0.84212384500000004</v>
      </c>
      <c r="AF568">
        <v>11.666785709999999</v>
      </c>
      <c r="AG568">
        <v>2.7E-2</v>
      </c>
      <c r="AH568">
        <v>1.7999999999999999E-2</v>
      </c>
      <c r="AI568">
        <v>0.80600000000000005</v>
      </c>
      <c r="AJ568">
        <v>1.8031250000000001</v>
      </c>
      <c r="AK568">
        <v>6.3509210530000004</v>
      </c>
      <c r="AL568">
        <v>2.1000000000000001E-2</v>
      </c>
      <c r="AM568">
        <v>0.127</v>
      </c>
      <c r="AN568">
        <v>0.78900000000000003</v>
      </c>
    </row>
    <row r="569" spans="1:40">
      <c r="A569">
        <v>2637</v>
      </c>
      <c r="B569" t="s">
        <v>686</v>
      </c>
      <c r="C569" t="s">
        <v>687</v>
      </c>
      <c r="D569" t="s">
        <v>688</v>
      </c>
      <c r="E569">
        <v>538</v>
      </c>
      <c r="F569">
        <v>1140</v>
      </c>
      <c r="G569">
        <v>39.136014439999997</v>
      </c>
      <c r="H569">
        <v>431</v>
      </c>
      <c r="I569">
        <v>6.1173542999999997E-2</v>
      </c>
      <c r="J569">
        <v>1571</v>
      </c>
      <c r="K569">
        <v>25681.036649999998</v>
      </c>
      <c r="L569">
        <v>0.63100000000000001</v>
      </c>
      <c r="M569">
        <v>0.44478844200000001</v>
      </c>
      <c r="N569">
        <v>1</v>
      </c>
      <c r="O569" t="s">
        <v>606</v>
      </c>
      <c r="P569">
        <f t="shared" si="74"/>
        <v>10.234</v>
      </c>
      <c r="Q569">
        <f t="shared" si="75"/>
        <v>8.3000000000000004E-2</v>
      </c>
      <c r="R569">
        <f t="shared" si="76"/>
        <v>3.1E-2</v>
      </c>
      <c r="S569">
        <f t="shared" si="77"/>
        <v>0.63100000000000001</v>
      </c>
      <c r="T569">
        <f t="shared" si="78"/>
        <v>1.6963636360000001</v>
      </c>
      <c r="U569">
        <f t="shared" si="79"/>
        <v>5.6271348840000002</v>
      </c>
      <c r="V569">
        <f t="shared" si="80"/>
        <v>0.11600000000000001</v>
      </c>
      <c r="W569">
        <f t="shared" si="81"/>
        <v>0.17899999999999999</v>
      </c>
      <c r="X569">
        <f t="shared" si="82"/>
        <v>0.52600000000000002</v>
      </c>
      <c r="Y569">
        <v>163.40426819999999</v>
      </c>
      <c r="Z569">
        <v>1</v>
      </c>
      <c r="AA569">
        <v>140316</v>
      </c>
      <c r="AB569">
        <v>49638</v>
      </c>
      <c r="AC569">
        <v>9.1283894000000004E-2</v>
      </c>
      <c r="AD569">
        <v>0.60339869999999995</v>
      </c>
      <c r="AF569">
        <v>10.234</v>
      </c>
      <c r="AG569">
        <v>8.3000000000000004E-2</v>
      </c>
      <c r="AH569">
        <v>3.1E-2</v>
      </c>
      <c r="AI569">
        <v>0.63100000000000001</v>
      </c>
      <c r="AJ569">
        <v>1.6963636360000001</v>
      </c>
      <c r="AK569">
        <v>5.6271348840000002</v>
      </c>
      <c r="AL569">
        <v>0.11600000000000001</v>
      </c>
      <c r="AM569">
        <v>0.17899999999999999</v>
      </c>
      <c r="AN569">
        <v>0.52600000000000002</v>
      </c>
    </row>
    <row r="570" spans="1:40">
      <c r="A570">
        <v>2638</v>
      </c>
      <c r="B570" t="s">
        <v>695</v>
      </c>
      <c r="C570" t="s">
        <v>696</v>
      </c>
      <c r="D570" t="s">
        <v>697</v>
      </c>
      <c r="E570">
        <v>585</v>
      </c>
      <c r="F570">
        <v>1606</v>
      </c>
      <c r="G570">
        <v>109.0483235</v>
      </c>
      <c r="H570">
        <v>59</v>
      </c>
      <c r="I570">
        <v>0.17045540300000001</v>
      </c>
      <c r="J570">
        <v>1665</v>
      </c>
      <c r="K570">
        <v>9767.9508580000002</v>
      </c>
      <c r="L570">
        <v>0.79100000000000004</v>
      </c>
      <c r="M570">
        <v>9.1614906999999995E-2</v>
      </c>
      <c r="N570">
        <v>0</v>
      </c>
      <c r="O570" t="s">
        <v>620</v>
      </c>
      <c r="P570">
        <f t="shared" si="74"/>
        <v>15.109801320000001</v>
      </c>
      <c r="Q570">
        <f t="shared" si="75"/>
        <v>2.9000000000000001E-2</v>
      </c>
      <c r="R570">
        <f t="shared" si="76"/>
        <v>3.7999999999999999E-2</v>
      </c>
      <c r="S570">
        <f t="shared" si="77"/>
        <v>0.79100000000000004</v>
      </c>
      <c r="T570">
        <f t="shared" si="78"/>
        <v>2.285789474</v>
      </c>
      <c r="U570">
        <f t="shared" si="79"/>
        <v>7.2224806199999998</v>
      </c>
      <c r="V570">
        <f t="shared" si="80"/>
        <v>3.3000000000000002E-2</v>
      </c>
      <c r="W570">
        <f t="shared" si="81"/>
        <v>0.121</v>
      </c>
      <c r="X570">
        <f t="shared" si="82"/>
        <v>0.83</v>
      </c>
      <c r="Y570">
        <v>88.518120010000004</v>
      </c>
      <c r="Z570">
        <v>0</v>
      </c>
      <c r="AA570">
        <v>62139</v>
      </c>
      <c r="AB570">
        <v>22178</v>
      </c>
      <c r="AC570">
        <v>2.5956119999999999E-2</v>
      </c>
      <c r="AD570">
        <v>0.81129361</v>
      </c>
      <c r="AF570">
        <v>15.109801320000001</v>
      </c>
      <c r="AG570">
        <v>2.9000000000000001E-2</v>
      </c>
      <c r="AH570">
        <v>3.7999999999999999E-2</v>
      </c>
      <c r="AI570">
        <v>0.79100000000000004</v>
      </c>
      <c r="AJ570">
        <v>2.285789474</v>
      </c>
      <c r="AK570">
        <v>7.2224806199999998</v>
      </c>
      <c r="AL570">
        <v>3.3000000000000002E-2</v>
      </c>
      <c r="AM570">
        <v>0.121</v>
      </c>
      <c r="AN570">
        <v>0.83</v>
      </c>
    </row>
    <row r="571" spans="1:40">
      <c r="A571">
        <v>2639</v>
      </c>
      <c r="B571" t="s">
        <v>705</v>
      </c>
      <c r="C571" t="s">
        <v>696</v>
      </c>
      <c r="D571" t="s">
        <v>697</v>
      </c>
      <c r="E571">
        <v>616</v>
      </c>
      <c r="F571">
        <v>2361</v>
      </c>
      <c r="G571">
        <v>72.248549499999996</v>
      </c>
      <c r="H571">
        <v>158</v>
      </c>
      <c r="I571">
        <v>0.11293165099999999</v>
      </c>
      <c r="J571">
        <v>2519</v>
      </c>
      <c r="K571">
        <v>22305.52708</v>
      </c>
      <c r="L571">
        <v>0.82099999999999995</v>
      </c>
      <c r="M571">
        <v>0.20413436700000001</v>
      </c>
      <c r="N571">
        <v>0</v>
      </c>
      <c r="O571" t="s">
        <v>613</v>
      </c>
      <c r="P571">
        <f t="shared" si="74"/>
        <v>11.810983609999999</v>
      </c>
      <c r="Q571">
        <f t="shared" si="75"/>
        <v>2.1999999999999999E-2</v>
      </c>
      <c r="R571">
        <f t="shared" si="76"/>
        <v>2.4E-2</v>
      </c>
      <c r="S571">
        <f t="shared" si="77"/>
        <v>0.82099999999999995</v>
      </c>
      <c r="T571">
        <f t="shared" si="78"/>
        <v>2.1836585369999999</v>
      </c>
      <c r="U571">
        <f t="shared" si="79"/>
        <v>6.688396719</v>
      </c>
      <c r="V571">
        <f t="shared" si="80"/>
        <v>3.2000000000000001E-2</v>
      </c>
      <c r="W571">
        <f t="shared" si="81"/>
        <v>6.8000000000000005E-2</v>
      </c>
      <c r="X571">
        <f t="shared" si="82"/>
        <v>0.871</v>
      </c>
      <c r="Y571">
        <v>59.259982239999999</v>
      </c>
      <c r="Z571">
        <v>0</v>
      </c>
      <c r="AA571">
        <v>152832</v>
      </c>
      <c r="AB571">
        <v>45686</v>
      </c>
      <c r="AC571">
        <v>2.1596295000000001E-2</v>
      </c>
      <c r="AD571">
        <v>0.84212384500000004</v>
      </c>
      <c r="AF571">
        <v>11.810983609999999</v>
      </c>
      <c r="AG571">
        <v>2.1999999999999999E-2</v>
      </c>
      <c r="AH571">
        <v>2.4E-2</v>
      </c>
      <c r="AI571">
        <v>0.82099999999999995</v>
      </c>
      <c r="AJ571">
        <v>2.1836585369999999</v>
      </c>
      <c r="AK571">
        <v>6.688396719</v>
      </c>
      <c r="AL571">
        <v>3.2000000000000001E-2</v>
      </c>
      <c r="AM571">
        <v>6.8000000000000005E-2</v>
      </c>
      <c r="AN571">
        <v>0.871</v>
      </c>
    </row>
    <row r="572" spans="1:40">
      <c r="A572">
        <v>2640</v>
      </c>
      <c r="B572" t="s">
        <v>686</v>
      </c>
      <c r="C572" t="s">
        <v>687</v>
      </c>
      <c r="D572" t="s">
        <v>688</v>
      </c>
      <c r="E572">
        <v>574</v>
      </c>
      <c r="F572">
        <v>1564</v>
      </c>
      <c r="G572">
        <v>81.115799460000005</v>
      </c>
      <c r="H572">
        <v>348</v>
      </c>
      <c r="I572">
        <v>0.12679939900000001</v>
      </c>
      <c r="J572">
        <v>1912</v>
      </c>
      <c r="K572">
        <v>15078.935820000001</v>
      </c>
      <c r="L572">
        <v>0.66600000000000004</v>
      </c>
      <c r="M572">
        <v>0.37744034700000001</v>
      </c>
      <c r="N572">
        <v>0</v>
      </c>
      <c r="O572" t="s">
        <v>613</v>
      </c>
      <c r="P572">
        <f t="shared" si="74"/>
        <v>9.2512925169999995</v>
      </c>
      <c r="Q572">
        <f t="shared" si="75"/>
        <v>4.9000000000000002E-2</v>
      </c>
      <c r="R572">
        <f t="shared" si="76"/>
        <v>4.9000000000000002E-2</v>
      </c>
      <c r="S572">
        <f t="shared" si="77"/>
        <v>0.66600000000000004</v>
      </c>
      <c r="T572">
        <f t="shared" si="78"/>
        <v>2.0517777779999999</v>
      </c>
      <c r="U572">
        <f t="shared" si="79"/>
        <v>5.285933054</v>
      </c>
      <c r="V572">
        <f t="shared" si="80"/>
        <v>8.8999999999999996E-2</v>
      </c>
      <c r="W572">
        <f t="shared" si="81"/>
        <v>0.13400000000000001</v>
      </c>
      <c r="X572">
        <f t="shared" si="82"/>
        <v>0.65600000000000003</v>
      </c>
      <c r="Y572">
        <v>198.96283589999999</v>
      </c>
      <c r="Z572">
        <v>1</v>
      </c>
      <c r="AA572">
        <v>140316</v>
      </c>
      <c r="AB572">
        <v>49638</v>
      </c>
      <c r="AC572">
        <v>9.1283894000000004E-2</v>
      </c>
      <c r="AD572">
        <v>0.60339869999999995</v>
      </c>
      <c r="AF572">
        <v>9.2512925169999995</v>
      </c>
      <c r="AG572">
        <v>4.9000000000000002E-2</v>
      </c>
      <c r="AH572">
        <v>4.9000000000000002E-2</v>
      </c>
      <c r="AI572">
        <v>0.66600000000000004</v>
      </c>
      <c r="AJ572">
        <v>2.0517777779999999</v>
      </c>
      <c r="AK572">
        <v>5.285933054</v>
      </c>
      <c r="AL572">
        <v>8.8999999999999996E-2</v>
      </c>
      <c r="AM572">
        <v>0.13400000000000001</v>
      </c>
      <c r="AN572">
        <v>0.65600000000000003</v>
      </c>
    </row>
    <row r="573" spans="1:40">
      <c r="A573">
        <v>2641</v>
      </c>
      <c r="B573" t="s">
        <v>686</v>
      </c>
      <c r="C573" t="s">
        <v>687</v>
      </c>
      <c r="D573" t="s">
        <v>688</v>
      </c>
      <c r="E573">
        <v>208</v>
      </c>
      <c r="F573">
        <v>3319</v>
      </c>
      <c r="G573">
        <v>15.32320094</v>
      </c>
      <c r="H573">
        <v>1101</v>
      </c>
      <c r="I573">
        <v>2.3953658999999999E-2</v>
      </c>
      <c r="J573">
        <v>4420</v>
      </c>
      <c r="K573">
        <v>184522.95740000001</v>
      </c>
      <c r="L573">
        <v>0.39</v>
      </c>
      <c r="M573">
        <v>0.84110007600000003</v>
      </c>
      <c r="N573">
        <v>1</v>
      </c>
      <c r="O573" t="s">
        <v>606</v>
      </c>
      <c r="P573">
        <f t="shared" si="74"/>
        <v>14.230805370000001</v>
      </c>
      <c r="Q573">
        <f t="shared" si="75"/>
        <v>0.11600000000000001</v>
      </c>
      <c r="R573">
        <f t="shared" si="76"/>
        <v>5.8000000000000003E-2</v>
      </c>
      <c r="S573">
        <f t="shared" si="77"/>
        <v>0.39</v>
      </c>
      <c r="T573">
        <f t="shared" si="78"/>
        <v>1.591793478</v>
      </c>
      <c r="U573">
        <f t="shared" si="79"/>
        <v>6.9097678279999997</v>
      </c>
      <c r="V573">
        <f t="shared" si="80"/>
        <v>7.8E-2</v>
      </c>
      <c r="W573">
        <f t="shared" si="81"/>
        <v>0.29899999999999999</v>
      </c>
      <c r="X573">
        <f t="shared" si="82"/>
        <v>0.374</v>
      </c>
      <c r="Y573">
        <v>308.08710050000002</v>
      </c>
      <c r="Z573">
        <v>1</v>
      </c>
      <c r="AA573">
        <v>140316</v>
      </c>
      <c r="AB573">
        <v>49638</v>
      </c>
      <c r="AC573">
        <v>9.1283894000000004E-2</v>
      </c>
      <c r="AD573">
        <v>0.60339869999999995</v>
      </c>
      <c r="AF573">
        <v>14.230805370000001</v>
      </c>
      <c r="AG573">
        <v>0.11600000000000001</v>
      </c>
      <c r="AH573">
        <v>5.8000000000000003E-2</v>
      </c>
      <c r="AI573">
        <v>0.39</v>
      </c>
      <c r="AJ573">
        <v>1.591793478</v>
      </c>
      <c r="AK573">
        <v>6.9097678279999997</v>
      </c>
      <c r="AL573">
        <v>7.8E-2</v>
      </c>
      <c r="AM573">
        <v>0.29899999999999999</v>
      </c>
      <c r="AN573">
        <v>0.374</v>
      </c>
    </row>
    <row r="574" spans="1:40">
      <c r="A574">
        <v>2642</v>
      </c>
      <c r="B574" t="s">
        <v>703</v>
      </c>
      <c r="C574" t="s">
        <v>696</v>
      </c>
      <c r="D574" t="s">
        <v>697</v>
      </c>
      <c r="E574">
        <v>371</v>
      </c>
      <c r="F574">
        <v>1212</v>
      </c>
      <c r="G574">
        <v>71.25805029</v>
      </c>
      <c r="H574">
        <v>65</v>
      </c>
      <c r="I574">
        <v>0.11138205900000001</v>
      </c>
      <c r="J574">
        <v>1277</v>
      </c>
      <c r="K574">
        <v>11465.04214</v>
      </c>
      <c r="L574">
        <v>0.83799999999999997</v>
      </c>
      <c r="M574">
        <v>0.149082569</v>
      </c>
      <c r="N574">
        <v>0</v>
      </c>
      <c r="O574" t="s">
        <v>620</v>
      </c>
      <c r="P574">
        <f t="shared" si="74"/>
        <v>13.73082353</v>
      </c>
      <c r="Q574">
        <f t="shared" si="75"/>
        <v>3.1E-2</v>
      </c>
      <c r="R574">
        <f t="shared" si="76"/>
        <v>2.1999999999999999E-2</v>
      </c>
      <c r="S574">
        <f t="shared" si="77"/>
        <v>0.83799999999999997</v>
      </c>
      <c r="T574">
        <f t="shared" si="78"/>
        <v>1.661875</v>
      </c>
      <c r="U574">
        <f t="shared" si="79"/>
        <v>6.4084899330000002</v>
      </c>
      <c r="V574">
        <f t="shared" si="80"/>
        <v>3.7999999999999999E-2</v>
      </c>
      <c r="W574">
        <f t="shared" si="81"/>
        <v>0.14399999999999999</v>
      </c>
      <c r="X574">
        <f t="shared" si="82"/>
        <v>0.81699999999999995</v>
      </c>
      <c r="Y574">
        <v>102.4885939</v>
      </c>
      <c r="Z574">
        <v>0</v>
      </c>
      <c r="AA574">
        <v>27567</v>
      </c>
      <c r="AB574">
        <v>8371</v>
      </c>
      <c r="AC574">
        <v>2.6639960000000001E-2</v>
      </c>
      <c r="AD574">
        <v>0.83875813700000001</v>
      </c>
      <c r="AF574">
        <v>13.73082353</v>
      </c>
      <c r="AG574">
        <v>3.1E-2</v>
      </c>
      <c r="AH574">
        <v>2.1999999999999999E-2</v>
      </c>
      <c r="AI574">
        <v>0.83799999999999997</v>
      </c>
      <c r="AJ574">
        <v>1.661875</v>
      </c>
      <c r="AK574">
        <v>6.4084899330000002</v>
      </c>
      <c r="AL574">
        <v>3.7999999999999999E-2</v>
      </c>
      <c r="AM574">
        <v>0.14399999999999999</v>
      </c>
      <c r="AN574">
        <v>0.81699999999999995</v>
      </c>
    </row>
    <row r="575" spans="1:40">
      <c r="A575">
        <v>2643</v>
      </c>
      <c r="B575" t="s">
        <v>683</v>
      </c>
      <c r="C575" t="s">
        <v>684</v>
      </c>
      <c r="D575" t="s">
        <v>685</v>
      </c>
      <c r="E575">
        <v>652</v>
      </c>
      <c r="F575">
        <v>2708</v>
      </c>
      <c r="G575">
        <v>104.5440134</v>
      </c>
      <c r="H575">
        <v>362</v>
      </c>
      <c r="I575">
        <v>0.16341433899999999</v>
      </c>
      <c r="J575">
        <v>3070</v>
      </c>
      <c r="K575">
        <v>18786.6011</v>
      </c>
      <c r="L575">
        <v>0.81299999999999994</v>
      </c>
      <c r="M575">
        <v>0.357001972</v>
      </c>
      <c r="N575">
        <v>0</v>
      </c>
      <c r="O575" t="s">
        <v>620</v>
      </c>
      <c r="P575">
        <f t="shared" si="74"/>
        <v>13.051946900000001</v>
      </c>
      <c r="Q575">
        <f t="shared" si="75"/>
        <v>1.7999999999999999E-2</v>
      </c>
      <c r="R575">
        <f t="shared" si="76"/>
        <v>2.1999999999999999E-2</v>
      </c>
      <c r="S575">
        <f t="shared" si="77"/>
        <v>0.81299999999999994</v>
      </c>
      <c r="T575">
        <f t="shared" si="78"/>
        <v>2.3319047620000002</v>
      </c>
      <c r="U575">
        <f t="shared" si="79"/>
        <v>7.2740590879999996</v>
      </c>
      <c r="V575">
        <f t="shared" si="80"/>
        <v>4.1000000000000002E-2</v>
      </c>
      <c r="W575">
        <f t="shared" si="81"/>
        <v>6.4000000000000001E-2</v>
      </c>
      <c r="X575">
        <f t="shared" si="82"/>
        <v>0.85</v>
      </c>
      <c r="Y575">
        <v>120.3657027</v>
      </c>
      <c r="Z575">
        <v>0</v>
      </c>
      <c r="AA575">
        <v>75370</v>
      </c>
      <c r="AB575">
        <v>21403</v>
      </c>
      <c r="AC575">
        <v>2.4597187E-2</v>
      </c>
      <c r="AD575">
        <v>0.84342094400000001</v>
      </c>
      <c r="AF575">
        <v>13.051946900000001</v>
      </c>
      <c r="AG575">
        <v>1.7999999999999999E-2</v>
      </c>
      <c r="AH575">
        <v>2.1999999999999999E-2</v>
      </c>
      <c r="AI575">
        <v>0.81299999999999994</v>
      </c>
      <c r="AJ575">
        <v>2.3319047620000002</v>
      </c>
      <c r="AK575">
        <v>7.2740590879999996</v>
      </c>
      <c r="AL575">
        <v>4.1000000000000002E-2</v>
      </c>
      <c r="AM575">
        <v>6.4000000000000001E-2</v>
      </c>
      <c r="AN575">
        <v>0.85</v>
      </c>
    </row>
    <row r="576" spans="1:40">
      <c r="A576">
        <v>2644</v>
      </c>
      <c r="B576" t="s">
        <v>701</v>
      </c>
      <c r="C576" t="s">
        <v>696</v>
      </c>
      <c r="D576" t="s">
        <v>697</v>
      </c>
      <c r="E576">
        <v>243</v>
      </c>
      <c r="F576">
        <v>810</v>
      </c>
      <c r="G576">
        <v>76.496068870000002</v>
      </c>
      <c r="H576">
        <v>364</v>
      </c>
      <c r="I576">
        <v>0.11957501800000001</v>
      </c>
      <c r="J576">
        <v>1174</v>
      </c>
      <c r="K576">
        <v>9818.1043129999998</v>
      </c>
      <c r="L576">
        <v>0.81599999999999995</v>
      </c>
      <c r="M576">
        <v>0.59967051100000002</v>
      </c>
      <c r="N576">
        <v>0</v>
      </c>
      <c r="O576" t="s">
        <v>620</v>
      </c>
      <c r="P576">
        <f t="shared" si="74"/>
        <v>12.24727891</v>
      </c>
      <c r="Q576">
        <f t="shared" si="75"/>
        <v>3.3000000000000002E-2</v>
      </c>
      <c r="R576">
        <f t="shared" si="76"/>
        <v>2.7E-2</v>
      </c>
      <c r="S576">
        <f t="shared" si="77"/>
        <v>0.81599999999999995</v>
      </c>
      <c r="T576">
        <f t="shared" si="78"/>
        <v>1.944375</v>
      </c>
      <c r="U576">
        <f t="shared" si="79"/>
        <v>6.4906986900000003</v>
      </c>
      <c r="V576">
        <f t="shared" si="80"/>
        <v>0.04</v>
      </c>
      <c r="W576">
        <f t="shared" si="81"/>
        <v>0.08</v>
      </c>
      <c r="X576">
        <f t="shared" si="82"/>
        <v>0.84</v>
      </c>
      <c r="Y576">
        <v>185.77316669999999</v>
      </c>
      <c r="Z576">
        <v>0</v>
      </c>
      <c r="AA576">
        <v>22589</v>
      </c>
      <c r="AB576">
        <v>7233</v>
      </c>
      <c r="AC576">
        <v>3.8721845999999997E-2</v>
      </c>
      <c r="AD576">
        <v>0.78947076400000005</v>
      </c>
      <c r="AF576">
        <v>12.24727891</v>
      </c>
      <c r="AG576">
        <v>3.3000000000000002E-2</v>
      </c>
      <c r="AH576">
        <v>2.7E-2</v>
      </c>
      <c r="AI576">
        <v>0.81599999999999995</v>
      </c>
      <c r="AJ576">
        <v>1.944375</v>
      </c>
      <c r="AK576">
        <v>6.4906986900000003</v>
      </c>
      <c r="AL576">
        <v>0.04</v>
      </c>
      <c r="AM576">
        <v>0.08</v>
      </c>
      <c r="AN576">
        <v>0.84</v>
      </c>
    </row>
    <row r="577" spans="1:40">
      <c r="A577">
        <v>2645</v>
      </c>
      <c r="B577" t="s">
        <v>705</v>
      </c>
      <c r="C577" t="s">
        <v>696</v>
      </c>
      <c r="D577" t="s">
        <v>697</v>
      </c>
      <c r="E577">
        <v>231</v>
      </c>
      <c r="F577">
        <v>1035</v>
      </c>
      <c r="G577">
        <v>65.905239269999996</v>
      </c>
      <c r="H577">
        <v>1972</v>
      </c>
      <c r="I577">
        <v>0.103017716</v>
      </c>
      <c r="J577">
        <v>3007</v>
      </c>
      <c r="K577">
        <v>29189.15422</v>
      </c>
      <c r="L577">
        <v>0.83</v>
      </c>
      <c r="M577">
        <v>0.89514298699999995</v>
      </c>
      <c r="N577">
        <v>0</v>
      </c>
      <c r="O577" t="s">
        <v>613</v>
      </c>
      <c r="P577">
        <f t="shared" si="74"/>
        <v>12.84107216</v>
      </c>
      <c r="Q577">
        <f t="shared" si="75"/>
        <v>1.7999999999999999E-2</v>
      </c>
      <c r="R577">
        <f t="shared" si="76"/>
        <v>2.3E-2</v>
      </c>
      <c r="S577">
        <f t="shared" si="77"/>
        <v>0.83</v>
      </c>
      <c r="T577">
        <f t="shared" si="78"/>
        <v>2.2848684210000001</v>
      </c>
      <c r="U577">
        <f t="shared" si="79"/>
        <v>7.2598132939999998</v>
      </c>
      <c r="V577">
        <f t="shared" si="80"/>
        <v>4.1000000000000002E-2</v>
      </c>
      <c r="W577">
        <f t="shared" si="81"/>
        <v>4.9000000000000002E-2</v>
      </c>
      <c r="X577">
        <f t="shared" si="82"/>
        <v>0.85499999999999998</v>
      </c>
      <c r="Y577">
        <v>116.62080589999999</v>
      </c>
      <c r="Z577">
        <v>0</v>
      </c>
      <c r="AA577">
        <v>152832</v>
      </c>
      <c r="AB577">
        <v>45686</v>
      </c>
      <c r="AC577">
        <v>2.1596295000000001E-2</v>
      </c>
      <c r="AD577">
        <v>0.84212384500000004</v>
      </c>
      <c r="AF577">
        <v>12.84107216</v>
      </c>
      <c r="AG577">
        <v>1.7999999999999999E-2</v>
      </c>
      <c r="AH577">
        <v>2.3E-2</v>
      </c>
      <c r="AI577">
        <v>0.83</v>
      </c>
      <c r="AJ577">
        <v>2.2848684210000001</v>
      </c>
      <c r="AK577">
        <v>7.2598132939999998</v>
      </c>
      <c r="AL577">
        <v>4.1000000000000002E-2</v>
      </c>
      <c r="AM577">
        <v>4.9000000000000002E-2</v>
      </c>
      <c r="AN577">
        <v>0.85499999999999998</v>
      </c>
    </row>
    <row r="578" spans="1:40">
      <c r="A578">
        <v>2646</v>
      </c>
      <c r="B578" t="s">
        <v>705</v>
      </c>
      <c r="C578" t="s">
        <v>696</v>
      </c>
      <c r="D578" t="s">
        <v>697</v>
      </c>
      <c r="E578">
        <v>1083</v>
      </c>
      <c r="F578">
        <v>3241</v>
      </c>
      <c r="G578">
        <v>127.7859899</v>
      </c>
      <c r="H578">
        <v>737</v>
      </c>
      <c r="I578">
        <v>0.199748708</v>
      </c>
      <c r="J578">
        <v>3978</v>
      </c>
      <c r="K578">
        <v>19915.022430000001</v>
      </c>
      <c r="L578">
        <v>0.83299999999999996</v>
      </c>
      <c r="M578">
        <v>0.404945055</v>
      </c>
      <c r="N578">
        <v>0</v>
      </c>
      <c r="O578" t="s">
        <v>613</v>
      </c>
      <c r="P578">
        <f t="shared" si="74"/>
        <v>12.9138676</v>
      </c>
      <c r="Q578">
        <f t="shared" si="75"/>
        <v>1.7000000000000001E-2</v>
      </c>
      <c r="R578">
        <f t="shared" si="76"/>
        <v>1.6E-2</v>
      </c>
      <c r="S578">
        <f t="shared" si="77"/>
        <v>0.83299999999999996</v>
      </c>
      <c r="T578">
        <f t="shared" si="78"/>
        <v>2.1480392159999999</v>
      </c>
      <c r="U578">
        <f t="shared" si="79"/>
        <v>6.0613984900000002</v>
      </c>
      <c r="V578">
        <f t="shared" si="80"/>
        <v>2.3E-2</v>
      </c>
      <c r="W578">
        <f t="shared" si="81"/>
        <v>9.1999999999999998E-2</v>
      </c>
      <c r="X578">
        <f t="shared" si="82"/>
        <v>0.82199999999999995</v>
      </c>
      <c r="Y578">
        <v>99.949234099999998</v>
      </c>
      <c r="Z578">
        <v>0</v>
      </c>
      <c r="AA578">
        <v>152832</v>
      </c>
      <c r="AB578">
        <v>45686</v>
      </c>
      <c r="AC578">
        <v>2.1596295000000001E-2</v>
      </c>
      <c r="AD578">
        <v>0.84212384500000004</v>
      </c>
      <c r="AF578">
        <v>12.9138676</v>
      </c>
      <c r="AG578">
        <v>1.7000000000000001E-2</v>
      </c>
      <c r="AH578">
        <v>1.6E-2</v>
      </c>
      <c r="AI578">
        <v>0.83299999999999996</v>
      </c>
      <c r="AJ578">
        <v>2.1480392159999999</v>
      </c>
      <c r="AK578">
        <v>6.0613984900000002</v>
      </c>
      <c r="AL578">
        <v>2.3E-2</v>
      </c>
      <c r="AM578">
        <v>9.1999999999999998E-2</v>
      </c>
      <c r="AN578">
        <v>0.82199999999999995</v>
      </c>
    </row>
    <row r="579" spans="1:40">
      <c r="A579">
        <v>2647</v>
      </c>
      <c r="B579" t="s">
        <v>705</v>
      </c>
      <c r="C579" t="s">
        <v>696</v>
      </c>
      <c r="D579" t="s">
        <v>697</v>
      </c>
      <c r="E579">
        <v>561</v>
      </c>
      <c r="F579">
        <v>2062</v>
      </c>
      <c r="G579">
        <v>173.3693117</v>
      </c>
      <c r="H579">
        <v>106</v>
      </c>
      <c r="I579">
        <v>0.27099013999999999</v>
      </c>
      <c r="J579">
        <v>2168</v>
      </c>
      <c r="K579">
        <v>8000.2910810000003</v>
      </c>
      <c r="L579">
        <v>0.82399999999999995</v>
      </c>
      <c r="M579">
        <v>0.15892054</v>
      </c>
      <c r="N579">
        <v>0</v>
      </c>
      <c r="O579" t="s">
        <v>620</v>
      </c>
      <c r="P579">
        <f t="shared" si="74"/>
        <v>14.16806667</v>
      </c>
      <c r="Q579">
        <f t="shared" si="75"/>
        <v>2.1999999999999999E-2</v>
      </c>
      <c r="R579">
        <f t="shared" si="76"/>
        <v>1.9E-2</v>
      </c>
      <c r="S579">
        <f t="shared" si="77"/>
        <v>0.82399999999999995</v>
      </c>
      <c r="T579">
        <f t="shared" si="78"/>
        <v>1.9454166669999999</v>
      </c>
      <c r="U579">
        <f t="shared" si="79"/>
        <v>7.0241990049999998</v>
      </c>
      <c r="V579">
        <f t="shared" si="80"/>
        <v>2.3E-2</v>
      </c>
      <c r="W579">
        <f t="shared" si="81"/>
        <v>9.1999999999999998E-2</v>
      </c>
      <c r="X579">
        <f t="shared" si="82"/>
        <v>0.86699999999999999</v>
      </c>
      <c r="Y579">
        <v>126.6238859</v>
      </c>
      <c r="Z579">
        <v>0</v>
      </c>
      <c r="AA579">
        <v>152832</v>
      </c>
      <c r="AB579">
        <v>45686</v>
      </c>
      <c r="AC579">
        <v>2.1596295000000001E-2</v>
      </c>
      <c r="AD579">
        <v>0.84212384500000004</v>
      </c>
      <c r="AF579">
        <v>14.16806667</v>
      </c>
      <c r="AG579">
        <v>2.1999999999999999E-2</v>
      </c>
      <c r="AH579">
        <v>1.9E-2</v>
      </c>
      <c r="AI579">
        <v>0.82399999999999995</v>
      </c>
      <c r="AJ579">
        <v>1.9454166669999999</v>
      </c>
      <c r="AK579">
        <v>7.0241990049999998</v>
      </c>
      <c r="AL579">
        <v>2.3E-2</v>
      </c>
      <c r="AM579">
        <v>9.1999999999999998E-2</v>
      </c>
      <c r="AN579">
        <v>0.86699999999999999</v>
      </c>
    </row>
    <row r="580" spans="1:40">
      <c r="A580">
        <v>2648</v>
      </c>
      <c r="B580" t="s">
        <v>689</v>
      </c>
      <c r="C580" t="s">
        <v>687</v>
      </c>
      <c r="D580" t="s">
        <v>688</v>
      </c>
      <c r="E580">
        <v>478</v>
      </c>
      <c r="F580">
        <v>952</v>
      </c>
      <c r="G580">
        <v>37.582204859999997</v>
      </c>
      <c r="H580">
        <v>145</v>
      </c>
      <c r="I580">
        <v>5.8742784999999999E-2</v>
      </c>
      <c r="J580">
        <v>1097</v>
      </c>
      <c r="K580">
        <v>18674.633829999999</v>
      </c>
      <c r="L580">
        <v>0.77100000000000002</v>
      </c>
      <c r="M580">
        <v>0.23274478300000001</v>
      </c>
      <c r="N580">
        <v>0</v>
      </c>
      <c r="O580" t="s">
        <v>613</v>
      </c>
      <c r="P580">
        <f t="shared" si="74"/>
        <v>9.0183750000000007</v>
      </c>
      <c r="Q580">
        <f t="shared" si="75"/>
        <v>3.5999999999999997E-2</v>
      </c>
      <c r="R580">
        <f t="shared" si="76"/>
        <v>4.1000000000000002E-2</v>
      </c>
      <c r="S580">
        <f t="shared" si="77"/>
        <v>0.77100000000000002</v>
      </c>
      <c r="T580">
        <f t="shared" si="78"/>
        <v>2.433448276</v>
      </c>
      <c r="U580">
        <f t="shared" si="79"/>
        <v>5.873007812</v>
      </c>
      <c r="V580">
        <f t="shared" si="80"/>
        <v>0.104</v>
      </c>
      <c r="W580">
        <f t="shared" si="81"/>
        <v>0.104</v>
      </c>
      <c r="X580">
        <f t="shared" si="82"/>
        <v>0.755</v>
      </c>
      <c r="Y580">
        <v>181.82890610000001</v>
      </c>
      <c r="Z580">
        <v>0</v>
      </c>
      <c r="AA580">
        <v>454184</v>
      </c>
      <c r="AB580">
        <v>170596</v>
      </c>
      <c r="AC580">
        <v>6.5715274000000004E-2</v>
      </c>
      <c r="AD580">
        <v>0.72549415100000003</v>
      </c>
      <c r="AF580">
        <v>9.0183750000000007</v>
      </c>
      <c r="AG580">
        <v>3.5999999999999997E-2</v>
      </c>
      <c r="AH580">
        <v>4.1000000000000002E-2</v>
      </c>
      <c r="AI580">
        <v>0.77100000000000002</v>
      </c>
      <c r="AJ580">
        <v>2.433448276</v>
      </c>
      <c r="AK580">
        <v>5.873007812</v>
      </c>
      <c r="AL580">
        <v>0.104</v>
      </c>
      <c r="AM580">
        <v>0.104</v>
      </c>
      <c r="AN580">
        <v>0.755</v>
      </c>
    </row>
    <row r="581" spans="1:40">
      <c r="A581">
        <v>2649</v>
      </c>
      <c r="B581" t="s">
        <v>707</v>
      </c>
      <c r="C581" t="s">
        <v>696</v>
      </c>
      <c r="D581" t="s">
        <v>697</v>
      </c>
      <c r="E581">
        <v>726</v>
      </c>
      <c r="F581">
        <v>1941</v>
      </c>
      <c r="G581">
        <v>162.1741816</v>
      </c>
      <c r="H581">
        <v>62</v>
      </c>
      <c r="I581">
        <v>0.25349531199999997</v>
      </c>
      <c r="J581">
        <v>2003</v>
      </c>
      <c r="K581">
        <v>7901.5267940000003</v>
      </c>
      <c r="L581">
        <v>0.81599999999999995</v>
      </c>
      <c r="M581">
        <v>7.8680203000000004E-2</v>
      </c>
      <c r="N581">
        <v>0</v>
      </c>
      <c r="O581" t="s">
        <v>620</v>
      </c>
      <c r="P581">
        <f t="shared" si="74"/>
        <v>11.62497436</v>
      </c>
      <c r="Q581">
        <f t="shared" si="75"/>
        <v>1.2E-2</v>
      </c>
      <c r="R581">
        <f t="shared" si="76"/>
        <v>0.03</v>
      </c>
      <c r="S581">
        <f t="shared" si="77"/>
        <v>0.81599999999999995</v>
      </c>
      <c r="T581">
        <f t="shared" si="78"/>
        <v>3.1233333330000002</v>
      </c>
      <c r="U581">
        <f t="shared" si="79"/>
        <v>7.7008745249999997</v>
      </c>
      <c r="V581">
        <f t="shared" si="80"/>
        <v>2.8000000000000001E-2</v>
      </c>
      <c r="W581">
        <f t="shared" si="81"/>
        <v>5.0999999999999997E-2</v>
      </c>
      <c r="X581">
        <f t="shared" si="82"/>
        <v>0.89900000000000002</v>
      </c>
      <c r="Y581">
        <v>76.269060609999997</v>
      </c>
      <c r="Z581">
        <v>0</v>
      </c>
      <c r="AA581">
        <v>21149</v>
      </c>
      <c r="AB581">
        <v>6968</v>
      </c>
      <c r="AC581">
        <v>1.6645858999999999E-2</v>
      </c>
      <c r="AD581">
        <v>0.89069218999999999</v>
      </c>
      <c r="AF581">
        <v>11.62497436</v>
      </c>
      <c r="AG581">
        <v>1.2E-2</v>
      </c>
      <c r="AH581">
        <v>0.03</v>
      </c>
      <c r="AI581">
        <v>0.81599999999999995</v>
      </c>
      <c r="AJ581">
        <v>3.1233333330000002</v>
      </c>
      <c r="AK581">
        <v>7.7008745249999997</v>
      </c>
      <c r="AL581">
        <v>2.8000000000000001E-2</v>
      </c>
      <c r="AM581">
        <v>5.0999999999999997E-2</v>
      </c>
      <c r="AN581">
        <v>0.89900000000000002</v>
      </c>
    </row>
    <row r="582" spans="1:40">
      <c r="A582">
        <v>2650</v>
      </c>
      <c r="B582" t="s">
        <v>695</v>
      </c>
      <c r="C582" t="s">
        <v>696</v>
      </c>
      <c r="D582" t="s">
        <v>697</v>
      </c>
      <c r="E582">
        <v>601</v>
      </c>
      <c r="F582">
        <v>1652</v>
      </c>
      <c r="G582">
        <v>92.104265549999994</v>
      </c>
      <c r="H582">
        <v>84</v>
      </c>
      <c r="I582">
        <v>0.14396646099999999</v>
      </c>
      <c r="J582">
        <v>1736</v>
      </c>
      <c r="K582">
        <v>12058.36407</v>
      </c>
      <c r="L582">
        <v>0.78400000000000003</v>
      </c>
      <c r="M582">
        <v>0.122627737</v>
      </c>
      <c r="N582">
        <v>0</v>
      </c>
      <c r="O582" t="s">
        <v>620</v>
      </c>
      <c r="P582">
        <f t="shared" si="74"/>
        <v>14.88952703</v>
      </c>
      <c r="Q582">
        <f t="shared" si="75"/>
        <v>3.5000000000000003E-2</v>
      </c>
      <c r="R582">
        <f t="shared" si="76"/>
        <v>0.02</v>
      </c>
      <c r="S582">
        <f t="shared" si="77"/>
        <v>0.78400000000000003</v>
      </c>
      <c r="T582">
        <f t="shared" si="78"/>
        <v>1.6619999999999999</v>
      </c>
      <c r="U582">
        <f t="shared" si="79"/>
        <v>7.8186118249999996</v>
      </c>
      <c r="V582">
        <f t="shared" si="80"/>
        <v>1.0999999999999999E-2</v>
      </c>
      <c r="W582">
        <f t="shared" si="81"/>
        <v>0.156</v>
      </c>
      <c r="X582">
        <f t="shared" si="82"/>
        <v>0.82199999999999995</v>
      </c>
      <c r="Y582">
        <v>106.429153</v>
      </c>
      <c r="Z582">
        <v>0</v>
      </c>
      <c r="AA582">
        <v>62139</v>
      </c>
      <c r="AB582">
        <v>22178</v>
      </c>
      <c r="AC582">
        <v>2.5956119999999999E-2</v>
      </c>
      <c r="AD582">
        <v>0.81129361</v>
      </c>
      <c r="AF582">
        <v>14.88952703</v>
      </c>
      <c r="AG582">
        <v>3.5000000000000003E-2</v>
      </c>
      <c r="AH582">
        <v>0.02</v>
      </c>
      <c r="AI582">
        <v>0.78400000000000003</v>
      </c>
      <c r="AJ582">
        <v>1.6619999999999999</v>
      </c>
      <c r="AK582">
        <v>7.8186118249999996</v>
      </c>
      <c r="AL582">
        <v>1.0999999999999999E-2</v>
      </c>
      <c r="AM582">
        <v>0.156</v>
      </c>
      <c r="AN582">
        <v>0.82199999999999995</v>
      </c>
    </row>
    <row r="583" spans="1:40">
      <c r="A583">
        <v>2651</v>
      </c>
      <c r="B583" t="s">
        <v>683</v>
      </c>
      <c r="C583" t="s">
        <v>684</v>
      </c>
      <c r="D583" t="s">
        <v>685</v>
      </c>
      <c r="E583">
        <v>894</v>
      </c>
      <c r="F583">
        <v>3355</v>
      </c>
      <c r="G583">
        <v>199.58656379999999</v>
      </c>
      <c r="H583">
        <v>332</v>
      </c>
      <c r="I583">
        <v>0.311966882</v>
      </c>
      <c r="J583">
        <v>3687</v>
      </c>
      <c r="K583">
        <v>11818.5622</v>
      </c>
      <c r="L583">
        <v>0.85399999999999998</v>
      </c>
      <c r="M583">
        <v>0.27079934700000002</v>
      </c>
      <c r="N583">
        <v>0</v>
      </c>
      <c r="O583" t="s">
        <v>620</v>
      </c>
      <c r="P583">
        <f t="shared" si="74"/>
        <v>13.376818180000001</v>
      </c>
      <c r="Q583">
        <f t="shared" si="75"/>
        <v>1.6E-2</v>
      </c>
      <c r="R583">
        <f t="shared" si="76"/>
        <v>0.01</v>
      </c>
      <c r="S583">
        <f t="shared" si="77"/>
        <v>0.85399999999999998</v>
      </c>
      <c r="T583">
        <f t="shared" si="78"/>
        <v>3.067727273</v>
      </c>
      <c r="U583">
        <f t="shared" si="79"/>
        <v>7.6651355839999997</v>
      </c>
      <c r="V583">
        <f t="shared" si="80"/>
        <v>2.1999999999999999E-2</v>
      </c>
      <c r="W583">
        <f t="shared" si="81"/>
        <v>7.5999999999999998E-2</v>
      </c>
      <c r="X583">
        <f t="shared" si="82"/>
        <v>0.89200000000000002</v>
      </c>
      <c r="Y583">
        <v>150.5224796</v>
      </c>
      <c r="Z583">
        <v>0</v>
      </c>
      <c r="AA583">
        <v>75370</v>
      </c>
      <c r="AB583">
        <v>21403</v>
      </c>
      <c r="AC583">
        <v>2.4597187E-2</v>
      </c>
      <c r="AD583">
        <v>0.84342094400000001</v>
      </c>
      <c r="AF583">
        <v>13.376818180000001</v>
      </c>
      <c r="AG583">
        <v>1.6E-2</v>
      </c>
      <c r="AH583">
        <v>0.01</v>
      </c>
      <c r="AI583">
        <v>0.85399999999999998</v>
      </c>
      <c r="AJ583">
        <v>3.067727273</v>
      </c>
      <c r="AK583">
        <v>7.6651355839999997</v>
      </c>
      <c r="AL583">
        <v>2.1999999999999999E-2</v>
      </c>
      <c r="AM583">
        <v>7.5999999999999998E-2</v>
      </c>
      <c r="AN583">
        <v>0.89200000000000002</v>
      </c>
    </row>
    <row r="584" spans="1:40">
      <c r="A584">
        <v>2652</v>
      </c>
      <c r="B584" t="s">
        <v>691</v>
      </c>
      <c r="C584" t="s">
        <v>684</v>
      </c>
      <c r="D584" t="s">
        <v>685</v>
      </c>
      <c r="E584">
        <v>488</v>
      </c>
      <c r="F584">
        <v>1749</v>
      </c>
      <c r="G584">
        <v>104.9461204</v>
      </c>
      <c r="H584">
        <v>96</v>
      </c>
      <c r="I584">
        <v>0.16404492600000001</v>
      </c>
      <c r="J584">
        <v>1845</v>
      </c>
      <c r="K584">
        <v>11246.919029999999</v>
      </c>
      <c r="L584">
        <v>0.88500000000000001</v>
      </c>
      <c r="M584">
        <v>0.16438356200000001</v>
      </c>
      <c r="N584">
        <v>0</v>
      </c>
      <c r="O584" t="s">
        <v>620</v>
      </c>
      <c r="P584">
        <f t="shared" si="74"/>
        <v>15.12390244</v>
      </c>
      <c r="Q584">
        <f t="shared" si="75"/>
        <v>2.5000000000000001E-2</v>
      </c>
      <c r="R584">
        <f t="shared" si="76"/>
        <v>6.0000000000000001E-3</v>
      </c>
      <c r="S584">
        <f t="shared" si="77"/>
        <v>0.88500000000000001</v>
      </c>
      <c r="T584">
        <f t="shared" si="78"/>
        <v>1.5049999999999999</v>
      </c>
      <c r="U584">
        <f t="shared" si="79"/>
        <v>7.9585573370000002</v>
      </c>
      <c r="V584">
        <f t="shared" si="80"/>
        <v>3.5151315789473656E-2</v>
      </c>
      <c r="W584">
        <f t="shared" si="81"/>
        <v>0.10199999999999999</v>
      </c>
      <c r="X584">
        <f t="shared" si="82"/>
        <v>0.89800000000000002</v>
      </c>
      <c r="Y584">
        <v>152.51816030000001</v>
      </c>
      <c r="Z584">
        <v>0</v>
      </c>
      <c r="AA584">
        <v>236250</v>
      </c>
      <c r="AB584">
        <v>76158</v>
      </c>
      <c r="AC584">
        <v>1.7652984E-2</v>
      </c>
      <c r="AD584">
        <v>0.84750225300000004</v>
      </c>
      <c r="AF584">
        <v>15.12390244</v>
      </c>
      <c r="AG584">
        <v>2.5000000000000001E-2</v>
      </c>
      <c r="AH584">
        <v>6.0000000000000001E-3</v>
      </c>
      <c r="AI584">
        <v>0.88500000000000001</v>
      </c>
      <c r="AJ584">
        <v>1.5049999999999999</v>
      </c>
      <c r="AK584">
        <v>7.9585573370000002</v>
      </c>
      <c r="AL584">
        <v>0</v>
      </c>
      <c r="AM584">
        <v>0.10199999999999999</v>
      </c>
      <c r="AN584">
        <v>0.89800000000000002</v>
      </c>
    </row>
    <row r="585" spans="1:40">
      <c r="A585">
        <v>2653</v>
      </c>
      <c r="B585" t="s">
        <v>683</v>
      </c>
      <c r="C585" t="s">
        <v>684</v>
      </c>
      <c r="D585" t="s">
        <v>685</v>
      </c>
      <c r="E585">
        <v>373</v>
      </c>
      <c r="F585">
        <v>1630</v>
      </c>
      <c r="G585">
        <v>69.248968489999996</v>
      </c>
      <c r="H585">
        <v>104</v>
      </c>
      <c r="I585">
        <v>0.10824475</v>
      </c>
      <c r="J585">
        <v>1734</v>
      </c>
      <c r="K585">
        <v>16019.25267</v>
      </c>
      <c r="L585">
        <v>0.746</v>
      </c>
      <c r="M585">
        <v>0.21802935000000001</v>
      </c>
      <c r="N585">
        <v>1</v>
      </c>
      <c r="O585" t="s">
        <v>620</v>
      </c>
      <c r="P585">
        <f t="shared" si="74"/>
        <v>12.685945950000001</v>
      </c>
      <c r="Q585">
        <f t="shared" si="75"/>
        <v>3.1E-2</v>
      </c>
      <c r="R585">
        <f t="shared" si="76"/>
        <v>1.2E-2</v>
      </c>
      <c r="S585">
        <f t="shared" si="77"/>
        <v>0.746</v>
      </c>
      <c r="T585">
        <f t="shared" si="78"/>
        <v>1.243333333</v>
      </c>
      <c r="U585">
        <f t="shared" si="79"/>
        <v>5.8204809050000001</v>
      </c>
      <c r="V585">
        <f t="shared" si="80"/>
        <v>3.4119999999999984E-2</v>
      </c>
      <c r="W585">
        <f t="shared" si="81"/>
        <v>3.9E-2</v>
      </c>
      <c r="X585">
        <f t="shared" si="82"/>
        <v>0.96099999999999997</v>
      </c>
      <c r="Y585">
        <v>211.59001760000001</v>
      </c>
      <c r="Z585">
        <v>0</v>
      </c>
      <c r="AA585">
        <v>75370</v>
      </c>
      <c r="AB585">
        <v>21403</v>
      </c>
      <c r="AC585">
        <v>2.4597187E-2</v>
      </c>
      <c r="AD585">
        <v>0.84342094400000001</v>
      </c>
      <c r="AF585">
        <v>12.685945950000001</v>
      </c>
      <c r="AG585">
        <v>3.1E-2</v>
      </c>
      <c r="AH585">
        <v>1.2E-2</v>
      </c>
      <c r="AI585">
        <v>0.746</v>
      </c>
      <c r="AJ585">
        <v>1.243333333</v>
      </c>
      <c r="AK585">
        <v>5.8204809050000001</v>
      </c>
      <c r="AL585">
        <v>0</v>
      </c>
      <c r="AM585">
        <v>3.9E-2</v>
      </c>
      <c r="AN585">
        <v>0.96099999999999997</v>
      </c>
    </row>
    <row r="586" spans="1:40">
      <c r="A586">
        <v>2654</v>
      </c>
      <c r="B586" t="s">
        <v>695</v>
      </c>
      <c r="C586" t="s">
        <v>696</v>
      </c>
      <c r="D586" t="s">
        <v>697</v>
      </c>
      <c r="E586">
        <v>773</v>
      </c>
      <c r="F586">
        <v>2135</v>
      </c>
      <c r="G586">
        <v>140.71633410000001</v>
      </c>
      <c r="H586">
        <v>1589</v>
      </c>
      <c r="I586">
        <v>0.21995635699999999</v>
      </c>
      <c r="J586">
        <v>3724</v>
      </c>
      <c r="K586">
        <v>16930.631379999999</v>
      </c>
      <c r="L586">
        <v>0.76100000000000001</v>
      </c>
      <c r="M586">
        <v>0.67273497000000004</v>
      </c>
      <c r="N586">
        <v>1</v>
      </c>
      <c r="O586" t="s">
        <v>613</v>
      </c>
      <c r="P586">
        <f t="shared" si="74"/>
        <v>12.754123460000001</v>
      </c>
      <c r="Q586">
        <f t="shared" si="75"/>
        <v>2.5999999999999999E-2</v>
      </c>
      <c r="R586">
        <f t="shared" si="76"/>
        <v>2.5000000000000001E-2</v>
      </c>
      <c r="S586">
        <f t="shared" si="77"/>
        <v>0.76100000000000001</v>
      </c>
      <c r="T586">
        <f t="shared" si="78"/>
        <v>2.2767415729999998</v>
      </c>
      <c r="U586">
        <f t="shared" si="79"/>
        <v>7.5323677299999998</v>
      </c>
      <c r="V586">
        <f t="shared" si="80"/>
        <v>5.2999999999999999E-2</v>
      </c>
      <c r="W586">
        <f t="shared" si="81"/>
        <v>0.113</v>
      </c>
      <c r="X586">
        <f t="shared" si="82"/>
        <v>0.73499999999999999</v>
      </c>
      <c r="Y586">
        <v>136.43022450000001</v>
      </c>
      <c r="Z586">
        <v>0</v>
      </c>
      <c r="AA586">
        <v>62139</v>
      </c>
      <c r="AB586">
        <v>22178</v>
      </c>
      <c r="AC586">
        <v>2.5956119999999999E-2</v>
      </c>
      <c r="AD586">
        <v>0.81129361</v>
      </c>
      <c r="AF586">
        <v>12.754123460000001</v>
      </c>
      <c r="AG586">
        <v>2.5999999999999999E-2</v>
      </c>
      <c r="AH586">
        <v>2.5000000000000001E-2</v>
      </c>
      <c r="AI586">
        <v>0.76100000000000001</v>
      </c>
      <c r="AJ586">
        <v>2.2767415729999998</v>
      </c>
      <c r="AK586">
        <v>7.5323677299999998</v>
      </c>
      <c r="AL586">
        <v>5.2999999999999999E-2</v>
      </c>
      <c r="AM586">
        <v>0.113</v>
      </c>
      <c r="AN586">
        <v>0.73499999999999999</v>
      </c>
    </row>
    <row r="587" spans="1:40">
      <c r="A587">
        <v>2655</v>
      </c>
      <c r="B587" t="s">
        <v>705</v>
      </c>
      <c r="C587" t="s">
        <v>696</v>
      </c>
      <c r="D587" t="s">
        <v>697</v>
      </c>
      <c r="E587">
        <v>229</v>
      </c>
      <c r="F587">
        <v>845</v>
      </c>
      <c r="G587">
        <v>51.848872739999997</v>
      </c>
      <c r="H587">
        <v>360</v>
      </c>
      <c r="I587">
        <v>8.1046623999999998E-2</v>
      </c>
      <c r="J587">
        <v>1205</v>
      </c>
      <c r="K587">
        <v>14867.985119999999</v>
      </c>
      <c r="L587">
        <v>0.86299999999999999</v>
      </c>
      <c r="M587">
        <v>0.61120543299999996</v>
      </c>
      <c r="N587">
        <v>0</v>
      </c>
      <c r="O587" t="s">
        <v>620</v>
      </c>
      <c r="P587">
        <f t="shared" si="74"/>
        <v>13.347307689999999</v>
      </c>
      <c r="Q587">
        <f t="shared" si="75"/>
        <v>1.4E-2</v>
      </c>
      <c r="R587">
        <f t="shared" si="76"/>
        <v>8.9999999999999993E-3</v>
      </c>
      <c r="S587">
        <f t="shared" si="77"/>
        <v>0.86299999999999999</v>
      </c>
      <c r="T587">
        <f t="shared" si="78"/>
        <v>2.0939999999999999</v>
      </c>
      <c r="U587">
        <f t="shared" si="79"/>
        <v>7.4610624320000003</v>
      </c>
      <c r="V587">
        <f t="shared" si="80"/>
        <v>1.4999999999999999E-2</v>
      </c>
      <c r="W587">
        <f t="shared" si="81"/>
        <v>3.5999999999999997E-2</v>
      </c>
      <c r="X587">
        <f t="shared" si="82"/>
        <v>0.94899999999999995</v>
      </c>
      <c r="Y587">
        <v>78.619368350000002</v>
      </c>
      <c r="Z587">
        <v>0</v>
      </c>
      <c r="AA587">
        <v>152832</v>
      </c>
      <c r="AB587">
        <v>45686</v>
      </c>
      <c r="AC587">
        <v>2.1596295000000001E-2</v>
      </c>
      <c r="AD587">
        <v>0.84212384500000004</v>
      </c>
      <c r="AF587">
        <v>13.347307689999999</v>
      </c>
      <c r="AG587">
        <v>1.4E-2</v>
      </c>
      <c r="AH587">
        <v>8.9999999999999993E-3</v>
      </c>
      <c r="AI587">
        <v>0.86299999999999999</v>
      </c>
      <c r="AJ587">
        <v>2.0939999999999999</v>
      </c>
      <c r="AK587">
        <v>7.4610624320000003</v>
      </c>
      <c r="AL587">
        <v>1.4999999999999999E-2</v>
      </c>
      <c r="AM587">
        <v>3.5999999999999997E-2</v>
      </c>
      <c r="AN587">
        <v>0.94899999999999995</v>
      </c>
    </row>
    <row r="588" spans="1:40">
      <c r="A588">
        <v>2656</v>
      </c>
      <c r="B588" t="s">
        <v>695</v>
      </c>
      <c r="C588" t="s">
        <v>696</v>
      </c>
      <c r="D588" t="s">
        <v>697</v>
      </c>
      <c r="E588">
        <v>352</v>
      </c>
      <c r="F588">
        <v>941</v>
      </c>
      <c r="G588">
        <v>76.842634570000001</v>
      </c>
      <c r="H588">
        <v>75</v>
      </c>
      <c r="I588">
        <v>0.12010726100000001</v>
      </c>
      <c r="J588">
        <v>1016</v>
      </c>
      <c r="K588">
        <v>8459.1055660000002</v>
      </c>
      <c r="L588">
        <v>0.84899999999999998</v>
      </c>
      <c r="M588">
        <v>0.17564402800000001</v>
      </c>
      <c r="N588">
        <v>0</v>
      </c>
      <c r="O588" t="s">
        <v>620</v>
      </c>
      <c r="P588">
        <f t="shared" ref="P588:P651" si="83">IF(OR(IFERROR(AF588=0,TRUE),ISERROR(AF588)),AVERAGEIFS(AF:AF,$B:$B,$B588,AF:AF,"&gt;0"),AF588)</f>
        <v>15.018823530000001</v>
      </c>
      <c r="Q588">
        <f t="shared" ref="Q588:Q651" si="84">IF(OR(IFERROR(AG588=0,TRUE),ISERROR(AG588)),AVERAGEIFS(AG:AG,$B:$B,$B588,AG:AG,"&gt;0"),AG588)</f>
        <v>0.02</v>
      </c>
      <c r="R588">
        <f t="shared" ref="R588:R651" si="85">IF(OR(IFERROR(AH588=0,TRUE),ISERROR(AH588)),AVERAGEIFS(AH:AH,$B:$B,$B588,AH:AH,"&gt;0"),AH588)</f>
        <v>1.7999999999999999E-2</v>
      </c>
      <c r="S588">
        <f t="shared" ref="S588:S651" si="86">IF(OR(IFERROR(AI588=0,TRUE),ISERROR(AI588)),AVERAGEIFS(AI:AI,$B:$B,$B588,AI:AI,"&gt;0"),AI588)</f>
        <v>0.84899999999999998</v>
      </c>
      <c r="T588">
        <f t="shared" ref="T588:T651" si="87">IF(OR(IFERROR(AJ588=0,TRUE),ISERROR(AJ588)),AVERAGEIFS(AJ:AJ,$B:$B,$B588,AJ:AJ,"&gt;0"),AJ588)</f>
        <v>1.488</v>
      </c>
      <c r="U588">
        <f t="shared" ref="U588:U651" si="88">IF(OR(IFERROR(AK588=0,TRUE),ISERROR(AK588)),AVERAGEIFS(AK:AK,$B:$B,$B588,AK:AK,"&gt;0"),AK588)</f>
        <v>7.6524336279999998</v>
      </c>
      <c r="V588">
        <f t="shared" ref="V588:V651" si="89">IF(OR(IFERROR(AL588=0,TRUE),ISERROR(AL588)),AVERAGEIFS(AL:AL,$B:$B,$B588,AL:AL,"&gt;0"),AL588)</f>
        <v>0.04</v>
      </c>
      <c r="W588">
        <f t="shared" ref="W588:W651" si="90">IF(OR(IFERROR(AM588=0,TRUE),ISERROR(AM588)),AVERAGEIFS(AM:AM,$B:$B,$B588,AM:AM,"&gt;0"),AM588)</f>
        <v>7.9000000000000001E-2</v>
      </c>
      <c r="X588">
        <f t="shared" ref="X588:X651" si="91">IF(OR(IFERROR(AN588=0,TRUE),ISERROR(AN588)),AVERAGEIFS(AN:AN,$B:$B,$B588,AN:AN,"&gt;0"),AN588)</f>
        <v>0.84199999999999997</v>
      </c>
      <c r="Y588">
        <v>125.68948760000001</v>
      </c>
      <c r="Z588">
        <v>0</v>
      </c>
      <c r="AA588">
        <v>62139</v>
      </c>
      <c r="AB588">
        <v>22178</v>
      </c>
      <c r="AC588">
        <v>2.5956119999999999E-2</v>
      </c>
      <c r="AD588">
        <v>0.81129361</v>
      </c>
      <c r="AF588">
        <v>15.018823530000001</v>
      </c>
      <c r="AG588">
        <v>0.02</v>
      </c>
      <c r="AH588">
        <v>1.7999999999999999E-2</v>
      </c>
      <c r="AI588">
        <v>0.84899999999999998</v>
      </c>
      <c r="AJ588">
        <v>1.488</v>
      </c>
      <c r="AK588">
        <v>7.6524336279999998</v>
      </c>
      <c r="AL588">
        <v>0.04</v>
      </c>
      <c r="AM588">
        <v>7.9000000000000001E-2</v>
      </c>
      <c r="AN588">
        <v>0.84199999999999997</v>
      </c>
    </row>
    <row r="589" spans="1:40">
      <c r="A589">
        <v>2657</v>
      </c>
      <c r="B589" t="s">
        <v>695</v>
      </c>
      <c r="C589" t="s">
        <v>696</v>
      </c>
      <c r="D589" t="s">
        <v>697</v>
      </c>
      <c r="E589">
        <v>309</v>
      </c>
      <c r="F589">
        <v>823</v>
      </c>
      <c r="G589">
        <v>65.095437709999999</v>
      </c>
      <c r="H589">
        <v>0</v>
      </c>
      <c r="I589">
        <v>0.10175163500000001</v>
      </c>
      <c r="J589">
        <v>823</v>
      </c>
      <c r="K589">
        <v>8088.3221190000004</v>
      </c>
      <c r="L589">
        <v>0.71499999999999997</v>
      </c>
      <c r="M589">
        <v>0</v>
      </c>
      <c r="N589">
        <v>0</v>
      </c>
      <c r="O589" t="s">
        <v>620</v>
      </c>
      <c r="P589">
        <f t="shared" si="83"/>
        <v>11.72181818</v>
      </c>
      <c r="Q589">
        <f t="shared" si="84"/>
        <v>2.1000000000000001E-2</v>
      </c>
      <c r="R589">
        <f t="shared" si="85"/>
        <v>1.7999999999999999E-2</v>
      </c>
      <c r="S589">
        <f t="shared" si="86"/>
        <v>0.71499999999999997</v>
      </c>
      <c r="T589">
        <f t="shared" si="87"/>
        <v>1.0649999999999999</v>
      </c>
      <c r="U589">
        <f t="shared" si="88"/>
        <v>7.2547524750000001</v>
      </c>
      <c r="V589">
        <f t="shared" si="89"/>
        <v>2.4E-2</v>
      </c>
      <c r="W589">
        <f t="shared" si="90"/>
        <v>9.8000000000000004E-2</v>
      </c>
      <c r="X589">
        <f t="shared" si="91"/>
        <v>0.80500000000000005</v>
      </c>
      <c r="Y589">
        <v>183.627679</v>
      </c>
      <c r="Z589">
        <v>0</v>
      </c>
      <c r="AA589">
        <v>62139</v>
      </c>
      <c r="AB589">
        <v>22178</v>
      </c>
      <c r="AC589">
        <v>2.5956119999999999E-2</v>
      </c>
      <c r="AD589">
        <v>0.81129361</v>
      </c>
      <c r="AF589">
        <v>11.72181818</v>
      </c>
      <c r="AG589">
        <v>2.1000000000000001E-2</v>
      </c>
      <c r="AH589">
        <v>1.7999999999999999E-2</v>
      </c>
      <c r="AI589">
        <v>0.71499999999999997</v>
      </c>
      <c r="AJ589">
        <v>1.0649999999999999</v>
      </c>
      <c r="AK589">
        <v>7.2547524750000001</v>
      </c>
      <c r="AL589">
        <v>2.4E-2</v>
      </c>
      <c r="AM589">
        <v>9.8000000000000004E-2</v>
      </c>
      <c r="AN589">
        <v>0.80500000000000005</v>
      </c>
    </row>
    <row r="590" spans="1:40">
      <c r="A590">
        <v>2658</v>
      </c>
      <c r="B590" t="s">
        <v>683</v>
      </c>
      <c r="C590" t="s">
        <v>684</v>
      </c>
      <c r="D590" t="s">
        <v>685</v>
      </c>
      <c r="E590">
        <v>361</v>
      </c>
      <c r="F590">
        <v>1566</v>
      </c>
      <c r="G590">
        <v>84.093897229999996</v>
      </c>
      <c r="H590">
        <v>321</v>
      </c>
      <c r="I590">
        <v>0.13144504200000001</v>
      </c>
      <c r="J590">
        <v>1887</v>
      </c>
      <c r="K590">
        <v>14355.80963</v>
      </c>
      <c r="L590">
        <v>0.79700000000000004</v>
      </c>
      <c r="M590">
        <v>0.47067448699999997</v>
      </c>
      <c r="N590">
        <v>0</v>
      </c>
      <c r="O590" t="s">
        <v>620</v>
      </c>
      <c r="P590">
        <f t="shared" si="83"/>
        <v>14.35619355</v>
      </c>
      <c r="Q590">
        <f t="shared" si="84"/>
        <v>0.03</v>
      </c>
      <c r="R590">
        <f t="shared" si="85"/>
        <v>0.01</v>
      </c>
      <c r="S590">
        <f t="shared" si="86"/>
        <v>0.79700000000000004</v>
      </c>
      <c r="T590">
        <f t="shared" si="87"/>
        <v>1.6784615380000001</v>
      </c>
      <c r="U590">
        <f t="shared" si="88"/>
        <v>6.5877675839999998</v>
      </c>
      <c r="V590">
        <f t="shared" si="89"/>
        <v>6.0000000000000001E-3</v>
      </c>
      <c r="W590">
        <f t="shared" si="90"/>
        <v>0.10299999999999999</v>
      </c>
      <c r="X590">
        <f t="shared" si="91"/>
        <v>0.88600000000000001</v>
      </c>
      <c r="Y590">
        <v>240.833144</v>
      </c>
      <c r="Z590">
        <v>0</v>
      </c>
      <c r="AA590">
        <v>75370</v>
      </c>
      <c r="AB590">
        <v>21403</v>
      </c>
      <c r="AC590">
        <v>2.4597187E-2</v>
      </c>
      <c r="AD590">
        <v>0.84342094400000001</v>
      </c>
      <c r="AF590">
        <v>14.35619355</v>
      </c>
      <c r="AG590">
        <v>0.03</v>
      </c>
      <c r="AH590">
        <v>0.01</v>
      </c>
      <c r="AI590">
        <v>0.79700000000000004</v>
      </c>
      <c r="AJ590">
        <v>1.6784615380000001</v>
      </c>
      <c r="AK590">
        <v>6.5877675839999998</v>
      </c>
      <c r="AL590">
        <v>6.0000000000000001E-3</v>
      </c>
      <c r="AM590">
        <v>0.10299999999999999</v>
      </c>
      <c r="AN590">
        <v>0.88600000000000001</v>
      </c>
    </row>
    <row r="591" spans="1:40">
      <c r="A591">
        <v>2659</v>
      </c>
      <c r="B591" t="s">
        <v>707</v>
      </c>
      <c r="C591" t="s">
        <v>693</v>
      </c>
      <c r="D591" t="s">
        <v>694</v>
      </c>
      <c r="E591">
        <v>419</v>
      </c>
      <c r="F591">
        <v>1170</v>
      </c>
      <c r="G591">
        <v>4658.0922</v>
      </c>
      <c r="H591">
        <v>132</v>
      </c>
      <c r="I591" s="515">
        <v>7.2810293933664303</v>
      </c>
      <c r="J591">
        <v>1302</v>
      </c>
      <c r="K591">
        <v>178.82086849999999</v>
      </c>
      <c r="L591">
        <v>0.96399999999999997</v>
      </c>
      <c r="M591">
        <v>0.239564428</v>
      </c>
      <c r="N591">
        <v>0</v>
      </c>
      <c r="O591" t="s">
        <v>625</v>
      </c>
      <c r="P591">
        <f t="shared" si="83"/>
        <v>19.601487599999999</v>
      </c>
      <c r="Q591">
        <f t="shared" si="84"/>
        <v>3.0000000000000001E-3</v>
      </c>
      <c r="R591">
        <f t="shared" si="85"/>
        <v>7.2846153846153852E-2</v>
      </c>
      <c r="S591">
        <f t="shared" si="86"/>
        <v>0.96399999999999997</v>
      </c>
      <c r="T591">
        <f t="shared" si="87"/>
        <v>2.2191326312692303</v>
      </c>
      <c r="U591">
        <f t="shared" si="88"/>
        <v>13.38533662</v>
      </c>
      <c r="V591">
        <f t="shared" si="89"/>
        <v>0.11835714285714286</v>
      </c>
      <c r="W591">
        <f t="shared" si="90"/>
        <v>1.6E-2</v>
      </c>
      <c r="X591">
        <f t="shared" si="91"/>
        <v>0.98399999999999999</v>
      </c>
      <c r="Y591">
        <v>3.3661381819999998</v>
      </c>
      <c r="Z591">
        <v>0</v>
      </c>
      <c r="AA591">
        <v>21149</v>
      </c>
      <c r="AB591">
        <v>6968</v>
      </c>
      <c r="AC591">
        <v>1.6645858999999999E-2</v>
      </c>
      <c r="AD591">
        <v>0.89069218999999999</v>
      </c>
      <c r="AF591">
        <v>19.601487599999999</v>
      </c>
      <c r="AG591">
        <v>3.0000000000000001E-3</v>
      </c>
      <c r="AH591">
        <v>0</v>
      </c>
      <c r="AI591">
        <v>0.96399999999999997</v>
      </c>
      <c r="AK591">
        <v>13.38533662</v>
      </c>
      <c r="AL591">
        <v>0</v>
      </c>
      <c r="AM591">
        <v>1.6E-2</v>
      </c>
      <c r="AN591">
        <v>0.98399999999999999</v>
      </c>
    </row>
    <row r="592" spans="1:40">
      <c r="A592">
        <v>2660</v>
      </c>
      <c r="B592" t="s">
        <v>705</v>
      </c>
      <c r="C592" t="s">
        <v>696</v>
      </c>
      <c r="D592" t="s">
        <v>697</v>
      </c>
      <c r="E592">
        <v>543</v>
      </c>
      <c r="F592">
        <v>1918</v>
      </c>
      <c r="G592">
        <v>87.429975630000001</v>
      </c>
      <c r="H592">
        <v>67</v>
      </c>
      <c r="I592">
        <v>0.13665638499999999</v>
      </c>
      <c r="J592">
        <v>1985</v>
      </c>
      <c r="K592">
        <v>14525.48302</v>
      </c>
      <c r="L592">
        <v>0.80600000000000005</v>
      </c>
      <c r="M592">
        <v>0.109836066</v>
      </c>
      <c r="N592">
        <v>0</v>
      </c>
      <c r="O592" t="s">
        <v>620</v>
      </c>
      <c r="P592">
        <f t="shared" si="83"/>
        <v>12.88533333</v>
      </c>
      <c r="Q592">
        <f t="shared" si="84"/>
        <v>2.8000000000000001E-2</v>
      </c>
      <c r="R592">
        <f t="shared" si="85"/>
        <v>3.6999999999999998E-2</v>
      </c>
      <c r="S592">
        <f t="shared" si="86"/>
        <v>0.80600000000000005</v>
      </c>
      <c r="T592">
        <f t="shared" si="87"/>
        <v>2.3634210530000002</v>
      </c>
      <c r="U592">
        <f t="shared" si="88"/>
        <v>6.1909759190000004</v>
      </c>
      <c r="V592">
        <f t="shared" si="89"/>
        <v>0.12</v>
      </c>
      <c r="W592">
        <f t="shared" si="90"/>
        <v>0.127</v>
      </c>
      <c r="X592">
        <f t="shared" si="91"/>
        <v>0.72299999999999998</v>
      </c>
      <c r="Y592">
        <v>165.7491124</v>
      </c>
      <c r="Z592">
        <v>0</v>
      </c>
      <c r="AA592">
        <v>152832</v>
      </c>
      <c r="AB592">
        <v>45686</v>
      </c>
      <c r="AC592">
        <v>2.1596295000000001E-2</v>
      </c>
      <c r="AD592">
        <v>0.84212384500000004</v>
      </c>
      <c r="AF592">
        <v>12.88533333</v>
      </c>
      <c r="AG592">
        <v>2.8000000000000001E-2</v>
      </c>
      <c r="AH592">
        <v>3.6999999999999998E-2</v>
      </c>
      <c r="AI592">
        <v>0.80600000000000005</v>
      </c>
      <c r="AJ592">
        <v>2.3634210530000002</v>
      </c>
      <c r="AK592">
        <v>6.1909759190000004</v>
      </c>
      <c r="AL592">
        <v>0.12</v>
      </c>
      <c r="AM592">
        <v>0.127</v>
      </c>
      <c r="AN592">
        <v>0.72299999999999998</v>
      </c>
    </row>
    <row r="593" spans="1:40">
      <c r="A593">
        <v>2661</v>
      </c>
      <c r="B593" t="s">
        <v>705</v>
      </c>
      <c r="C593" t="s">
        <v>696</v>
      </c>
      <c r="D593" t="s">
        <v>697</v>
      </c>
      <c r="E593">
        <v>720</v>
      </c>
      <c r="F593">
        <v>2081</v>
      </c>
      <c r="G593">
        <v>106.3358437</v>
      </c>
      <c r="H593">
        <v>183</v>
      </c>
      <c r="I593">
        <v>0.166217274</v>
      </c>
      <c r="J593">
        <v>2264</v>
      </c>
      <c r="K593">
        <v>13620.72633</v>
      </c>
      <c r="L593">
        <v>0.79900000000000004</v>
      </c>
      <c r="M593">
        <v>0.202657807</v>
      </c>
      <c r="N593">
        <v>0</v>
      </c>
      <c r="O593" t="s">
        <v>620</v>
      </c>
      <c r="P593">
        <f t="shared" si="83"/>
        <v>13.19684211</v>
      </c>
      <c r="Q593">
        <f t="shared" si="84"/>
        <v>1.2999999999999999E-2</v>
      </c>
      <c r="R593">
        <f t="shared" si="85"/>
        <v>3.5000000000000003E-2</v>
      </c>
      <c r="S593">
        <f t="shared" si="86"/>
        <v>0.79900000000000004</v>
      </c>
      <c r="T593">
        <f t="shared" si="87"/>
        <v>1.99</v>
      </c>
      <c r="U593">
        <f t="shared" si="88"/>
        <v>6.9521005389999999</v>
      </c>
      <c r="V593">
        <f t="shared" si="89"/>
        <v>4.9000000000000002E-2</v>
      </c>
      <c r="W593">
        <f t="shared" si="90"/>
        <v>6.9000000000000006E-2</v>
      </c>
      <c r="X593">
        <f t="shared" si="91"/>
        <v>0.83799999999999997</v>
      </c>
      <c r="Y593">
        <v>140.50131479999999</v>
      </c>
      <c r="Z593">
        <v>0</v>
      </c>
      <c r="AA593">
        <v>152832</v>
      </c>
      <c r="AB593">
        <v>45686</v>
      </c>
      <c r="AC593">
        <v>2.1596295000000001E-2</v>
      </c>
      <c r="AD593">
        <v>0.84212384500000004</v>
      </c>
      <c r="AF593">
        <v>13.19684211</v>
      </c>
      <c r="AG593">
        <v>1.2999999999999999E-2</v>
      </c>
      <c r="AH593">
        <v>3.5000000000000003E-2</v>
      </c>
      <c r="AI593">
        <v>0.79900000000000004</v>
      </c>
      <c r="AJ593">
        <v>1.99</v>
      </c>
      <c r="AK593">
        <v>6.9521005389999999</v>
      </c>
      <c r="AL593">
        <v>4.9000000000000002E-2</v>
      </c>
      <c r="AM593">
        <v>6.9000000000000006E-2</v>
      </c>
      <c r="AN593">
        <v>0.83799999999999997</v>
      </c>
    </row>
    <row r="594" spans="1:40">
      <c r="A594">
        <v>2662</v>
      </c>
      <c r="B594" t="s">
        <v>705</v>
      </c>
      <c r="C594" t="s">
        <v>696</v>
      </c>
      <c r="D594" t="s">
        <v>697</v>
      </c>
      <c r="E594">
        <v>410</v>
      </c>
      <c r="F594">
        <v>1458</v>
      </c>
      <c r="G594">
        <v>76.231551640000006</v>
      </c>
      <c r="H594">
        <v>196</v>
      </c>
      <c r="I594">
        <v>0.11915418999999999</v>
      </c>
      <c r="J594">
        <v>1654</v>
      </c>
      <c r="K594">
        <v>13881.173629999999</v>
      </c>
      <c r="L594">
        <v>0.80800000000000005</v>
      </c>
      <c r="M594">
        <v>0.32343234300000001</v>
      </c>
      <c r="N594">
        <v>0</v>
      </c>
      <c r="O594" t="s">
        <v>620</v>
      </c>
      <c r="P594">
        <f t="shared" si="83"/>
        <v>10.351261259999999</v>
      </c>
      <c r="Q594">
        <f t="shared" si="84"/>
        <v>1.9E-2</v>
      </c>
      <c r="R594">
        <f t="shared" si="85"/>
        <v>2.1999999999999999E-2</v>
      </c>
      <c r="S594">
        <f t="shared" si="86"/>
        <v>0.80800000000000005</v>
      </c>
      <c r="T594">
        <f t="shared" si="87"/>
        <v>1.8020833329999999</v>
      </c>
      <c r="U594">
        <f t="shared" si="88"/>
        <v>5.5999883449999999</v>
      </c>
      <c r="V594">
        <f t="shared" si="89"/>
        <v>0.06</v>
      </c>
      <c r="W594">
        <f t="shared" si="90"/>
        <v>8.3000000000000004E-2</v>
      </c>
      <c r="X594">
        <f t="shared" si="91"/>
        <v>0.83499999999999996</v>
      </c>
      <c r="Y594">
        <v>139.30660570000001</v>
      </c>
      <c r="Z594">
        <v>0</v>
      </c>
      <c r="AA594">
        <v>152832</v>
      </c>
      <c r="AB594">
        <v>45686</v>
      </c>
      <c r="AC594">
        <v>2.1596295000000001E-2</v>
      </c>
      <c r="AD594">
        <v>0.84212384500000004</v>
      </c>
      <c r="AF594">
        <v>10.351261259999999</v>
      </c>
      <c r="AG594">
        <v>1.9E-2</v>
      </c>
      <c r="AH594">
        <v>2.1999999999999999E-2</v>
      </c>
      <c r="AI594">
        <v>0.80800000000000005</v>
      </c>
      <c r="AJ594">
        <v>1.8020833329999999</v>
      </c>
      <c r="AK594">
        <v>5.5999883449999999</v>
      </c>
      <c r="AL594">
        <v>0.06</v>
      </c>
      <c r="AM594">
        <v>8.3000000000000004E-2</v>
      </c>
      <c r="AN594">
        <v>0.83499999999999996</v>
      </c>
    </row>
    <row r="595" spans="1:40">
      <c r="A595">
        <v>2663</v>
      </c>
      <c r="B595" t="s">
        <v>699</v>
      </c>
      <c r="C595" t="s">
        <v>687</v>
      </c>
      <c r="D595" t="s">
        <v>688</v>
      </c>
      <c r="E595">
        <v>253</v>
      </c>
      <c r="F595">
        <v>732</v>
      </c>
      <c r="G595">
        <v>36.794136000000002</v>
      </c>
      <c r="H595">
        <v>0</v>
      </c>
      <c r="I595">
        <v>5.7514715000000001E-2</v>
      </c>
      <c r="J595">
        <v>732</v>
      </c>
      <c r="K595">
        <v>12727.177729999999</v>
      </c>
      <c r="L595">
        <v>0.68400000000000005</v>
      </c>
      <c r="M595">
        <v>0</v>
      </c>
      <c r="N595">
        <v>0</v>
      </c>
      <c r="O595" t="s">
        <v>613</v>
      </c>
      <c r="P595">
        <f t="shared" si="83"/>
        <v>11.99285714</v>
      </c>
      <c r="Q595">
        <f t="shared" si="84"/>
        <v>6.5000000000000002E-2</v>
      </c>
      <c r="R595">
        <f t="shared" si="85"/>
        <v>4.2999999999999997E-2</v>
      </c>
      <c r="S595">
        <f t="shared" si="86"/>
        <v>0.68400000000000005</v>
      </c>
      <c r="T595">
        <f t="shared" si="87"/>
        <v>2.6379166669999998</v>
      </c>
      <c r="U595">
        <f t="shared" si="88"/>
        <v>5.3794490359999996</v>
      </c>
      <c r="V595">
        <f t="shared" si="89"/>
        <v>0.13</v>
      </c>
      <c r="W595">
        <f t="shared" si="90"/>
        <v>0.22800000000000001</v>
      </c>
      <c r="X595">
        <f t="shared" si="91"/>
        <v>0.60899999999999999</v>
      </c>
      <c r="Y595">
        <v>231.71547279999999</v>
      </c>
      <c r="Z595">
        <v>0</v>
      </c>
      <c r="AA595">
        <v>20912</v>
      </c>
      <c r="AB595">
        <v>7469</v>
      </c>
      <c r="AC595">
        <v>5.5261644999999998E-2</v>
      </c>
      <c r="AD595">
        <v>0.74284071299999999</v>
      </c>
      <c r="AF595">
        <v>11.99285714</v>
      </c>
      <c r="AG595">
        <v>6.5000000000000002E-2</v>
      </c>
      <c r="AH595">
        <v>4.2999999999999997E-2</v>
      </c>
      <c r="AI595">
        <v>0.68400000000000005</v>
      </c>
      <c r="AJ595">
        <v>2.6379166669999998</v>
      </c>
      <c r="AK595">
        <v>5.3794490359999996</v>
      </c>
      <c r="AL595">
        <v>0.13</v>
      </c>
      <c r="AM595">
        <v>0.22800000000000001</v>
      </c>
      <c r="AN595">
        <v>0.60899999999999999</v>
      </c>
    </row>
    <row r="596" spans="1:40">
      <c r="A596">
        <v>2664</v>
      </c>
      <c r="B596" t="s">
        <v>691</v>
      </c>
      <c r="C596" t="s">
        <v>684</v>
      </c>
      <c r="D596" t="s">
        <v>685</v>
      </c>
      <c r="E596">
        <v>286</v>
      </c>
      <c r="F596">
        <v>909</v>
      </c>
      <c r="G596">
        <v>79.771310959999994</v>
      </c>
      <c r="H596">
        <v>143</v>
      </c>
      <c r="I596">
        <v>0.124691099</v>
      </c>
      <c r="J596">
        <v>1052</v>
      </c>
      <c r="K596">
        <v>8436.849209</v>
      </c>
      <c r="L596">
        <v>0.86199999999999999</v>
      </c>
      <c r="M596">
        <v>0.33333333300000001</v>
      </c>
      <c r="N596">
        <v>0</v>
      </c>
      <c r="O596" t="s">
        <v>620</v>
      </c>
      <c r="P596">
        <f t="shared" si="83"/>
        <v>13.579166669999999</v>
      </c>
      <c r="Q596">
        <f t="shared" si="84"/>
        <v>0.01</v>
      </c>
      <c r="R596">
        <f t="shared" si="85"/>
        <v>8.0000000000000002E-3</v>
      </c>
      <c r="S596">
        <f t="shared" si="86"/>
        <v>0.86199999999999999</v>
      </c>
      <c r="T596">
        <f t="shared" si="87"/>
        <v>1.96</v>
      </c>
      <c r="U596">
        <f t="shared" si="88"/>
        <v>7.4545752609999996</v>
      </c>
      <c r="V596">
        <f t="shared" si="89"/>
        <v>3.5151315789473656E-2</v>
      </c>
      <c r="W596">
        <f t="shared" si="90"/>
        <v>5.9146341463414652E-2</v>
      </c>
      <c r="X596">
        <f t="shared" si="91"/>
        <v>0.97</v>
      </c>
      <c r="Y596">
        <v>117.9573461</v>
      </c>
      <c r="Z596">
        <v>0</v>
      </c>
      <c r="AA596">
        <v>236250</v>
      </c>
      <c r="AB596">
        <v>76158</v>
      </c>
      <c r="AC596">
        <v>1.7652984E-2</v>
      </c>
      <c r="AD596">
        <v>0.84750225300000004</v>
      </c>
      <c r="AF596">
        <v>13.579166669999999</v>
      </c>
      <c r="AG596">
        <v>0.01</v>
      </c>
      <c r="AH596">
        <v>8.0000000000000002E-3</v>
      </c>
      <c r="AI596">
        <v>0.86199999999999999</v>
      </c>
      <c r="AJ596">
        <v>1.96</v>
      </c>
      <c r="AK596">
        <v>7.4545752609999996</v>
      </c>
      <c r="AL596">
        <v>0</v>
      </c>
      <c r="AM596">
        <v>0</v>
      </c>
      <c r="AN596">
        <v>0.97</v>
      </c>
    </row>
    <row r="597" spans="1:40">
      <c r="A597">
        <v>2665</v>
      </c>
      <c r="B597" t="s">
        <v>702</v>
      </c>
      <c r="C597" t="s">
        <v>696</v>
      </c>
      <c r="D597" t="s">
        <v>697</v>
      </c>
      <c r="E597">
        <v>334</v>
      </c>
      <c r="F597">
        <v>1100</v>
      </c>
      <c r="G597">
        <v>71.511658220000001</v>
      </c>
      <c r="H597">
        <v>55</v>
      </c>
      <c r="I597">
        <v>0.111780456</v>
      </c>
      <c r="J597">
        <v>1155</v>
      </c>
      <c r="K597">
        <v>10332.75441</v>
      </c>
      <c r="L597">
        <v>0.85799999999999998</v>
      </c>
      <c r="M597">
        <v>0.141388175</v>
      </c>
      <c r="N597">
        <v>0</v>
      </c>
      <c r="O597" t="s">
        <v>620</v>
      </c>
      <c r="P597">
        <f t="shared" si="83"/>
        <v>12.99857143</v>
      </c>
      <c r="Q597">
        <f t="shared" si="84"/>
        <v>5.2999999999999999E-2</v>
      </c>
      <c r="R597">
        <f t="shared" si="85"/>
        <v>2.4E-2</v>
      </c>
      <c r="S597">
        <f t="shared" si="86"/>
        <v>0.85799999999999998</v>
      </c>
      <c r="T597">
        <f t="shared" si="87"/>
        <v>2.1800000000000002</v>
      </c>
      <c r="U597">
        <f t="shared" si="88"/>
        <v>7.5265591399999998</v>
      </c>
      <c r="V597">
        <f t="shared" si="89"/>
        <v>5.1999999999999998E-2</v>
      </c>
      <c r="W597">
        <f t="shared" si="90"/>
        <v>0.16800000000000001</v>
      </c>
      <c r="X597">
        <f t="shared" si="91"/>
        <v>0.76800000000000002</v>
      </c>
      <c r="Y597">
        <v>140.34092390000001</v>
      </c>
      <c r="Z597">
        <v>0</v>
      </c>
      <c r="AA597">
        <v>90778</v>
      </c>
      <c r="AB597">
        <v>31662</v>
      </c>
      <c r="AC597">
        <v>3.1753482E-2</v>
      </c>
      <c r="AD597">
        <v>0.82960131100000001</v>
      </c>
      <c r="AF597">
        <v>12.99857143</v>
      </c>
      <c r="AG597">
        <v>5.2999999999999999E-2</v>
      </c>
      <c r="AH597">
        <v>2.4E-2</v>
      </c>
      <c r="AI597">
        <v>0.85799999999999998</v>
      </c>
      <c r="AJ597">
        <v>2.1800000000000002</v>
      </c>
      <c r="AK597">
        <v>7.5265591399999998</v>
      </c>
      <c r="AL597">
        <v>5.1999999999999998E-2</v>
      </c>
      <c r="AM597">
        <v>0.16800000000000001</v>
      </c>
      <c r="AN597">
        <v>0.76800000000000002</v>
      </c>
    </row>
    <row r="598" spans="1:40">
      <c r="A598">
        <v>2666</v>
      </c>
      <c r="B598" t="s">
        <v>701</v>
      </c>
      <c r="C598" t="s">
        <v>696</v>
      </c>
      <c r="D598" t="s">
        <v>697</v>
      </c>
      <c r="E598">
        <v>431</v>
      </c>
      <c r="F598">
        <v>1350</v>
      </c>
      <c r="G598">
        <v>34.100353579999997</v>
      </c>
      <c r="H598">
        <v>63</v>
      </c>
      <c r="I598">
        <v>5.3298516999999997E-2</v>
      </c>
      <c r="J598">
        <v>1413</v>
      </c>
      <c r="K598">
        <v>26511.05658</v>
      </c>
      <c r="L598">
        <v>0.82399999999999995</v>
      </c>
      <c r="M598">
        <v>0.12753036400000001</v>
      </c>
      <c r="N598">
        <v>0</v>
      </c>
      <c r="O598" t="s">
        <v>613</v>
      </c>
      <c r="P598">
        <f t="shared" si="83"/>
        <v>13.481984130000001</v>
      </c>
      <c r="Q598">
        <f t="shared" si="84"/>
        <v>3.7999999999999999E-2</v>
      </c>
      <c r="R598">
        <f t="shared" si="85"/>
        <v>2.1000000000000001E-2</v>
      </c>
      <c r="S598">
        <f t="shared" si="86"/>
        <v>0.82399999999999995</v>
      </c>
      <c r="T598">
        <f t="shared" si="87"/>
        <v>2.54</v>
      </c>
      <c r="U598">
        <f t="shared" si="88"/>
        <v>6.6992220419999997</v>
      </c>
      <c r="V598">
        <f t="shared" si="89"/>
        <v>1.4E-2</v>
      </c>
      <c r="W598">
        <f t="shared" si="90"/>
        <v>9.7000000000000003E-2</v>
      </c>
      <c r="X598">
        <f t="shared" si="91"/>
        <v>0.86899999999999999</v>
      </c>
      <c r="Y598">
        <v>38.283795210000001</v>
      </c>
      <c r="Z598">
        <v>0</v>
      </c>
      <c r="AA598">
        <v>22589</v>
      </c>
      <c r="AB598">
        <v>7233</v>
      </c>
      <c r="AC598">
        <v>3.8721845999999997E-2</v>
      </c>
      <c r="AD598">
        <v>0.78947076400000005</v>
      </c>
      <c r="AF598">
        <v>13.481984130000001</v>
      </c>
      <c r="AG598">
        <v>3.7999999999999999E-2</v>
      </c>
      <c r="AH598">
        <v>2.1000000000000001E-2</v>
      </c>
      <c r="AI598">
        <v>0.82399999999999995</v>
      </c>
      <c r="AJ598">
        <v>2.54</v>
      </c>
      <c r="AK598">
        <v>6.6992220419999997</v>
      </c>
      <c r="AL598">
        <v>1.4E-2</v>
      </c>
      <c r="AM598">
        <v>9.7000000000000003E-2</v>
      </c>
      <c r="AN598">
        <v>0.86899999999999999</v>
      </c>
    </row>
    <row r="599" spans="1:40">
      <c r="A599">
        <v>2667</v>
      </c>
      <c r="B599" t="s">
        <v>702</v>
      </c>
      <c r="C599" t="s">
        <v>696</v>
      </c>
      <c r="D599" t="s">
        <v>697</v>
      </c>
      <c r="E599">
        <v>393</v>
      </c>
      <c r="F599">
        <v>969</v>
      </c>
      <c r="G599">
        <v>66.594842799999995</v>
      </c>
      <c r="H599">
        <v>243</v>
      </c>
      <c r="I599">
        <v>0.10409649999999999</v>
      </c>
      <c r="J599">
        <v>1212</v>
      </c>
      <c r="K599">
        <v>11643.042750000001</v>
      </c>
      <c r="L599">
        <v>0.75700000000000001</v>
      </c>
      <c r="M599">
        <v>0.38207547200000003</v>
      </c>
      <c r="N599">
        <v>0</v>
      </c>
      <c r="O599" t="s">
        <v>613</v>
      </c>
      <c r="P599">
        <f t="shared" si="83"/>
        <v>13.22347826</v>
      </c>
      <c r="Q599">
        <f t="shared" si="84"/>
        <v>4.3999999999999997E-2</v>
      </c>
      <c r="R599">
        <f t="shared" si="85"/>
        <v>1.4E-2</v>
      </c>
      <c r="S599">
        <f t="shared" si="86"/>
        <v>0.75700000000000001</v>
      </c>
      <c r="T599">
        <f t="shared" si="87"/>
        <v>1.9850000000000001</v>
      </c>
      <c r="U599">
        <f t="shared" si="88"/>
        <v>7.3010769230000001</v>
      </c>
      <c r="V599">
        <f t="shared" si="89"/>
        <v>5.8000000000000003E-2</v>
      </c>
      <c r="W599">
        <f t="shared" si="90"/>
        <v>0.161</v>
      </c>
      <c r="X599">
        <f t="shared" si="91"/>
        <v>0.74199999999999999</v>
      </c>
      <c r="Y599">
        <v>89.886398839999998</v>
      </c>
      <c r="Z599">
        <v>0</v>
      </c>
      <c r="AA599">
        <v>90778</v>
      </c>
      <c r="AB599">
        <v>31662</v>
      </c>
      <c r="AC599">
        <v>3.1753482E-2</v>
      </c>
      <c r="AD599">
        <v>0.82960131100000001</v>
      </c>
      <c r="AF599">
        <v>13.22347826</v>
      </c>
      <c r="AG599">
        <v>4.3999999999999997E-2</v>
      </c>
      <c r="AH599">
        <v>1.4E-2</v>
      </c>
      <c r="AI599">
        <v>0.75700000000000001</v>
      </c>
      <c r="AJ599">
        <v>1.9850000000000001</v>
      </c>
      <c r="AK599">
        <v>7.3010769230000001</v>
      </c>
      <c r="AL599">
        <v>5.8000000000000003E-2</v>
      </c>
      <c r="AM599">
        <v>0.161</v>
      </c>
      <c r="AN599">
        <v>0.74199999999999999</v>
      </c>
    </row>
    <row r="600" spans="1:40">
      <c r="A600">
        <v>2668</v>
      </c>
      <c r="B600" t="s">
        <v>702</v>
      </c>
      <c r="C600" t="s">
        <v>696</v>
      </c>
      <c r="D600" t="s">
        <v>697</v>
      </c>
      <c r="E600">
        <v>389</v>
      </c>
      <c r="F600">
        <v>1068</v>
      </c>
      <c r="G600">
        <v>86.574676089999997</v>
      </c>
      <c r="H600">
        <v>138</v>
      </c>
      <c r="I600">
        <v>0.135326323</v>
      </c>
      <c r="J600">
        <v>1206</v>
      </c>
      <c r="K600">
        <v>8911.7916839999998</v>
      </c>
      <c r="L600">
        <v>0.88800000000000001</v>
      </c>
      <c r="M600">
        <v>0.26185958300000001</v>
      </c>
      <c r="N600">
        <v>0</v>
      </c>
      <c r="O600" t="s">
        <v>620</v>
      </c>
      <c r="P600">
        <f t="shared" si="83"/>
        <v>12.779026549999999</v>
      </c>
      <c r="Q600">
        <f t="shared" si="84"/>
        <v>1.2E-2</v>
      </c>
      <c r="R600">
        <f t="shared" si="85"/>
        <v>4.0000000000000001E-3</v>
      </c>
      <c r="S600">
        <f t="shared" si="86"/>
        <v>0.88800000000000001</v>
      </c>
      <c r="T600">
        <f t="shared" si="87"/>
        <v>0.83</v>
      </c>
      <c r="U600">
        <f t="shared" si="88"/>
        <v>6.9885599999999997</v>
      </c>
      <c r="V600">
        <f t="shared" si="89"/>
        <v>4.2301204819277106E-2</v>
      </c>
      <c r="W600">
        <f t="shared" si="90"/>
        <v>5.8000000000000003E-2</v>
      </c>
      <c r="X600">
        <f t="shared" si="91"/>
        <v>0.94199999999999995</v>
      </c>
      <c r="Y600">
        <v>148.4651289</v>
      </c>
      <c r="Z600">
        <v>0</v>
      </c>
      <c r="AA600">
        <v>90778</v>
      </c>
      <c r="AB600">
        <v>31662</v>
      </c>
      <c r="AC600">
        <v>3.1753482E-2</v>
      </c>
      <c r="AD600">
        <v>0.82960131100000001</v>
      </c>
      <c r="AF600">
        <v>12.779026549999999</v>
      </c>
      <c r="AG600">
        <v>1.2E-2</v>
      </c>
      <c r="AH600">
        <v>4.0000000000000001E-3</v>
      </c>
      <c r="AI600">
        <v>0.88800000000000001</v>
      </c>
      <c r="AJ600">
        <v>0.83</v>
      </c>
      <c r="AK600">
        <v>6.9885599999999997</v>
      </c>
      <c r="AL600">
        <v>0</v>
      </c>
      <c r="AM600">
        <v>5.8000000000000003E-2</v>
      </c>
      <c r="AN600">
        <v>0.94199999999999995</v>
      </c>
    </row>
    <row r="601" spans="1:40">
      <c r="A601">
        <v>2669</v>
      </c>
      <c r="B601" t="s">
        <v>705</v>
      </c>
      <c r="C601" t="s">
        <v>696</v>
      </c>
      <c r="D601" t="s">
        <v>697</v>
      </c>
      <c r="E601">
        <v>279</v>
      </c>
      <c r="F601">
        <v>957</v>
      </c>
      <c r="G601">
        <v>83.284532409999997</v>
      </c>
      <c r="H601">
        <v>525</v>
      </c>
      <c r="I601">
        <v>0.13019180999999999</v>
      </c>
      <c r="J601">
        <v>1482</v>
      </c>
      <c r="K601">
        <v>11383.204519999999</v>
      </c>
      <c r="L601">
        <v>0.84799999999999998</v>
      </c>
      <c r="M601">
        <v>0.65298507500000003</v>
      </c>
      <c r="N601">
        <v>1</v>
      </c>
      <c r="O601" t="s">
        <v>613</v>
      </c>
      <c r="P601">
        <f t="shared" si="83"/>
        <v>12.325200000000001</v>
      </c>
      <c r="Q601">
        <f t="shared" si="84"/>
        <v>2.9000000000000001E-2</v>
      </c>
      <c r="R601">
        <f t="shared" si="85"/>
        <v>2.1000000000000001E-2</v>
      </c>
      <c r="S601">
        <f t="shared" si="86"/>
        <v>0.84799999999999998</v>
      </c>
      <c r="T601">
        <f t="shared" si="87"/>
        <v>2.1800000000000002</v>
      </c>
      <c r="U601">
        <f t="shared" si="88"/>
        <v>7.0727168139999996</v>
      </c>
      <c r="V601">
        <f t="shared" si="89"/>
        <v>3.5000000000000003E-2</v>
      </c>
      <c r="W601">
        <f t="shared" si="90"/>
        <v>5.3999999999999999E-2</v>
      </c>
      <c r="X601">
        <f t="shared" si="91"/>
        <v>0.86599999999999999</v>
      </c>
      <c r="Y601">
        <v>97.556735560000007</v>
      </c>
      <c r="Z601">
        <v>0</v>
      </c>
      <c r="AA601">
        <v>152832</v>
      </c>
      <c r="AB601">
        <v>45686</v>
      </c>
      <c r="AC601">
        <v>2.1596295000000001E-2</v>
      </c>
      <c r="AD601">
        <v>0.84212384500000004</v>
      </c>
      <c r="AF601">
        <v>12.325200000000001</v>
      </c>
      <c r="AG601">
        <v>2.9000000000000001E-2</v>
      </c>
      <c r="AH601">
        <v>2.1000000000000001E-2</v>
      </c>
      <c r="AI601">
        <v>0.84799999999999998</v>
      </c>
      <c r="AJ601">
        <v>2.1800000000000002</v>
      </c>
      <c r="AK601">
        <v>7.0727168139999996</v>
      </c>
      <c r="AL601">
        <v>3.5000000000000003E-2</v>
      </c>
      <c r="AM601">
        <v>5.3999999999999999E-2</v>
      </c>
      <c r="AN601">
        <v>0.86599999999999999</v>
      </c>
    </row>
    <row r="602" spans="1:40">
      <c r="A602">
        <v>2670</v>
      </c>
      <c r="B602" t="s">
        <v>705</v>
      </c>
      <c r="C602" t="s">
        <v>696</v>
      </c>
      <c r="D602" t="s">
        <v>697</v>
      </c>
      <c r="E602">
        <v>339</v>
      </c>
      <c r="F602">
        <v>1266</v>
      </c>
      <c r="G602">
        <v>67.917861450000004</v>
      </c>
      <c r="H602">
        <v>55</v>
      </c>
      <c r="I602">
        <v>0.10616472</v>
      </c>
      <c r="J602">
        <v>1321</v>
      </c>
      <c r="K602">
        <v>12442.928309999999</v>
      </c>
      <c r="L602">
        <v>0.79600000000000004</v>
      </c>
      <c r="M602">
        <v>0.13959390899999999</v>
      </c>
      <c r="N602">
        <v>0</v>
      </c>
      <c r="O602" t="s">
        <v>620</v>
      </c>
      <c r="P602">
        <f t="shared" si="83"/>
        <v>15.361333330000001</v>
      </c>
      <c r="Q602">
        <f t="shared" si="84"/>
        <v>2.1999999999999999E-2</v>
      </c>
      <c r="R602">
        <f t="shared" si="85"/>
        <v>1.2999999999999999E-2</v>
      </c>
      <c r="S602">
        <f t="shared" si="86"/>
        <v>0.79600000000000004</v>
      </c>
      <c r="T602">
        <f t="shared" si="87"/>
        <v>1.5269999999999999</v>
      </c>
      <c r="U602">
        <f t="shared" si="88"/>
        <v>7.3856928210000001</v>
      </c>
      <c r="V602">
        <f t="shared" si="89"/>
        <v>1.9E-2</v>
      </c>
      <c r="W602">
        <f t="shared" si="90"/>
        <v>0.14799999999999999</v>
      </c>
      <c r="X602">
        <f t="shared" si="91"/>
        <v>0.83299999999999996</v>
      </c>
      <c r="Y602">
        <v>131.775721</v>
      </c>
      <c r="Z602">
        <v>0</v>
      </c>
      <c r="AA602">
        <v>152832</v>
      </c>
      <c r="AB602">
        <v>45686</v>
      </c>
      <c r="AC602">
        <v>2.1596295000000001E-2</v>
      </c>
      <c r="AD602">
        <v>0.84212384500000004</v>
      </c>
      <c r="AF602">
        <v>15.361333330000001</v>
      </c>
      <c r="AG602">
        <v>2.1999999999999999E-2</v>
      </c>
      <c r="AH602">
        <v>1.2999999999999999E-2</v>
      </c>
      <c r="AI602">
        <v>0.79600000000000004</v>
      </c>
      <c r="AJ602">
        <v>1.5269999999999999</v>
      </c>
      <c r="AK602">
        <v>7.3856928210000001</v>
      </c>
      <c r="AL602">
        <v>1.9E-2</v>
      </c>
      <c r="AM602">
        <v>0.14799999999999999</v>
      </c>
      <c r="AN602">
        <v>0.83299999999999996</v>
      </c>
    </row>
    <row r="603" spans="1:40">
      <c r="A603">
        <v>2671</v>
      </c>
      <c r="B603" t="s">
        <v>706</v>
      </c>
      <c r="C603" t="s">
        <v>684</v>
      </c>
      <c r="D603" t="s">
        <v>685</v>
      </c>
      <c r="E603">
        <v>541</v>
      </c>
      <c r="F603">
        <v>1683</v>
      </c>
      <c r="G603">
        <v>129.44098640000001</v>
      </c>
      <c r="H603">
        <v>38</v>
      </c>
      <c r="I603">
        <v>0.202325269</v>
      </c>
      <c r="J603">
        <v>1721</v>
      </c>
      <c r="K603">
        <v>8506.1050880000003</v>
      </c>
      <c r="L603">
        <v>0.86</v>
      </c>
      <c r="M603">
        <v>6.5630396999999993E-2</v>
      </c>
      <c r="N603">
        <v>0</v>
      </c>
      <c r="O603" t="s">
        <v>620</v>
      </c>
      <c r="P603">
        <f t="shared" si="83"/>
        <v>15.38247934</v>
      </c>
      <c r="Q603">
        <f t="shared" si="84"/>
        <v>2.1999999999999999E-2</v>
      </c>
      <c r="R603">
        <f t="shared" si="85"/>
        <v>4.0000000000000001E-3</v>
      </c>
      <c r="S603">
        <f t="shared" si="86"/>
        <v>0.86</v>
      </c>
      <c r="T603">
        <f t="shared" si="87"/>
        <v>1.595</v>
      </c>
      <c r="U603">
        <f t="shared" si="88"/>
        <v>7.3372727270000002</v>
      </c>
      <c r="V603">
        <f t="shared" si="89"/>
        <v>1.4999999999999999E-2</v>
      </c>
      <c r="W603">
        <f t="shared" si="90"/>
        <v>8.7999999999999995E-2</v>
      </c>
      <c r="X603">
        <f t="shared" si="91"/>
        <v>0.88300000000000001</v>
      </c>
      <c r="Y603">
        <v>117.0273095</v>
      </c>
      <c r="Z603">
        <v>0</v>
      </c>
      <c r="AA603">
        <v>47401</v>
      </c>
      <c r="AB603">
        <v>14616</v>
      </c>
      <c r="AC603">
        <v>1.1721782E-2</v>
      </c>
      <c r="AD603">
        <v>0.85588417900000002</v>
      </c>
      <c r="AF603">
        <v>15.38247934</v>
      </c>
      <c r="AG603">
        <v>2.1999999999999999E-2</v>
      </c>
      <c r="AH603">
        <v>4.0000000000000001E-3</v>
      </c>
      <c r="AI603">
        <v>0.86</v>
      </c>
      <c r="AJ603">
        <v>1.595</v>
      </c>
      <c r="AK603">
        <v>7.3372727270000002</v>
      </c>
      <c r="AL603">
        <v>1.4999999999999999E-2</v>
      </c>
      <c r="AM603">
        <v>8.7999999999999995E-2</v>
      </c>
      <c r="AN603">
        <v>0.88300000000000001</v>
      </c>
    </row>
    <row r="604" spans="1:40">
      <c r="A604">
        <v>2672</v>
      </c>
      <c r="B604" t="s">
        <v>708</v>
      </c>
      <c r="C604" t="s">
        <v>696</v>
      </c>
      <c r="D604" t="s">
        <v>697</v>
      </c>
      <c r="E604">
        <v>522</v>
      </c>
      <c r="F604">
        <v>1479</v>
      </c>
      <c r="G604">
        <v>68.22407226</v>
      </c>
      <c r="H604">
        <v>288</v>
      </c>
      <c r="I604">
        <v>0.10664512499999999</v>
      </c>
      <c r="J604">
        <v>1767</v>
      </c>
      <c r="K604">
        <v>16568.971160000001</v>
      </c>
      <c r="L604">
        <v>0.79100000000000004</v>
      </c>
      <c r="M604">
        <v>0.35555555599999999</v>
      </c>
      <c r="N604">
        <v>0</v>
      </c>
      <c r="O604" t="s">
        <v>613</v>
      </c>
      <c r="P604">
        <f t="shared" si="83"/>
        <v>10.58152381</v>
      </c>
      <c r="Q604">
        <f t="shared" si="84"/>
        <v>3.5999999999999997E-2</v>
      </c>
      <c r="R604">
        <f t="shared" si="85"/>
        <v>1.7999999999999999E-2</v>
      </c>
      <c r="S604">
        <f t="shared" si="86"/>
        <v>0.79100000000000004</v>
      </c>
      <c r="T604">
        <f t="shared" si="87"/>
        <v>1.856818182</v>
      </c>
      <c r="U604">
        <f t="shared" si="88"/>
        <v>6.0422570530000002</v>
      </c>
      <c r="V604">
        <f t="shared" si="89"/>
        <v>6.7000000000000004E-2</v>
      </c>
      <c r="W604">
        <f t="shared" si="90"/>
        <v>0.14000000000000001</v>
      </c>
      <c r="X604">
        <f t="shared" si="91"/>
        <v>0.7</v>
      </c>
      <c r="Y604">
        <v>97.770005499999996</v>
      </c>
      <c r="Z604">
        <v>0</v>
      </c>
      <c r="AA604">
        <v>14998</v>
      </c>
      <c r="AB604">
        <v>4485</v>
      </c>
      <c r="AC604">
        <v>2.8516413000000001E-2</v>
      </c>
      <c r="AD604">
        <v>0.81835686799999996</v>
      </c>
      <c r="AF604">
        <v>10.58152381</v>
      </c>
      <c r="AG604">
        <v>3.5999999999999997E-2</v>
      </c>
      <c r="AH604">
        <v>1.7999999999999999E-2</v>
      </c>
      <c r="AI604">
        <v>0.79100000000000004</v>
      </c>
      <c r="AJ604">
        <v>1.856818182</v>
      </c>
      <c r="AK604">
        <v>6.0422570530000002</v>
      </c>
      <c r="AL604">
        <v>6.7000000000000004E-2</v>
      </c>
      <c r="AM604">
        <v>0.14000000000000001</v>
      </c>
      <c r="AN604">
        <v>0.7</v>
      </c>
    </row>
    <row r="605" spans="1:40">
      <c r="A605">
        <v>2673</v>
      </c>
      <c r="B605" t="s">
        <v>705</v>
      </c>
      <c r="C605" t="s">
        <v>696</v>
      </c>
      <c r="D605" t="s">
        <v>697</v>
      </c>
      <c r="E605">
        <v>887</v>
      </c>
      <c r="F605">
        <v>3076</v>
      </c>
      <c r="G605">
        <v>412.00245489999998</v>
      </c>
      <c r="H605">
        <v>269</v>
      </c>
      <c r="I605">
        <v>0.64400176099999995</v>
      </c>
      <c r="J605">
        <v>3345</v>
      </c>
      <c r="K605">
        <v>5194.0851759999996</v>
      </c>
      <c r="L605">
        <v>0.875</v>
      </c>
      <c r="M605">
        <v>0.23269896200000001</v>
      </c>
      <c r="N605">
        <v>0</v>
      </c>
      <c r="O605" t="s">
        <v>620</v>
      </c>
      <c r="P605">
        <f t="shared" si="83"/>
        <v>16.955906250000002</v>
      </c>
      <c r="Q605">
        <f t="shared" si="84"/>
        <v>2.5000000000000001E-2</v>
      </c>
      <c r="R605">
        <f t="shared" si="85"/>
        <v>2.1999999999999999E-2</v>
      </c>
      <c r="S605">
        <f t="shared" si="86"/>
        <v>0.875</v>
      </c>
      <c r="T605">
        <f t="shared" si="87"/>
        <v>2.0918181819999999</v>
      </c>
      <c r="U605">
        <f t="shared" si="88"/>
        <v>9.9944461659999995</v>
      </c>
      <c r="V605">
        <f t="shared" si="89"/>
        <v>0.02</v>
      </c>
      <c r="W605">
        <f t="shared" si="90"/>
        <v>8.4000000000000005E-2</v>
      </c>
      <c r="X605">
        <f t="shared" si="91"/>
        <v>0.89600000000000002</v>
      </c>
      <c r="Y605">
        <v>53.314122779999998</v>
      </c>
      <c r="Z605">
        <v>0</v>
      </c>
      <c r="AA605">
        <v>152832</v>
      </c>
      <c r="AB605">
        <v>45686</v>
      </c>
      <c r="AC605">
        <v>2.1596295000000001E-2</v>
      </c>
      <c r="AD605">
        <v>0.84212384500000004</v>
      </c>
      <c r="AF605">
        <v>16.955906250000002</v>
      </c>
      <c r="AG605">
        <v>2.5000000000000001E-2</v>
      </c>
      <c r="AH605">
        <v>2.1999999999999999E-2</v>
      </c>
      <c r="AI605">
        <v>0.875</v>
      </c>
      <c r="AJ605">
        <v>2.0918181819999999</v>
      </c>
      <c r="AK605">
        <v>9.9944461659999995</v>
      </c>
      <c r="AL605">
        <v>0.02</v>
      </c>
      <c r="AM605">
        <v>8.4000000000000005E-2</v>
      </c>
      <c r="AN605">
        <v>0.89600000000000002</v>
      </c>
    </row>
    <row r="606" spans="1:40">
      <c r="A606">
        <v>2674</v>
      </c>
      <c r="B606" t="s">
        <v>705</v>
      </c>
      <c r="C606" t="s">
        <v>696</v>
      </c>
      <c r="D606" t="s">
        <v>697</v>
      </c>
      <c r="E606">
        <v>245</v>
      </c>
      <c r="F606">
        <v>941</v>
      </c>
      <c r="G606">
        <v>49.417743170000001</v>
      </c>
      <c r="H606">
        <v>0</v>
      </c>
      <c r="I606">
        <v>7.7240781999999994E-2</v>
      </c>
      <c r="J606">
        <v>941</v>
      </c>
      <c r="K606">
        <v>12182.683489999999</v>
      </c>
      <c r="L606">
        <v>0.79900000000000004</v>
      </c>
      <c r="M606">
        <v>0</v>
      </c>
      <c r="N606">
        <v>0</v>
      </c>
      <c r="O606" t="s">
        <v>620</v>
      </c>
      <c r="P606">
        <f t="shared" si="83"/>
        <v>12.47344444</v>
      </c>
      <c r="Q606">
        <f t="shared" si="84"/>
        <v>2.1999999999999999E-2</v>
      </c>
      <c r="R606">
        <f t="shared" si="85"/>
        <v>3.1E-2</v>
      </c>
      <c r="S606">
        <f t="shared" si="86"/>
        <v>0.79900000000000004</v>
      </c>
      <c r="T606">
        <f t="shared" si="87"/>
        <v>2.3256250000000001</v>
      </c>
      <c r="U606">
        <f t="shared" si="88"/>
        <v>7.4062311559999996</v>
      </c>
      <c r="V606">
        <f t="shared" si="89"/>
        <v>7.2999999999999995E-2</v>
      </c>
      <c r="W606">
        <f t="shared" si="90"/>
        <v>3.5999999999999997E-2</v>
      </c>
      <c r="X606">
        <f t="shared" si="91"/>
        <v>0.81799999999999995</v>
      </c>
      <c r="Y606">
        <v>61.223638360000002</v>
      </c>
      <c r="Z606">
        <v>0</v>
      </c>
      <c r="AA606">
        <v>152832</v>
      </c>
      <c r="AB606">
        <v>45686</v>
      </c>
      <c r="AC606">
        <v>2.1596295000000001E-2</v>
      </c>
      <c r="AD606">
        <v>0.84212384500000004</v>
      </c>
      <c r="AF606">
        <v>12.47344444</v>
      </c>
      <c r="AG606">
        <v>2.1999999999999999E-2</v>
      </c>
      <c r="AH606">
        <v>3.1E-2</v>
      </c>
      <c r="AI606">
        <v>0.79900000000000004</v>
      </c>
      <c r="AJ606">
        <v>2.3256250000000001</v>
      </c>
      <c r="AK606">
        <v>7.4062311559999996</v>
      </c>
      <c r="AL606">
        <v>7.2999999999999995E-2</v>
      </c>
      <c r="AM606">
        <v>3.5999999999999997E-2</v>
      </c>
      <c r="AN606">
        <v>0.81799999999999995</v>
      </c>
    </row>
    <row r="607" spans="1:40">
      <c r="A607">
        <v>2675</v>
      </c>
      <c r="B607" t="s">
        <v>686</v>
      </c>
      <c r="C607" t="s">
        <v>687</v>
      </c>
      <c r="D607" t="s">
        <v>688</v>
      </c>
      <c r="E607">
        <v>796</v>
      </c>
      <c r="F607">
        <v>3093</v>
      </c>
      <c r="G607">
        <v>46.438688139999996</v>
      </c>
      <c r="H607">
        <v>970</v>
      </c>
      <c r="I607">
        <v>7.2588125000000003E-2</v>
      </c>
      <c r="J607">
        <v>4063</v>
      </c>
      <c r="K607">
        <v>55973.342750000003</v>
      </c>
      <c r="L607">
        <v>0.45900000000000002</v>
      </c>
      <c r="M607">
        <v>0.54926387300000001</v>
      </c>
      <c r="N607">
        <v>1</v>
      </c>
      <c r="O607" t="s">
        <v>606</v>
      </c>
      <c r="P607">
        <f t="shared" si="83"/>
        <v>12.11931818</v>
      </c>
      <c r="Q607">
        <f t="shared" si="84"/>
        <v>9.0999999999999998E-2</v>
      </c>
      <c r="R607">
        <f t="shared" si="85"/>
        <v>5.8000000000000003E-2</v>
      </c>
      <c r="S607">
        <f t="shared" si="86"/>
        <v>0.45900000000000002</v>
      </c>
      <c r="T607">
        <f t="shared" si="87"/>
        <v>1.3920370369999999</v>
      </c>
      <c r="U607">
        <f t="shared" si="88"/>
        <v>6.5619477430000002</v>
      </c>
      <c r="V607">
        <f t="shared" si="89"/>
        <v>0.09</v>
      </c>
      <c r="W607">
        <f t="shared" si="90"/>
        <v>0.22700000000000001</v>
      </c>
      <c r="X607">
        <f t="shared" si="91"/>
        <v>0.40200000000000002</v>
      </c>
      <c r="Y607">
        <v>175.04592880000001</v>
      </c>
      <c r="Z607">
        <v>1</v>
      </c>
      <c r="AA607">
        <v>140316</v>
      </c>
      <c r="AB607">
        <v>49638</v>
      </c>
      <c r="AC607">
        <v>9.1283894000000004E-2</v>
      </c>
      <c r="AD607">
        <v>0.60339869999999995</v>
      </c>
      <c r="AF607">
        <v>12.11931818</v>
      </c>
      <c r="AG607">
        <v>9.0999999999999998E-2</v>
      </c>
      <c r="AH607">
        <v>5.8000000000000003E-2</v>
      </c>
      <c r="AI607">
        <v>0.45900000000000002</v>
      </c>
      <c r="AJ607">
        <v>1.3920370369999999</v>
      </c>
      <c r="AK607">
        <v>6.5619477430000002</v>
      </c>
      <c r="AL607">
        <v>0.09</v>
      </c>
      <c r="AM607">
        <v>0.22700000000000001</v>
      </c>
      <c r="AN607">
        <v>0.40200000000000002</v>
      </c>
    </row>
    <row r="608" spans="1:40">
      <c r="A608">
        <v>2676</v>
      </c>
      <c r="B608" t="s">
        <v>705</v>
      </c>
      <c r="C608" t="s">
        <v>696</v>
      </c>
      <c r="D608" t="s">
        <v>697</v>
      </c>
      <c r="E608">
        <v>490</v>
      </c>
      <c r="F608">
        <v>1503</v>
      </c>
      <c r="G608">
        <v>109.0372816</v>
      </c>
      <c r="H608">
        <v>294</v>
      </c>
      <c r="I608">
        <v>0.17044119499999999</v>
      </c>
      <c r="J608">
        <v>1797</v>
      </c>
      <c r="K608">
        <v>10543.225769999999</v>
      </c>
      <c r="L608">
        <v>0.82799999999999996</v>
      </c>
      <c r="M608">
        <v>0.375</v>
      </c>
      <c r="N608">
        <v>0</v>
      </c>
      <c r="O608" t="s">
        <v>620</v>
      </c>
      <c r="P608">
        <f t="shared" si="83"/>
        <v>10.732338710000001</v>
      </c>
      <c r="Q608">
        <f t="shared" si="84"/>
        <v>2.9000000000000001E-2</v>
      </c>
      <c r="R608">
        <f t="shared" si="85"/>
        <v>2.7E-2</v>
      </c>
      <c r="S608">
        <f t="shared" si="86"/>
        <v>0.82799999999999996</v>
      </c>
      <c r="T608">
        <f t="shared" si="87"/>
        <v>2.3008000000000002</v>
      </c>
      <c r="U608">
        <f t="shared" si="88"/>
        <v>5.9517073170000003</v>
      </c>
      <c r="V608">
        <f t="shared" si="89"/>
        <v>6.3E-2</v>
      </c>
      <c r="W608">
        <f t="shared" si="90"/>
        <v>0.12</v>
      </c>
      <c r="X608">
        <f t="shared" si="91"/>
        <v>0.78500000000000003</v>
      </c>
      <c r="Y608">
        <v>121.33876530000001</v>
      </c>
      <c r="Z608">
        <v>0</v>
      </c>
      <c r="AA608">
        <v>152832</v>
      </c>
      <c r="AB608">
        <v>45686</v>
      </c>
      <c r="AC608">
        <v>2.1596295000000001E-2</v>
      </c>
      <c r="AD608">
        <v>0.84212384500000004</v>
      </c>
      <c r="AF608">
        <v>10.732338710000001</v>
      </c>
      <c r="AG608">
        <v>2.9000000000000001E-2</v>
      </c>
      <c r="AH608">
        <v>2.7E-2</v>
      </c>
      <c r="AI608">
        <v>0.82799999999999996</v>
      </c>
      <c r="AJ608">
        <v>2.3008000000000002</v>
      </c>
      <c r="AK608">
        <v>5.9517073170000003</v>
      </c>
      <c r="AL608">
        <v>6.3E-2</v>
      </c>
      <c r="AM608">
        <v>0.12</v>
      </c>
      <c r="AN608">
        <v>0.78500000000000003</v>
      </c>
    </row>
    <row r="609" spans="1:40">
      <c r="A609">
        <v>2677</v>
      </c>
      <c r="B609" t="s">
        <v>703</v>
      </c>
      <c r="C609" t="s">
        <v>696</v>
      </c>
      <c r="D609" t="s">
        <v>697</v>
      </c>
      <c r="E609">
        <v>239</v>
      </c>
      <c r="F609">
        <v>769</v>
      </c>
      <c r="G609">
        <v>59.150603689999997</v>
      </c>
      <c r="H609">
        <v>94</v>
      </c>
      <c r="I609">
        <v>9.2457014000000004E-2</v>
      </c>
      <c r="J609">
        <v>863</v>
      </c>
      <c r="K609">
        <v>9334.0673970000007</v>
      </c>
      <c r="L609">
        <v>0.82299999999999995</v>
      </c>
      <c r="M609">
        <v>0.282282282</v>
      </c>
      <c r="N609">
        <v>0</v>
      </c>
      <c r="O609" t="s">
        <v>620</v>
      </c>
      <c r="P609">
        <f t="shared" si="83"/>
        <v>11.626538460000001</v>
      </c>
      <c r="Q609">
        <f t="shared" si="84"/>
        <v>3.5000000000000003E-2</v>
      </c>
      <c r="R609">
        <f t="shared" si="85"/>
        <v>2.7E-2</v>
      </c>
      <c r="S609">
        <f t="shared" si="86"/>
        <v>0.82299999999999995</v>
      </c>
      <c r="T609">
        <f t="shared" si="87"/>
        <v>2.6629999999999998</v>
      </c>
      <c r="U609">
        <f t="shared" si="88"/>
        <v>8.186968641</v>
      </c>
      <c r="V609">
        <f t="shared" si="89"/>
        <v>4.2999999999999997E-2</v>
      </c>
      <c r="W609">
        <f t="shared" si="90"/>
        <v>7.4999999999999997E-2</v>
      </c>
      <c r="X609">
        <f t="shared" si="91"/>
        <v>0.83899999999999997</v>
      </c>
      <c r="Y609">
        <v>205.27137640000001</v>
      </c>
      <c r="Z609">
        <v>0</v>
      </c>
      <c r="AA609">
        <v>27567</v>
      </c>
      <c r="AB609">
        <v>8371</v>
      </c>
      <c r="AC609">
        <v>2.6639960000000001E-2</v>
      </c>
      <c r="AD609">
        <v>0.83875813700000001</v>
      </c>
      <c r="AF609">
        <v>11.626538460000001</v>
      </c>
      <c r="AG609">
        <v>3.5000000000000003E-2</v>
      </c>
      <c r="AH609">
        <v>2.7E-2</v>
      </c>
      <c r="AI609">
        <v>0.82299999999999995</v>
      </c>
      <c r="AJ609">
        <v>2.6629999999999998</v>
      </c>
      <c r="AK609">
        <v>8.186968641</v>
      </c>
      <c r="AL609">
        <v>4.2999999999999997E-2</v>
      </c>
      <c r="AM609">
        <v>7.4999999999999997E-2</v>
      </c>
      <c r="AN609">
        <v>0.83899999999999997</v>
      </c>
    </row>
    <row r="610" spans="1:40">
      <c r="A610">
        <v>2678</v>
      </c>
      <c r="B610" t="s">
        <v>702</v>
      </c>
      <c r="C610" t="s">
        <v>696</v>
      </c>
      <c r="D610" t="s">
        <v>697</v>
      </c>
      <c r="E610">
        <v>462</v>
      </c>
      <c r="F610">
        <v>1524</v>
      </c>
      <c r="G610">
        <v>94.58525195</v>
      </c>
      <c r="H610">
        <v>52</v>
      </c>
      <c r="I610">
        <v>0.14784657500000001</v>
      </c>
      <c r="J610">
        <v>1576</v>
      </c>
      <c r="K610">
        <v>10659.69908</v>
      </c>
      <c r="L610">
        <v>0.873</v>
      </c>
      <c r="M610">
        <v>0.10116731499999999</v>
      </c>
      <c r="N610">
        <v>0</v>
      </c>
      <c r="O610" t="s">
        <v>620</v>
      </c>
      <c r="P610">
        <f t="shared" si="83"/>
        <v>11.06445313</v>
      </c>
      <c r="Q610">
        <f t="shared" si="84"/>
        <v>0.03</v>
      </c>
      <c r="R610">
        <f t="shared" si="85"/>
        <v>3.2000000000000001E-2</v>
      </c>
      <c r="S610">
        <f t="shared" si="86"/>
        <v>0.873</v>
      </c>
      <c r="T610">
        <f t="shared" si="87"/>
        <v>2.6476923079999999</v>
      </c>
      <c r="U610">
        <f t="shared" si="88"/>
        <v>6.74973607</v>
      </c>
      <c r="V610">
        <f t="shared" si="89"/>
        <v>5.8999999999999997E-2</v>
      </c>
      <c r="W610">
        <f t="shared" si="90"/>
        <v>9.1999999999999998E-2</v>
      </c>
      <c r="X610">
        <f t="shared" si="91"/>
        <v>0.83699999999999997</v>
      </c>
      <c r="Y610">
        <v>132.95338530000001</v>
      </c>
      <c r="Z610">
        <v>0</v>
      </c>
      <c r="AA610">
        <v>90778</v>
      </c>
      <c r="AB610">
        <v>31662</v>
      </c>
      <c r="AC610">
        <v>3.1753482E-2</v>
      </c>
      <c r="AD610">
        <v>0.82960131100000001</v>
      </c>
      <c r="AF610">
        <v>11.06445313</v>
      </c>
      <c r="AG610">
        <v>0.03</v>
      </c>
      <c r="AH610">
        <v>3.2000000000000001E-2</v>
      </c>
      <c r="AI610">
        <v>0.873</v>
      </c>
      <c r="AJ610">
        <v>2.6476923079999999</v>
      </c>
      <c r="AK610">
        <v>6.74973607</v>
      </c>
      <c r="AL610">
        <v>5.8999999999999997E-2</v>
      </c>
      <c r="AM610">
        <v>9.1999999999999998E-2</v>
      </c>
      <c r="AN610">
        <v>0.83699999999999997</v>
      </c>
    </row>
    <row r="611" spans="1:40">
      <c r="A611">
        <v>2679</v>
      </c>
      <c r="B611" t="s">
        <v>686</v>
      </c>
      <c r="C611" t="s">
        <v>687</v>
      </c>
      <c r="D611" t="s">
        <v>688</v>
      </c>
      <c r="E611">
        <v>367</v>
      </c>
      <c r="F611">
        <v>782</v>
      </c>
      <c r="G611">
        <v>41.743646220000002</v>
      </c>
      <c r="H611">
        <v>1233</v>
      </c>
      <c r="I611">
        <v>6.5251764000000004E-2</v>
      </c>
      <c r="J611">
        <v>2015</v>
      </c>
      <c r="K611">
        <v>30880.391220000001</v>
      </c>
      <c r="L611">
        <v>0.68899999999999995</v>
      </c>
      <c r="M611">
        <v>0.770625</v>
      </c>
      <c r="N611">
        <v>0</v>
      </c>
      <c r="O611" t="s">
        <v>606</v>
      </c>
      <c r="P611">
        <f t="shared" si="83"/>
        <v>13.66208333</v>
      </c>
      <c r="Q611">
        <f t="shared" si="84"/>
        <v>5.0999999999999997E-2</v>
      </c>
      <c r="R611">
        <f t="shared" si="85"/>
        <v>2.5999999999999999E-2</v>
      </c>
      <c r="S611">
        <f t="shared" si="86"/>
        <v>0.68899999999999995</v>
      </c>
      <c r="T611">
        <f t="shared" si="87"/>
        <v>1.8073684210000001</v>
      </c>
      <c r="U611">
        <f t="shared" si="88"/>
        <v>6.2226995939999998</v>
      </c>
      <c r="V611">
        <f t="shared" si="89"/>
        <v>5.1999999999999998E-2</v>
      </c>
      <c r="W611">
        <f t="shared" si="90"/>
        <v>0.151</v>
      </c>
      <c r="X611">
        <f t="shared" si="91"/>
        <v>0.66900000000000004</v>
      </c>
      <c r="Y611">
        <v>181.17815590000001</v>
      </c>
      <c r="Z611">
        <v>1</v>
      </c>
      <c r="AA611">
        <v>140316</v>
      </c>
      <c r="AB611">
        <v>49638</v>
      </c>
      <c r="AC611">
        <v>9.1283894000000004E-2</v>
      </c>
      <c r="AD611">
        <v>0.60339869999999995</v>
      </c>
      <c r="AF611">
        <v>13.66208333</v>
      </c>
      <c r="AG611">
        <v>5.0999999999999997E-2</v>
      </c>
      <c r="AH611">
        <v>2.5999999999999999E-2</v>
      </c>
      <c r="AI611">
        <v>0.68899999999999995</v>
      </c>
      <c r="AJ611">
        <v>1.8073684210000001</v>
      </c>
      <c r="AK611">
        <v>6.2226995939999998</v>
      </c>
      <c r="AL611">
        <v>5.1999999999999998E-2</v>
      </c>
      <c r="AM611">
        <v>0.151</v>
      </c>
      <c r="AN611">
        <v>0.66900000000000004</v>
      </c>
    </row>
    <row r="612" spans="1:40">
      <c r="A612">
        <v>2680</v>
      </c>
      <c r="B612" t="s">
        <v>689</v>
      </c>
      <c r="C612" t="s">
        <v>687</v>
      </c>
      <c r="D612" t="s">
        <v>688</v>
      </c>
      <c r="E612">
        <v>723</v>
      </c>
      <c r="F612">
        <v>1441</v>
      </c>
      <c r="G612">
        <v>39.568913879999997</v>
      </c>
      <c r="H612">
        <v>449</v>
      </c>
      <c r="I612">
        <v>6.1849604000000002E-2</v>
      </c>
      <c r="J612">
        <v>1890</v>
      </c>
      <c r="K612">
        <v>30557.996780000001</v>
      </c>
      <c r="L612">
        <v>0.69099999999999995</v>
      </c>
      <c r="M612">
        <v>0.383105802</v>
      </c>
      <c r="N612">
        <v>0</v>
      </c>
      <c r="O612" t="s">
        <v>613</v>
      </c>
      <c r="P612">
        <f t="shared" si="83"/>
        <v>8.9646666669999995</v>
      </c>
      <c r="Q612">
        <f t="shared" si="84"/>
        <v>6.4000000000000001E-2</v>
      </c>
      <c r="R612">
        <f t="shared" si="85"/>
        <v>5.0999999999999997E-2</v>
      </c>
      <c r="S612">
        <f t="shared" si="86"/>
        <v>0.69099999999999995</v>
      </c>
      <c r="T612">
        <f t="shared" si="87"/>
        <v>2.0014864860000001</v>
      </c>
      <c r="U612">
        <f t="shared" si="88"/>
        <v>6.1678806579999996</v>
      </c>
      <c r="V612">
        <f t="shared" si="89"/>
        <v>9.1999999999999998E-2</v>
      </c>
      <c r="W612">
        <f t="shared" si="90"/>
        <v>0.20699999999999999</v>
      </c>
      <c r="X612">
        <f t="shared" si="91"/>
        <v>0.61</v>
      </c>
      <c r="Y612">
        <v>175.1109549</v>
      </c>
      <c r="Z612">
        <v>0</v>
      </c>
      <c r="AA612">
        <v>454184</v>
      </c>
      <c r="AB612">
        <v>170596</v>
      </c>
      <c r="AC612">
        <v>6.5715274000000004E-2</v>
      </c>
      <c r="AD612">
        <v>0.72549415100000003</v>
      </c>
      <c r="AF612">
        <v>8.9646666669999995</v>
      </c>
      <c r="AG612">
        <v>6.4000000000000001E-2</v>
      </c>
      <c r="AH612">
        <v>5.0999999999999997E-2</v>
      </c>
      <c r="AI612">
        <v>0.69099999999999995</v>
      </c>
      <c r="AJ612">
        <v>2.0014864860000001</v>
      </c>
      <c r="AK612">
        <v>6.1678806579999996</v>
      </c>
      <c r="AL612">
        <v>9.1999999999999998E-2</v>
      </c>
      <c r="AM612">
        <v>0.20699999999999999</v>
      </c>
      <c r="AN612">
        <v>0.61</v>
      </c>
    </row>
    <row r="613" spans="1:40">
      <c r="A613">
        <v>2681</v>
      </c>
      <c r="B613" t="s">
        <v>686</v>
      </c>
      <c r="C613" t="s">
        <v>687</v>
      </c>
      <c r="D613" t="s">
        <v>688</v>
      </c>
      <c r="E613">
        <v>533</v>
      </c>
      <c r="F613">
        <v>1344</v>
      </c>
      <c r="G613">
        <v>43.453610580000003</v>
      </c>
      <c r="H613">
        <v>65</v>
      </c>
      <c r="I613">
        <v>6.7926365000000002E-2</v>
      </c>
      <c r="J613">
        <v>1409</v>
      </c>
      <c r="K613">
        <v>20743.050210000001</v>
      </c>
      <c r="L613">
        <v>0.70899999999999996</v>
      </c>
      <c r="M613">
        <v>0.108695652</v>
      </c>
      <c r="N613">
        <v>0</v>
      </c>
      <c r="O613" t="s">
        <v>613</v>
      </c>
      <c r="P613">
        <f t="shared" si="83"/>
        <v>8.8735164839999996</v>
      </c>
      <c r="Q613">
        <f t="shared" si="84"/>
        <v>9.7000000000000003E-2</v>
      </c>
      <c r="R613">
        <f t="shared" si="85"/>
        <v>3.9E-2</v>
      </c>
      <c r="S613">
        <f t="shared" si="86"/>
        <v>0.70899999999999996</v>
      </c>
      <c r="T613">
        <f t="shared" si="87"/>
        <v>1.6096428570000001</v>
      </c>
      <c r="U613">
        <f t="shared" si="88"/>
        <v>5.5122509959999997</v>
      </c>
      <c r="V613">
        <f t="shared" si="89"/>
        <v>8.3000000000000004E-2</v>
      </c>
      <c r="W613">
        <f t="shared" si="90"/>
        <v>0.28199999999999997</v>
      </c>
      <c r="X613">
        <f t="shared" si="91"/>
        <v>0.58299999999999996</v>
      </c>
      <c r="Y613">
        <v>187.04339150000001</v>
      </c>
      <c r="Z613">
        <v>1</v>
      </c>
      <c r="AA613">
        <v>140316</v>
      </c>
      <c r="AB613">
        <v>49638</v>
      </c>
      <c r="AC613">
        <v>9.1283894000000004E-2</v>
      </c>
      <c r="AD613">
        <v>0.60339869999999995</v>
      </c>
      <c r="AF613">
        <v>8.8735164839999996</v>
      </c>
      <c r="AG613">
        <v>9.7000000000000003E-2</v>
      </c>
      <c r="AH613">
        <v>3.9E-2</v>
      </c>
      <c r="AI613">
        <v>0.70899999999999996</v>
      </c>
      <c r="AJ613">
        <v>1.6096428570000001</v>
      </c>
      <c r="AK613">
        <v>5.5122509959999997</v>
      </c>
      <c r="AL613">
        <v>8.3000000000000004E-2</v>
      </c>
      <c r="AM613">
        <v>0.28199999999999997</v>
      </c>
      <c r="AN613">
        <v>0.58299999999999996</v>
      </c>
    </row>
    <row r="614" spans="1:40">
      <c r="A614">
        <v>2682</v>
      </c>
      <c r="B614" t="s">
        <v>705</v>
      </c>
      <c r="C614" t="s">
        <v>696</v>
      </c>
      <c r="D614" t="s">
        <v>697</v>
      </c>
      <c r="E614">
        <v>247</v>
      </c>
      <c r="F614">
        <v>691</v>
      </c>
      <c r="G614">
        <v>480.57976780000001</v>
      </c>
      <c r="H614">
        <v>266</v>
      </c>
      <c r="I614">
        <v>0.75119692500000002</v>
      </c>
      <c r="J614">
        <v>957</v>
      </c>
      <c r="K614">
        <v>1273.966876</v>
      </c>
      <c r="L614">
        <v>0.89</v>
      </c>
      <c r="M614">
        <v>0.51851851900000001</v>
      </c>
      <c r="N614">
        <v>0</v>
      </c>
      <c r="O614" t="s">
        <v>620</v>
      </c>
      <c r="P614">
        <f t="shared" si="83"/>
        <v>14.244999999999999</v>
      </c>
      <c r="Q614">
        <f t="shared" si="84"/>
        <v>3.2000000000000001E-2</v>
      </c>
      <c r="R614">
        <f t="shared" si="85"/>
        <v>3.2000000000000001E-2</v>
      </c>
      <c r="S614">
        <f t="shared" si="86"/>
        <v>0.89</v>
      </c>
      <c r="T614">
        <f t="shared" si="87"/>
        <v>3.252857143</v>
      </c>
      <c r="U614">
        <f t="shared" si="88"/>
        <v>9.2335068489999994</v>
      </c>
      <c r="V614">
        <f t="shared" si="89"/>
        <v>3.7999999999999999E-2</v>
      </c>
      <c r="W614">
        <f t="shared" si="90"/>
        <v>0.115</v>
      </c>
      <c r="X614">
        <f t="shared" si="91"/>
        <v>0.82699999999999996</v>
      </c>
      <c r="Y614">
        <v>20.477233930000001</v>
      </c>
      <c r="Z614">
        <v>0</v>
      </c>
      <c r="AA614">
        <v>152832</v>
      </c>
      <c r="AB614">
        <v>45686</v>
      </c>
      <c r="AC614">
        <v>2.1596295000000001E-2</v>
      </c>
      <c r="AD614">
        <v>0.84212384500000004</v>
      </c>
      <c r="AF614">
        <v>14.244999999999999</v>
      </c>
      <c r="AG614">
        <v>3.2000000000000001E-2</v>
      </c>
      <c r="AH614">
        <v>3.2000000000000001E-2</v>
      </c>
      <c r="AI614">
        <v>0.89</v>
      </c>
      <c r="AJ614">
        <v>3.252857143</v>
      </c>
      <c r="AK614">
        <v>9.2335068489999994</v>
      </c>
      <c r="AL614">
        <v>3.7999999999999999E-2</v>
      </c>
      <c r="AM614">
        <v>0.115</v>
      </c>
      <c r="AN614">
        <v>0.82699999999999996</v>
      </c>
    </row>
    <row r="615" spans="1:40">
      <c r="A615">
        <v>2683</v>
      </c>
      <c r="B615" t="s">
        <v>689</v>
      </c>
      <c r="C615" t="s">
        <v>687</v>
      </c>
      <c r="D615" t="s">
        <v>688</v>
      </c>
      <c r="E615">
        <v>270</v>
      </c>
      <c r="F615">
        <v>717</v>
      </c>
      <c r="G615">
        <v>79.969579390000007</v>
      </c>
      <c r="H615">
        <v>0</v>
      </c>
      <c r="I615">
        <v>0.12500237</v>
      </c>
      <c r="J615">
        <v>717</v>
      </c>
      <c r="K615">
        <v>5735.8912479999999</v>
      </c>
      <c r="L615">
        <v>0.86399999999999999</v>
      </c>
      <c r="M615">
        <v>0</v>
      </c>
      <c r="N615">
        <v>0</v>
      </c>
      <c r="O615" t="s">
        <v>620</v>
      </c>
      <c r="P615">
        <f t="shared" si="83"/>
        <v>9.6825454549999996</v>
      </c>
      <c r="Q615">
        <f t="shared" si="84"/>
        <v>1.4999999999999999E-2</v>
      </c>
      <c r="R615">
        <f t="shared" si="85"/>
        <v>5.2999999999999999E-2</v>
      </c>
      <c r="S615">
        <f t="shared" si="86"/>
        <v>0.86399999999999999</v>
      </c>
      <c r="T615">
        <f t="shared" si="87"/>
        <v>3.291428571</v>
      </c>
      <c r="U615">
        <f t="shared" si="88"/>
        <v>7.4079816510000001</v>
      </c>
      <c r="V615">
        <f t="shared" si="89"/>
        <v>0.11600000000000001</v>
      </c>
      <c r="W615">
        <f t="shared" si="90"/>
        <v>5.8000000000000003E-2</v>
      </c>
      <c r="X615">
        <f t="shared" si="91"/>
        <v>0.79700000000000004</v>
      </c>
      <c r="Y615">
        <v>273.13338929999998</v>
      </c>
      <c r="Z615">
        <v>0</v>
      </c>
      <c r="AA615">
        <v>454184</v>
      </c>
      <c r="AB615">
        <v>170596</v>
      </c>
      <c r="AC615">
        <v>6.5715274000000004E-2</v>
      </c>
      <c r="AD615">
        <v>0.72549415100000003</v>
      </c>
      <c r="AF615">
        <v>9.6825454549999996</v>
      </c>
      <c r="AG615">
        <v>1.4999999999999999E-2</v>
      </c>
      <c r="AH615">
        <v>5.2999999999999999E-2</v>
      </c>
      <c r="AI615">
        <v>0.86399999999999999</v>
      </c>
      <c r="AJ615">
        <v>3.291428571</v>
      </c>
      <c r="AK615">
        <v>7.4079816510000001</v>
      </c>
      <c r="AL615">
        <v>0.11600000000000001</v>
      </c>
      <c r="AM615">
        <v>5.8000000000000003E-2</v>
      </c>
      <c r="AN615">
        <v>0.79700000000000004</v>
      </c>
    </row>
    <row r="616" spans="1:40">
      <c r="A616">
        <v>2684</v>
      </c>
      <c r="B616" t="s">
        <v>702</v>
      </c>
      <c r="C616" t="s">
        <v>696</v>
      </c>
      <c r="D616" t="s">
        <v>697</v>
      </c>
      <c r="E616">
        <v>272</v>
      </c>
      <c r="F616">
        <v>738</v>
      </c>
      <c r="G616">
        <v>121.93789510000001</v>
      </c>
      <c r="H616">
        <v>8</v>
      </c>
      <c r="I616">
        <v>0.19060524200000001</v>
      </c>
      <c r="J616">
        <v>746</v>
      </c>
      <c r="K616">
        <v>3913.8482880000001</v>
      </c>
      <c r="L616">
        <v>0.86499999999999999</v>
      </c>
      <c r="M616">
        <v>2.8571428999999999E-2</v>
      </c>
      <c r="N616">
        <v>0</v>
      </c>
      <c r="O616" t="s">
        <v>620</v>
      </c>
      <c r="P616">
        <f t="shared" si="83"/>
        <v>13.395217389999999</v>
      </c>
      <c r="Q616">
        <f t="shared" si="84"/>
        <v>4.5999999999999999E-2</v>
      </c>
      <c r="R616">
        <f t="shared" si="85"/>
        <v>2.5000000000000001E-2</v>
      </c>
      <c r="S616">
        <f t="shared" si="86"/>
        <v>0.86499999999999999</v>
      </c>
      <c r="T616">
        <f t="shared" si="87"/>
        <v>2.5489999999999999</v>
      </c>
      <c r="U616">
        <f t="shared" si="88"/>
        <v>6.8530188680000004</v>
      </c>
      <c r="V616">
        <f t="shared" si="89"/>
        <v>4.7E-2</v>
      </c>
      <c r="W616">
        <f t="shared" si="90"/>
        <v>0.14099999999999999</v>
      </c>
      <c r="X616">
        <f t="shared" si="91"/>
        <v>0.81200000000000006</v>
      </c>
      <c r="Y616">
        <v>88.372340210000004</v>
      </c>
      <c r="Z616">
        <v>0</v>
      </c>
      <c r="AA616">
        <v>90778</v>
      </c>
      <c r="AB616">
        <v>31662</v>
      </c>
      <c r="AC616">
        <v>3.1753482E-2</v>
      </c>
      <c r="AD616">
        <v>0.82960131100000001</v>
      </c>
      <c r="AF616">
        <v>13.395217389999999</v>
      </c>
      <c r="AG616">
        <v>4.5999999999999999E-2</v>
      </c>
      <c r="AH616">
        <v>2.5000000000000001E-2</v>
      </c>
      <c r="AI616">
        <v>0.86499999999999999</v>
      </c>
      <c r="AJ616">
        <v>2.5489999999999999</v>
      </c>
      <c r="AK616">
        <v>6.8530188680000004</v>
      </c>
      <c r="AL616">
        <v>4.7E-2</v>
      </c>
      <c r="AM616">
        <v>0.14099999999999999</v>
      </c>
      <c r="AN616">
        <v>0.81200000000000006</v>
      </c>
    </row>
    <row r="617" spans="1:40">
      <c r="A617">
        <v>2685</v>
      </c>
      <c r="B617" t="s">
        <v>702</v>
      </c>
      <c r="C617" t="s">
        <v>696</v>
      </c>
      <c r="D617" t="s">
        <v>697</v>
      </c>
      <c r="E617">
        <v>374</v>
      </c>
      <c r="F617">
        <v>966</v>
      </c>
      <c r="G617">
        <v>72.909848120000007</v>
      </c>
      <c r="H617">
        <v>96</v>
      </c>
      <c r="I617">
        <v>0.11396428</v>
      </c>
      <c r="J617">
        <v>1062</v>
      </c>
      <c r="K617">
        <v>9318.7093359999999</v>
      </c>
      <c r="L617">
        <v>0.82399999999999995</v>
      </c>
      <c r="M617">
        <v>0.20425531899999999</v>
      </c>
      <c r="N617">
        <v>0</v>
      </c>
      <c r="O617" t="s">
        <v>613</v>
      </c>
      <c r="P617">
        <f t="shared" si="83"/>
        <v>12.961981979999999</v>
      </c>
      <c r="Q617">
        <f t="shared" si="84"/>
        <v>3.6999999999999998E-2</v>
      </c>
      <c r="R617">
        <f t="shared" si="85"/>
        <v>2.1000000000000001E-2</v>
      </c>
      <c r="S617">
        <f t="shared" si="86"/>
        <v>0.82399999999999995</v>
      </c>
      <c r="T617">
        <f t="shared" si="87"/>
        <v>2.182352941</v>
      </c>
      <c r="U617">
        <f t="shared" si="88"/>
        <v>6.5956528929999996</v>
      </c>
      <c r="V617">
        <f t="shared" si="89"/>
        <v>2.9000000000000001E-2</v>
      </c>
      <c r="W617">
        <f t="shared" si="90"/>
        <v>0.114</v>
      </c>
      <c r="X617">
        <f t="shared" si="91"/>
        <v>0.79300000000000004</v>
      </c>
      <c r="Y617">
        <v>120.0055405</v>
      </c>
      <c r="Z617">
        <v>0</v>
      </c>
      <c r="AA617">
        <v>90778</v>
      </c>
      <c r="AB617">
        <v>31662</v>
      </c>
      <c r="AC617">
        <v>3.1753482E-2</v>
      </c>
      <c r="AD617">
        <v>0.82960131100000001</v>
      </c>
      <c r="AF617">
        <v>12.961981979999999</v>
      </c>
      <c r="AG617">
        <v>3.6999999999999998E-2</v>
      </c>
      <c r="AH617">
        <v>2.1000000000000001E-2</v>
      </c>
      <c r="AI617">
        <v>0.82399999999999995</v>
      </c>
      <c r="AJ617">
        <v>2.182352941</v>
      </c>
      <c r="AK617">
        <v>6.5956528929999996</v>
      </c>
      <c r="AL617">
        <v>2.9000000000000001E-2</v>
      </c>
      <c r="AM617">
        <v>0.114</v>
      </c>
      <c r="AN617">
        <v>0.79300000000000004</v>
      </c>
    </row>
    <row r="618" spans="1:40">
      <c r="A618">
        <v>2686</v>
      </c>
      <c r="B618" t="s">
        <v>702</v>
      </c>
      <c r="C618" t="s">
        <v>696</v>
      </c>
      <c r="D618" t="s">
        <v>697</v>
      </c>
      <c r="E618">
        <v>302</v>
      </c>
      <c r="F618">
        <v>756</v>
      </c>
      <c r="G618">
        <v>61.711336490000001</v>
      </c>
      <c r="H618">
        <v>1024</v>
      </c>
      <c r="I618">
        <v>9.6461878000000001E-2</v>
      </c>
      <c r="J618">
        <v>1780</v>
      </c>
      <c r="K618">
        <v>18452.885610000001</v>
      </c>
      <c r="L618">
        <v>0.83899999999999997</v>
      </c>
      <c r="M618">
        <v>0.77224736000000005</v>
      </c>
      <c r="N618">
        <v>0</v>
      </c>
      <c r="O618" t="s">
        <v>620</v>
      </c>
      <c r="P618">
        <f t="shared" si="83"/>
        <v>12.89912037</v>
      </c>
      <c r="Q618">
        <f t="shared" si="84"/>
        <v>2.5999999999999999E-2</v>
      </c>
      <c r="R618">
        <f t="shared" si="85"/>
        <v>2.1999999999999999E-2</v>
      </c>
      <c r="S618">
        <f t="shared" si="86"/>
        <v>0.83899999999999997</v>
      </c>
      <c r="T618">
        <f t="shared" si="87"/>
        <v>2.7248387100000002</v>
      </c>
      <c r="U618">
        <f t="shared" si="88"/>
        <v>7.8399034240000001</v>
      </c>
      <c r="V618">
        <f t="shared" si="89"/>
        <v>4.7E-2</v>
      </c>
      <c r="W618">
        <f t="shared" si="90"/>
        <v>8.5999999999999993E-2</v>
      </c>
      <c r="X618">
        <f t="shared" si="91"/>
        <v>0.84399999999999997</v>
      </c>
      <c r="Y618">
        <v>86.729261179999995</v>
      </c>
      <c r="Z618">
        <v>0</v>
      </c>
      <c r="AA618">
        <v>90778</v>
      </c>
      <c r="AB618">
        <v>31662</v>
      </c>
      <c r="AC618">
        <v>3.1753482E-2</v>
      </c>
      <c r="AD618">
        <v>0.82960131100000001</v>
      </c>
      <c r="AF618">
        <v>12.89912037</v>
      </c>
      <c r="AG618">
        <v>2.5999999999999999E-2</v>
      </c>
      <c r="AH618">
        <v>2.1999999999999999E-2</v>
      </c>
      <c r="AI618">
        <v>0.83899999999999997</v>
      </c>
      <c r="AJ618">
        <v>2.7248387100000002</v>
      </c>
      <c r="AK618">
        <v>7.8399034240000001</v>
      </c>
      <c r="AL618">
        <v>4.7E-2</v>
      </c>
      <c r="AM618">
        <v>8.5999999999999993E-2</v>
      </c>
      <c r="AN618">
        <v>0.84399999999999997</v>
      </c>
    </row>
    <row r="619" spans="1:40">
      <c r="A619">
        <v>2687</v>
      </c>
      <c r="B619" t="s">
        <v>702</v>
      </c>
      <c r="C619" t="s">
        <v>696</v>
      </c>
      <c r="D619" t="s">
        <v>697</v>
      </c>
      <c r="E619">
        <v>272</v>
      </c>
      <c r="F619">
        <v>772</v>
      </c>
      <c r="G619">
        <v>62.30406378</v>
      </c>
      <c r="H619">
        <v>61</v>
      </c>
      <c r="I619">
        <v>9.7389165E-2</v>
      </c>
      <c r="J619">
        <v>833</v>
      </c>
      <c r="K619">
        <v>8553.312887</v>
      </c>
      <c r="L619">
        <v>0.79900000000000004</v>
      </c>
      <c r="M619">
        <v>0.183183183</v>
      </c>
      <c r="N619">
        <v>0</v>
      </c>
      <c r="O619" t="s">
        <v>620</v>
      </c>
      <c r="P619">
        <f t="shared" si="83"/>
        <v>7.8789473680000004</v>
      </c>
      <c r="Q619">
        <f t="shared" si="84"/>
        <v>2.4E-2</v>
      </c>
      <c r="R619">
        <f t="shared" si="85"/>
        <v>3.1E-2</v>
      </c>
      <c r="S619">
        <f t="shared" si="86"/>
        <v>0.79900000000000004</v>
      </c>
      <c r="T619">
        <f t="shared" si="87"/>
        <v>1.993571429</v>
      </c>
      <c r="U619">
        <f t="shared" si="88"/>
        <v>6.202464183</v>
      </c>
      <c r="V619">
        <f t="shared" si="89"/>
        <v>6.4000000000000001E-2</v>
      </c>
      <c r="W619">
        <f t="shared" si="90"/>
        <v>8.5000000000000006E-2</v>
      </c>
      <c r="X619">
        <f t="shared" si="91"/>
        <v>0.80900000000000005</v>
      </c>
      <c r="Y619">
        <v>164.0117903</v>
      </c>
      <c r="Z619">
        <v>0</v>
      </c>
      <c r="AA619">
        <v>90778</v>
      </c>
      <c r="AB619">
        <v>31662</v>
      </c>
      <c r="AC619">
        <v>3.1753482E-2</v>
      </c>
      <c r="AD619">
        <v>0.82960131100000001</v>
      </c>
      <c r="AF619">
        <v>7.8789473680000004</v>
      </c>
      <c r="AG619">
        <v>2.4E-2</v>
      </c>
      <c r="AH619">
        <v>3.1E-2</v>
      </c>
      <c r="AI619">
        <v>0.79900000000000004</v>
      </c>
      <c r="AJ619">
        <v>1.993571429</v>
      </c>
      <c r="AK619">
        <v>6.202464183</v>
      </c>
      <c r="AL619">
        <v>6.4000000000000001E-2</v>
      </c>
      <c r="AM619">
        <v>8.5000000000000006E-2</v>
      </c>
      <c r="AN619">
        <v>0.80900000000000005</v>
      </c>
    </row>
    <row r="620" spans="1:40">
      <c r="A620">
        <v>2688</v>
      </c>
      <c r="B620" t="s">
        <v>686</v>
      </c>
      <c r="C620" t="s">
        <v>687</v>
      </c>
      <c r="D620" t="s">
        <v>688</v>
      </c>
      <c r="E620">
        <v>412</v>
      </c>
      <c r="F620">
        <v>1328</v>
      </c>
      <c r="G620">
        <v>28.09047077</v>
      </c>
      <c r="H620">
        <v>176</v>
      </c>
      <c r="I620">
        <v>4.3909603999999998E-2</v>
      </c>
      <c r="J620">
        <v>1504</v>
      </c>
      <c r="K620">
        <v>34252.187740000001</v>
      </c>
      <c r="L620">
        <v>0.68799999999999994</v>
      </c>
      <c r="M620">
        <v>0.29931972800000001</v>
      </c>
      <c r="N620">
        <v>1</v>
      </c>
      <c r="O620" t="s">
        <v>613</v>
      </c>
      <c r="P620">
        <f t="shared" si="83"/>
        <v>10.97538462</v>
      </c>
      <c r="Q620">
        <f t="shared" si="84"/>
        <v>0.08</v>
      </c>
      <c r="R620">
        <f t="shared" si="85"/>
        <v>3.4000000000000002E-2</v>
      </c>
      <c r="S620">
        <f t="shared" si="86"/>
        <v>0.68799999999999994</v>
      </c>
      <c r="T620">
        <f t="shared" si="87"/>
        <v>1.862708333</v>
      </c>
      <c r="U620">
        <f t="shared" si="88"/>
        <v>5.4679104479999996</v>
      </c>
      <c r="V620">
        <f t="shared" si="89"/>
        <v>7.0999999999999994E-2</v>
      </c>
      <c r="W620">
        <f t="shared" si="90"/>
        <v>0.254</v>
      </c>
      <c r="X620">
        <f t="shared" si="91"/>
        <v>0.59599999999999997</v>
      </c>
      <c r="Y620">
        <v>167.34275769999999</v>
      </c>
      <c r="Z620">
        <v>1</v>
      </c>
      <c r="AA620">
        <v>140316</v>
      </c>
      <c r="AB620">
        <v>49638</v>
      </c>
      <c r="AC620">
        <v>9.1283894000000004E-2</v>
      </c>
      <c r="AD620">
        <v>0.60339869999999995</v>
      </c>
      <c r="AF620">
        <v>10.97538462</v>
      </c>
      <c r="AG620">
        <v>0.08</v>
      </c>
      <c r="AH620">
        <v>3.4000000000000002E-2</v>
      </c>
      <c r="AI620">
        <v>0.68799999999999994</v>
      </c>
      <c r="AJ620">
        <v>1.862708333</v>
      </c>
      <c r="AK620">
        <v>5.4679104479999996</v>
      </c>
      <c r="AL620">
        <v>7.0999999999999994E-2</v>
      </c>
      <c r="AM620">
        <v>0.254</v>
      </c>
      <c r="AN620">
        <v>0.59599999999999997</v>
      </c>
    </row>
    <row r="621" spans="1:40">
      <c r="A621">
        <v>2689</v>
      </c>
      <c r="B621" t="s">
        <v>702</v>
      </c>
      <c r="C621" t="s">
        <v>696</v>
      </c>
      <c r="D621" t="s">
        <v>697</v>
      </c>
      <c r="E621">
        <v>687</v>
      </c>
      <c r="F621">
        <v>2392</v>
      </c>
      <c r="G621">
        <v>102.9067263</v>
      </c>
      <c r="H621">
        <v>282</v>
      </c>
      <c r="I621">
        <v>0.16085534600000001</v>
      </c>
      <c r="J621">
        <v>2674</v>
      </c>
      <c r="K621">
        <v>16623.631519999999</v>
      </c>
      <c r="L621">
        <v>0.81799999999999995</v>
      </c>
      <c r="M621">
        <v>0.29102167200000001</v>
      </c>
      <c r="N621">
        <v>1</v>
      </c>
      <c r="O621" t="s">
        <v>613</v>
      </c>
      <c r="P621">
        <f t="shared" si="83"/>
        <v>12.94074286</v>
      </c>
      <c r="Q621">
        <f t="shared" si="84"/>
        <v>4.5999999999999999E-2</v>
      </c>
      <c r="R621">
        <f t="shared" si="85"/>
        <v>1.2E-2</v>
      </c>
      <c r="S621">
        <f t="shared" si="86"/>
        <v>0.81799999999999995</v>
      </c>
      <c r="T621">
        <f t="shared" si="87"/>
        <v>2.1274999999999999</v>
      </c>
      <c r="U621">
        <f t="shared" si="88"/>
        <v>6.1645714290000004</v>
      </c>
      <c r="V621">
        <f t="shared" si="89"/>
        <v>2.3E-2</v>
      </c>
      <c r="W621">
        <f t="shared" si="90"/>
        <v>0.14099999999999999</v>
      </c>
      <c r="X621">
        <f t="shared" si="91"/>
        <v>0.82199999999999995</v>
      </c>
      <c r="Y621">
        <v>81.702968769999998</v>
      </c>
      <c r="Z621">
        <v>0</v>
      </c>
      <c r="AA621">
        <v>90778</v>
      </c>
      <c r="AB621">
        <v>31662</v>
      </c>
      <c r="AC621">
        <v>3.1753482E-2</v>
      </c>
      <c r="AD621">
        <v>0.82960131100000001</v>
      </c>
      <c r="AF621">
        <v>12.94074286</v>
      </c>
      <c r="AG621">
        <v>4.5999999999999999E-2</v>
      </c>
      <c r="AH621">
        <v>1.2E-2</v>
      </c>
      <c r="AI621">
        <v>0.81799999999999995</v>
      </c>
      <c r="AJ621">
        <v>2.1274999999999999</v>
      </c>
      <c r="AK621">
        <v>6.1645714290000004</v>
      </c>
      <c r="AL621">
        <v>2.3E-2</v>
      </c>
      <c r="AM621">
        <v>0.14099999999999999</v>
      </c>
      <c r="AN621">
        <v>0.82199999999999995</v>
      </c>
    </row>
    <row r="622" spans="1:40">
      <c r="A622">
        <v>2690</v>
      </c>
      <c r="B622" t="s">
        <v>702</v>
      </c>
      <c r="C622" t="s">
        <v>696</v>
      </c>
      <c r="D622" t="s">
        <v>697</v>
      </c>
      <c r="E622">
        <v>323</v>
      </c>
      <c r="F622">
        <v>896</v>
      </c>
      <c r="G622">
        <v>63.491267149999999</v>
      </c>
      <c r="H622">
        <v>69</v>
      </c>
      <c r="I622">
        <v>9.9242375999999993E-2</v>
      </c>
      <c r="J622">
        <v>965</v>
      </c>
      <c r="K622">
        <v>9723.6688489999997</v>
      </c>
      <c r="L622">
        <v>0.83899999999999997</v>
      </c>
      <c r="M622">
        <v>0.17602040799999999</v>
      </c>
      <c r="N622">
        <v>0</v>
      </c>
      <c r="O622" t="s">
        <v>613</v>
      </c>
      <c r="P622">
        <f t="shared" si="83"/>
        <v>11.06054348</v>
      </c>
      <c r="Q622">
        <f t="shared" si="84"/>
        <v>2.4E-2</v>
      </c>
      <c r="R622">
        <f t="shared" si="85"/>
        <v>2.5000000000000001E-2</v>
      </c>
      <c r="S622">
        <f t="shared" si="86"/>
        <v>0.83899999999999997</v>
      </c>
      <c r="T622">
        <f t="shared" si="87"/>
        <v>1.49875</v>
      </c>
      <c r="U622">
        <f t="shared" si="88"/>
        <v>5.82904</v>
      </c>
      <c r="V622">
        <f t="shared" si="89"/>
        <v>1.9E-2</v>
      </c>
      <c r="W622">
        <f t="shared" si="90"/>
        <v>5.8000000000000003E-2</v>
      </c>
      <c r="X622">
        <f t="shared" si="91"/>
        <v>0.88500000000000001</v>
      </c>
      <c r="Y622">
        <v>107.579097</v>
      </c>
      <c r="Z622">
        <v>0</v>
      </c>
      <c r="AA622">
        <v>90778</v>
      </c>
      <c r="AB622">
        <v>31662</v>
      </c>
      <c r="AC622">
        <v>3.1753482E-2</v>
      </c>
      <c r="AD622">
        <v>0.82960131100000001</v>
      </c>
      <c r="AF622">
        <v>11.06054348</v>
      </c>
      <c r="AG622">
        <v>2.4E-2</v>
      </c>
      <c r="AH622">
        <v>2.5000000000000001E-2</v>
      </c>
      <c r="AI622">
        <v>0.83899999999999997</v>
      </c>
      <c r="AJ622">
        <v>1.49875</v>
      </c>
      <c r="AK622">
        <v>5.82904</v>
      </c>
      <c r="AL622">
        <v>1.9E-2</v>
      </c>
      <c r="AM622">
        <v>5.8000000000000003E-2</v>
      </c>
      <c r="AN622">
        <v>0.88500000000000001</v>
      </c>
    </row>
    <row r="623" spans="1:40">
      <c r="A623">
        <v>2691</v>
      </c>
      <c r="B623" t="s">
        <v>690</v>
      </c>
      <c r="C623" t="s">
        <v>687</v>
      </c>
      <c r="D623" t="s">
        <v>688</v>
      </c>
      <c r="E623">
        <v>458</v>
      </c>
      <c r="F623">
        <v>1132</v>
      </c>
      <c r="G623">
        <v>72.108533059999999</v>
      </c>
      <c r="H623">
        <v>3</v>
      </c>
      <c r="I623">
        <v>0.112711795</v>
      </c>
      <c r="J623">
        <v>1135</v>
      </c>
      <c r="K623">
        <v>10069.93101</v>
      </c>
      <c r="L623">
        <v>0.79100000000000004</v>
      </c>
      <c r="M623">
        <v>6.5075920000000004E-3</v>
      </c>
      <c r="N623">
        <v>0</v>
      </c>
      <c r="O623" t="s">
        <v>620</v>
      </c>
      <c r="P623">
        <f t="shared" si="83"/>
        <v>10.5512</v>
      </c>
      <c r="Q623">
        <f t="shared" si="84"/>
        <v>7.1999999999999995E-2</v>
      </c>
      <c r="R623">
        <f t="shared" si="85"/>
        <v>0.04</v>
      </c>
      <c r="S623">
        <f t="shared" si="86"/>
        <v>0.79100000000000004</v>
      </c>
      <c r="T623">
        <f t="shared" si="87"/>
        <v>2.2875000000000001</v>
      </c>
      <c r="U623">
        <f t="shared" si="88"/>
        <v>6.5154033770000002</v>
      </c>
      <c r="V623">
        <f t="shared" si="89"/>
        <v>5.2999999999999999E-2</v>
      </c>
      <c r="W623">
        <f t="shared" si="90"/>
        <v>0.27</v>
      </c>
      <c r="X623">
        <f t="shared" si="91"/>
        <v>0.65800000000000003</v>
      </c>
      <c r="Y623">
        <v>350.01456409999997</v>
      </c>
      <c r="Z623">
        <v>0</v>
      </c>
      <c r="AA623">
        <v>82284</v>
      </c>
      <c r="AB623">
        <v>32030</v>
      </c>
      <c r="AC623">
        <v>4.7570397E-2</v>
      </c>
      <c r="AD623">
        <v>0.78974696300000002</v>
      </c>
      <c r="AF623">
        <v>10.5512</v>
      </c>
      <c r="AG623">
        <v>7.1999999999999995E-2</v>
      </c>
      <c r="AH623">
        <v>0.04</v>
      </c>
      <c r="AI623">
        <v>0.79100000000000004</v>
      </c>
      <c r="AJ623">
        <v>2.2875000000000001</v>
      </c>
      <c r="AK623">
        <v>6.5154033770000002</v>
      </c>
      <c r="AL623">
        <v>5.2999999999999999E-2</v>
      </c>
      <c r="AM623">
        <v>0.27</v>
      </c>
      <c r="AN623">
        <v>0.65800000000000003</v>
      </c>
    </row>
    <row r="624" spans="1:40">
      <c r="A624">
        <v>2692</v>
      </c>
      <c r="B624" t="s">
        <v>704</v>
      </c>
      <c r="C624" t="s">
        <v>687</v>
      </c>
      <c r="D624" t="s">
        <v>688</v>
      </c>
      <c r="E624">
        <v>386</v>
      </c>
      <c r="F624">
        <v>1101</v>
      </c>
      <c r="G624">
        <v>112.1842963</v>
      </c>
      <c r="H624">
        <v>733</v>
      </c>
      <c r="I624">
        <v>0.17535848200000001</v>
      </c>
      <c r="J624">
        <v>1834</v>
      </c>
      <c r="K624">
        <v>10458.575940000001</v>
      </c>
      <c r="L624">
        <v>0.83099999999999996</v>
      </c>
      <c r="M624">
        <v>0.65504915100000005</v>
      </c>
      <c r="N624">
        <v>0</v>
      </c>
      <c r="O624" t="s">
        <v>620</v>
      </c>
      <c r="P624">
        <f t="shared" si="83"/>
        <v>12.739122139999999</v>
      </c>
      <c r="Q624">
        <f t="shared" si="84"/>
        <v>0.03</v>
      </c>
      <c r="R624">
        <f t="shared" si="85"/>
        <v>3.2000000000000001E-2</v>
      </c>
      <c r="S624">
        <f t="shared" si="86"/>
        <v>0.83099999999999996</v>
      </c>
      <c r="T624">
        <f t="shared" si="87"/>
        <v>2.4798275859999999</v>
      </c>
      <c r="U624">
        <f t="shared" si="88"/>
        <v>6.7239819320000001</v>
      </c>
      <c r="V624">
        <f t="shared" si="89"/>
        <v>7.6999999999999999E-2</v>
      </c>
      <c r="W624">
        <f t="shared" si="90"/>
        <v>0.104</v>
      </c>
      <c r="X624">
        <f t="shared" si="91"/>
        <v>0.77500000000000002</v>
      </c>
      <c r="Y624">
        <v>213.89164439999999</v>
      </c>
      <c r="Z624">
        <v>0</v>
      </c>
      <c r="AA624">
        <v>11276</v>
      </c>
      <c r="AB624">
        <v>3933</v>
      </c>
      <c r="AC624">
        <v>3.4575116000000003E-2</v>
      </c>
      <c r="AD624">
        <v>0.79388848300000003</v>
      </c>
      <c r="AF624">
        <v>12.739122139999999</v>
      </c>
      <c r="AG624">
        <v>0.03</v>
      </c>
      <c r="AH624">
        <v>3.2000000000000001E-2</v>
      </c>
      <c r="AI624">
        <v>0.83099999999999996</v>
      </c>
      <c r="AJ624">
        <v>2.4798275859999999</v>
      </c>
      <c r="AK624">
        <v>6.7239819320000001</v>
      </c>
      <c r="AL624">
        <v>7.6999999999999999E-2</v>
      </c>
      <c r="AM624">
        <v>0.104</v>
      </c>
      <c r="AN624">
        <v>0.77500000000000002</v>
      </c>
    </row>
    <row r="625" spans="1:40">
      <c r="A625">
        <v>2693</v>
      </c>
      <c r="B625" t="s">
        <v>689</v>
      </c>
      <c r="C625" t="s">
        <v>687</v>
      </c>
      <c r="D625" t="s">
        <v>688</v>
      </c>
      <c r="E625">
        <v>409</v>
      </c>
      <c r="F625">
        <v>752</v>
      </c>
      <c r="G625">
        <v>31.50845292</v>
      </c>
      <c r="H625">
        <v>380</v>
      </c>
      <c r="I625">
        <v>4.9254618999999999E-2</v>
      </c>
      <c r="J625">
        <v>1132</v>
      </c>
      <c r="K625">
        <v>22982.616109999999</v>
      </c>
      <c r="L625">
        <v>0.73699999999999999</v>
      </c>
      <c r="M625">
        <v>0.48162230700000003</v>
      </c>
      <c r="N625">
        <v>0</v>
      </c>
      <c r="O625" t="s">
        <v>613</v>
      </c>
      <c r="P625">
        <f t="shared" si="83"/>
        <v>9.0088983050000007</v>
      </c>
      <c r="Q625">
        <f t="shared" si="84"/>
        <v>0.04</v>
      </c>
      <c r="R625">
        <f t="shared" si="85"/>
        <v>4.1000000000000002E-2</v>
      </c>
      <c r="S625">
        <f t="shared" si="86"/>
        <v>0.73699999999999999</v>
      </c>
      <c r="T625">
        <f t="shared" si="87"/>
        <v>2.0745</v>
      </c>
      <c r="U625">
        <f t="shared" si="88"/>
        <v>6.0901892289999999</v>
      </c>
      <c r="V625">
        <f t="shared" si="89"/>
        <v>0.10100000000000001</v>
      </c>
      <c r="W625">
        <f t="shared" si="90"/>
        <v>0.13600000000000001</v>
      </c>
      <c r="X625">
        <f t="shared" si="91"/>
        <v>0.69799999999999995</v>
      </c>
      <c r="Y625">
        <v>177.1006232</v>
      </c>
      <c r="Z625">
        <v>0</v>
      </c>
      <c r="AA625">
        <v>454184</v>
      </c>
      <c r="AB625">
        <v>170596</v>
      </c>
      <c r="AC625">
        <v>6.5715274000000004E-2</v>
      </c>
      <c r="AD625">
        <v>0.72549415100000003</v>
      </c>
      <c r="AF625">
        <v>9.0088983050000007</v>
      </c>
      <c r="AG625">
        <v>0.04</v>
      </c>
      <c r="AH625">
        <v>4.1000000000000002E-2</v>
      </c>
      <c r="AI625">
        <v>0.73699999999999999</v>
      </c>
      <c r="AJ625">
        <v>2.0745</v>
      </c>
      <c r="AK625">
        <v>6.0901892289999999</v>
      </c>
      <c r="AL625">
        <v>0.10100000000000001</v>
      </c>
      <c r="AM625">
        <v>0.13600000000000001</v>
      </c>
      <c r="AN625">
        <v>0.69799999999999995</v>
      </c>
    </row>
    <row r="626" spans="1:40">
      <c r="A626">
        <v>2694</v>
      </c>
      <c r="B626" t="s">
        <v>689</v>
      </c>
      <c r="C626" t="s">
        <v>687</v>
      </c>
      <c r="D626" t="s">
        <v>688</v>
      </c>
      <c r="E626">
        <v>259</v>
      </c>
      <c r="F626">
        <v>953</v>
      </c>
      <c r="G626">
        <v>19.050849169999999</v>
      </c>
      <c r="H626">
        <v>46</v>
      </c>
      <c r="I626">
        <v>2.9780290000000001E-2</v>
      </c>
      <c r="J626">
        <v>999</v>
      </c>
      <c r="K626">
        <v>33545.677360000001</v>
      </c>
      <c r="L626">
        <v>0.64400000000000002</v>
      </c>
      <c r="M626">
        <v>0.15081967199999999</v>
      </c>
      <c r="N626">
        <v>0</v>
      </c>
      <c r="O626" t="s">
        <v>606</v>
      </c>
      <c r="P626">
        <f t="shared" si="83"/>
        <v>11.96385965</v>
      </c>
      <c r="Q626">
        <f t="shared" si="84"/>
        <v>6.0999999999999999E-2</v>
      </c>
      <c r="R626">
        <f t="shared" si="85"/>
        <v>4.4999999999999998E-2</v>
      </c>
      <c r="S626">
        <f t="shared" si="86"/>
        <v>0.64400000000000002</v>
      </c>
      <c r="T626">
        <f t="shared" si="87"/>
        <v>2.134615385</v>
      </c>
      <c r="U626">
        <f t="shared" si="88"/>
        <v>6.081303116</v>
      </c>
      <c r="V626">
        <f t="shared" si="89"/>
        <v>0.13900000000000001</v>
      </c>
      <c r="W626">
        <f t="shared" si="90"/>
        <v>0.19800000000000001</v>
      </c>
      <c r="X626">
        <f t="shared" si="91"/>
        <v>0.56399999999999995</v>
      </c>
      <c r="Y626">
        <v>134.62574699999999</v>
      </c>
      <c r="Z626">
        <v>0</v>
      </c>
      <c r="AA626">
        <v>454184</v>
      </c>
      <c r="AB626">
        <v>170596</v>
      </c>
      <c r="AC626">
        <v>6.5715274000000004E-2</v>
      </c>
      <c r="AD626">
        <v>0.72549415100000003</v>
      </c>
      <c r="AF626">
        <v>11.96385965</v>
      </c>
      <c r="AG626">
        <v>6.0999999999999999E-2</v>
      </c>
      <c r="AH626">
        <v>4.4999999999999998E-2</v>
      </c>
      <c r="AI626">
        <v>0.64400000000000002</v>
      </c>
      <c r="AJ626">
        <v>2.134615385</v>
      </c>
      <c r="AK626">
        <v>6.081303116</v>
      </c>
      <c r="AL626">
        <v>0.13900000000000001</v>
      </c>
      <c r="AM626">
        <v>0.19800000000000001</v>
      </c>
      <c r="AN626">
        <v>0.56399999999999995</v>
      </c>
    </row>
    <row r="627" spans="1:40">
      <c r="A627">
        <v>2695</v>
      </c>
      <c r="B627" t="s">
        <v>689</v>
      </c>
      <c r="C627" t="s">
        <v>687</v>
      </c>
      <c r="D627" t="s">
        <v>688</v>
      </c>
      <c r="E627">
        <v>593</v>
      </c>
      <c r="F627">
        <v>1611</v>
      </c>
      <c r="G627">
        <v>47.185130559999998</v>
      </c>
      <c r="H627">
        <v>144</v>
      </c>
      <c r="I627">
        <v>7.3753622000000005E-2</v>
      </c>
      <c r="J627">
        <v>1755</v>
      </c>
      <c r="K627">
        <v>23795.44153</v>
      </c>
      <c r="L627">
        <v>0.57299999999999995</v>
      </c>
      <c r="M627">
        <v>0.19538670299999999</v>
      </c>
      <c r="N627">
        <v>0</v>
      </c>
      <c r="O627" t="s">
        <v>606</v>
      </c>
      <c r="P627">
        <f t="shared" si="83"/>
        <v>10.61875</v>
      </c>
      <c r="Q627">
        <f t="shared" si="84"/>
        <v>0.09</v>
      </c>
      <c r="R627">
        <f t="shared" si="85"/>
        <v>4.9000000000000002E-2</v>
      </c>
      <c r="S627">
        <f t="shared" si="86"/>
        <v>0.57299999999999995</v>
      </c>
      <c r="T627">
        <f t="shared" si="87"/>
        <v>1.8393999999999999</v>
      </c>
      <c r="U627">
        <f t="shared" si="88"/>
        <v>5.1387830689999996</v>
      </c>
      <c r="V627">
        <f t="shared" si="89"/>
        <v>8.5000000000000006E-2</v>
      </c>
      <c r="W627">
        <f t="shared" si="90"/>
        <v>0.20599999999999999</v>
      </c>
      <c r="X627">
        <f t="shared" si="91"/>
        <v>0.442</v>
      </c>
      <c r="Y627">
        <v>252.0656281</v>
      </c>
      <c r="Z627">
        <v>0</v>
      </c>
      <c r="AA627">
        <v>454184</v>
      </c>
      <c r="AB627">
        <v>170596</v>
      </c>
      <c r="AC627">
        <v>6.5715274000000004E-2</v>
      </c>
      <c r="AD627">
        <v>0.72549415100000003</v>
      </c>
      <c r="AF627">
        <v>10.61875</v>
      </c>
      <c r="AG627">
        <v>0.09</v>
      </c>
      <c r="AH627">
        <v>4.9000000000000002E-2</v>
      </c>
      <c r="AI627">
        <v>0.57299999999999995</v>
      </c>
      <c r="AJ627">
        <v>1.8393999999999999</v>
      </c>
      <c r="AK627">
        <v>5.1387830689999996</v>
      </c>
      <c r="AL627">
        <v>8.5000000000000006E-2</v>
      </c>
      <c r="AM627">
        <v>0.20599999999999999</v>
      </c>
      <c r="AN627">
        <v>0.442</v>
      </c>
    </row>
    <row r="628" spans="1:40">
      <c r="A628">
        <v>2696</v>
      </c>
      <c r="B628" t="s">
        <v>689</v>
      </c>
      <c r="C628" t="s">
        <v>687</v>
      </c>
      <c r="D628" t="s">
        <v>688</v>
      </c>
      <c r="E628">
        <v>509</v>
      </c>
      <c r="F628">
        <v>1356</v>
      </c>
      <c r="G628">
        <v>105.33924709999999</v>
      </c>
      <c r="H628">
        <v>104</v>
      </c>
      <c r="I628">
        <v>0.164665745</v>
      </c>
      <c r="J628">
        <v>1460</v>
      </c>
      <c r="K628">
        <v>8866.4463880000003</v>
      </c>
      <c r="L628">
        <v>0.81299999999999994</v>
      </c>
      <c r="M628">
        <v>0.169657423</v>
      </c>
      <c r="N628">
        <v>0</v>
      </c>
      <c r="O628" t="s">
        <v>620</v>
      </c>
      <c r="P628">
        <f t="shared" si="83"/>
        <v>9.8681944440000002</v>
      </c>
      <c r="Q628">
        <f t="shared" si="84"/>
        <v>5.1999999999999998E-2</v>
      </c>
      <c r="R628">
        <f t="shared" si="85"/>
        <v>4.5999999999999999E-2</v>
      </c>
      <c r="S628">
        <f t="shared" si="86"/>
        <v>0.81299999999999994</v>
      </c>
      <c r="T628">
        <f t="shared" si="87"/>
        <v>2.9487179490000002</v>
      </c>
      <c r="U628">
        <f t="shared" si="88"/>
        <v>7.1358346089999998</v>
      </c>
      <c r="V628">
        <f t="shared" si="89"/>
        <v>8.1000000000000003E-2</v>
      </c>
      <c r="W628">
        <f t="shared" si="90"/>
        <v>0.182</v>
      </c>
      <c r="X628">
        <f t="shared" si="91"/>
        <v>0.72699999999999998</v>
      </c>
      <c r="Y628">
        <v>117.83617529999999</v>
      </c>
      <c r="Z628">
        <v>0</v>
      </c>
      <c r="AA628">
        <v>454184</v>
      </c>
      <c r="AB628">
        <v>170596</v>
      </c>
      <c r="AC628">
        <v>6.5715274000000004E-2</v>
      </c>
      <c r="AD628">
        <v>0.72549415100000003</v>
      </c>
      <c r="AF628">
        <v>9.8681944440000002</v>
      </c>
      <c r="AG628">
        <v>5.1999999999999998E-2</v>
      </c>
      <c r="AH628">
        <v>4.5999999999999999E-2</v>
      </c>
      <c r="AI628">
        <v>0.81299999999999994</v>
      </c>
      <c r="AJ628">
        <v>2.9487179490000002</v>
      </c>
      <c r="AK628">
        <v>7.1358346089999998</v>
      </c>
      <c r="AL628">
        <v>8.1000000000000003E-2</v>
      </c>
      <c r="AM628">
        <v>0.182</v>
      </c>
      <c r="AN628">
        <v>0.72699999999999998</v>
      </c>
    </row>
    <row r="629" spans="1:40">
      <c r="A629">
        <v>2697</v>
      </c>
      <c r="B629" t="s">
        <v>689</v>
      </c>
      <c r="C629" t="s">
        <v>687</v>
      </c>
      <c r="D629" t="s">
        <v>688</v>
      </c>
      <c r="E629">
        <v>396</v>
      </c>
      <c r="F629">
        <v>1051</v>
      </c>
      <c r="G629">
        <v>102.3816958</v>
      </c>
      <c r="H629">
        <v>354</v>
      </c>
      <c r="I629">
        <v>0.16003835899999999</v>
      </c>
      <c r="J629">
        <v>1405</v>
      </c>
      <c r="K629">
        <v>8779.1452549999995</v>
      </c>
      <c r="L629">
        <v>0.873</v>
      </c>
      <c r="M629">
        <v>0.47199999999999998</v>
      </c>
      <c r="N629">
        <v>0</v>
      </c>
      <c r="O629" t="s">
        <v>620</v>
      </c>
      <c r="P629">
        <f t="shared" si="83"/>
        <v>10.82296053</v>
      </c>
      <c r="Q629">
        <f t="shared" si="84"/>
        <v>1.2E-2</v>
      </c>
      <c r="R629">
        <f t="shared" si="85"/>
        <v>3.1E-2</v>
      </c>
      <c r="S629">
        <f t="shared" si="86"/>
        <v>0.873</v>
      </c>
      <c r="T629">
        <f t="shared" si="87"/>
        <v>2.8196666669999999</v>
      </c>
      <c r="U629">
        <f t="shared" si="88"/>
        <v>7.0589898990000002</v>
      </c>
      <c r="V629">
        <f t="shared" si="89"/>
        <v>2.4E-2</v>
      </c>
      <c r="W629">
        <f t="shared" si="90"/>
        <v>4.9000000000000002E-2</v>
      </c>
      <c r="X629">
        <f t="shared" si="91"/>
        <v>0.92700000000000005</v>
      </c>
      <c r="Y629">
        <v>118.6470788</v>
      </c>
      <c r="Z629">
        <v>0</v>
      </c>
      <c r="AA629">
        <v>454184</v>
      </c>
      <c r="AB629">
        <v>170596</v>
      </c>
      <c r="AC629">
        <v>6.5715274000000004E-2</v>
      </c>
      <c r="AD629">
        <v>0.72549415100000003</v>
      </c>
      <c r="AF629">
        <v>10.82296053</v>
      </c>
      <c r="AG629">
        <v>1.2E-2</v>
      </c>
      <c r="AH629">
        <v>3.1E-2</v>
      </c>
      <c r="AI629">
        <v>0.873</v>
      </c>
      <c r="AJ629">
        <v>2.8196666669999999</v>
      </c>
      <c r="AK629">
        <v>7.0589898990000002</v>
      </c>
      <c r="AL629">
        <v>2.4E-2</v>
      </c>
      <c r="AM629">
        <v>4.9000000000000002E-2</v>
      </c>
      <c r="AN629">
        <v>0.92700000000000005</v>
      </c>
    </row>
    <row r="630" spans="1:40">
      <c r="A630">
        <v>2698</v>
      </c>
      <c r="B630" t="s">
        <v>689</v>
      </c>
      <c r="C630" t="s">
        <v>687</v>
      </c>
      <c r="D630" t="s">
        <v>688</v>
      </c>
      <c r="E630">
        <v>459</v>
      </c>
      <c r="F630">
        <v>1034</v>
      </c>
      <c r="G630">
        <v>59.05243935</v>
      </c>
      <c r="H630">
        <v>186</v>
      </c>
      <c r="I630">
        <v>9.2310111E-2</v>
      </c>
      <c r="J630">
        <v>1220</v>
      </c>
      <c r="K630">
        <v>13216.320369999999</v>
      </c>
      <c r="L630">
        <v>0.77900000000000003</v>
      </c>
      <c r="M630">
        <v>0.288372093</v>
      </c>
      <c r="N630">
        <v>0</v>
      </c>
      <c r="O630" t="s">
        <v>613</v>
      </c>
      <c r="P630">
        <f t="shared" si="83"/>
        <v>7.58392</v>
      </c>
      <c r="Q630">
        <f t="shared" si="84"/>
        <v>5.7000000000000002E-2</v>
      </c>
      <c r="R630">
        <f t="shared" si="85"/>
        <v>3.4000000000000002E-2</v>
      </c>
      <c r="S630">
        <f t="shared" si="86"/>
        <v>0.77900000000000003</v>
      </c>
      <c r="T630">
        <f t="shared" si="87"/>
        <v>2.1087096769999998</v>
      </c>
      <c r="U630">
        <f t="shared" si="88"/>
        <v>5.6432238809999999</v>
      </c>
      <c r="V630">
        <f t="shared" si="89"/>
        <v>4.1000000000000002E-2</v>
      </c>
      <c r="W630">
        <f t="shared" si="90"/>
        <v>0.20499999999999999</v>
      </c>
      <c r="X630">
        <f t="shared" si="91"/>
        <v>0.73099999999999998</v>
      </c>
      <c r="Y630">
        <v>208.8510599</v>
      </c>
      <c r="Z630">
        <v>0</v>
      </c>
      <c r="AA630">
        <v>454184</v>
      </c>
      <c r="AB630">
        <v>170596</v>
      </c>
      <c r="AC630">
        <v>6.5715274000000004E-2</v>
      </c>
      <c r="AD630">
        <v>0.72549415100000003</v>
      </c>
      <c r="AF630">
        <v>7.58392</v>
      </c>
      <c r="AG630">
        <v>5.7000000000000002E-2</v>
      </c>
      <c r="AH630">
        <v>3.4000000000000002E-2</v>
      </c>
      <c r="AI630">
        <v>0.77900000000000003</v>
      </c>
      <c r="AJ630">
        <v>2.1087096769999998</v>
      </c>
      <c r="AK630">
        <v>5.6432238809999999</v>
      </c>
      <c r="AL630">
        <v>4.1000000000000002E-2</v>
      </c>
      <c r="AM630">
        <v>0.20499999999999999</v>
      </c>
      <c r="AN630">
        <v>0.73099999999999998</v>
      </c>
    </row>
    <row r="631" spans="1:40">
      <c r="A631">
        <v>2699</v>
      </c>
      <c r="B631" t="s">
        <v>691</v>
      </c>
      <c r="C631" t="s">
        <v>684</v>
      </c>
      <c r="D631" t="s">
        <v>685</v>
      </c>
      <c r="E631">
        <v>447</v>
      </c>
      <c r="F631">
        <v>1452</v>
      </c>
      <c r="G631">
        <v>106.2299888</v>
      </c>
      <c r="H631">
        <v>57</v>
      </c>
      <c r="I631">
        <v>0.166044147</v>
      </c>
      <c r="J631">
        <v>1509</v>
      </c>
      <c r="K631">
        <v>9087.9445450000003</v>
      </c>
      <c r="L631">
        <v>0.85299999999999998</v>
      </c>
      <c r="M631">
        <v>0.113095238</v>
      </c>
      <c r="N631">
        <v>0</v>
      </c>
      <c r="O631" t="s">
        <v>620</v>
      </c>
      <c r="P631">
        <f t="shared" si="83"/>
        <v>11.7452027</v>
      </c>
      <c r="Q631">
        <f t="shared" si="84"/>
        <v>1E-3</v>
      </c>
      <c r="R631">
        <f t="shared" si="85"/>
        <v>3.2000000000000001E-2</v>
      </c>
      <c r="S631">
        <f t="shared" si="86"/>
        <v>0.85299999999999998</v>
      </c>
      <c r="T631">
        <f t="shared" si="87"/>
        <v>1.419166667</v>
      </c>
      <c r="U631">
        <f t="shared" si="88"/>
        <v>7.0855850230000001</v>
      </c>
      <c r="V631">
        <f t="shared" si="89"/>
        <v>2.5000000000000001E-2</v>
      </c>
      <c r="W631">
        <f t="shared" si="90"/>
        <v>6.0000000000000001E-3</v>
      </c>
      <c r="X631">
        <f t="shared" si="91"/>
        <v>0.94299999999999995</v>
      </c>
      <c r="Y631">
        <v>102.592501</v>
      </c>
      <c r="Z631">
        <v>0</v>
      </c>
      <c r="AA631">
        <v>236250</v>
      </c>
      <c r="AB631">
        <v>76158</v>
      </c>
      <c r="AC631">
        <v>1.7652984E-2</v>
      </c>
      <c r="AD631">
        <v>0.84750225300000004</v>
      </c>
      <c r="AF631">
        <v>11.7452027</v>
      </c>
      <c r="AG631">
        <v>1E-3</v>
      </c>
      <c r="AH631">
        <v>3.2000000000000001E-2</v>
      </c>
      <c r="AI631">
        <v>0.85299999999999998</v>
      </c>
      <c r="AJ631">
        <v>1.419166667</v>
      </c>
      <c r="AK631">
        <v>7.0855850230000001</v>
      </c>
      <c r="AL631">
        <v>2.5000000000000001E-2</v>
      </c>
      <c r="AM631">
        <v>6.0000000000000001E-3</v>
      </c>
      <c r="AN631">
        <v>0.94299999999999995</v>
      </c>
    </row>
    <row r="632" spans="1:40">
      <c r="A632">
        <v>2700</v>
      </c>
      <c r="B632" t="s">
        <v>689</v>
      </c>
      <c r="C632" t="s">
        <v>687</v>
      </c>
      <c r="D632" t="s">
        <v>688</v>
      </c>
      <c r="E632">
        <v>544</v>
      </c>
      <c r="F632">
        <v>2102</v>
      </c>
      <c r="G632">
        <v>111.99953960000001</v>
      </c>
      <c r="H632">
        <v>139</v>
      </c>
      <c r="I632">
        <v>0.17506686900000001</v>
      </c>
      <c r="J632">
        <v>2241</v>
      </c>
      <c r="K632">
        <v>12800.822980000001</v>
      </c>
      <c r="L632">
        <v>0.77200000000000002</v>
      </c>
      <c r="M632">
        <v>0.20351390899999999</v>
      </c>
      <c r="N632">
        <v>0</v>
      </c>
      <c r="O632" t="s">
        <v>613</v>
      </c>
      <c r="P632">
        <f t="shared" si="83"/>
        <v>12.51269231</v>
      </c>
      <c r="Q632">
        <f t="shared" si="84"/>
        <v>4.1000000000000002E-2</v>
      </c>
      <c r="R632">
        <f t="shared" si="85"/>
        <v>1.7999999999999999E-2</v>
      </c>
      <c r="S632">
        <f t="shared" si="86"/>
        <v>0.77200000000000002</v>
      </c>
      <c r="T632">
        <f t="shared" si="87"/>
        <v>2.2925</v>
      </c>
      <c r="U632">
        <f t="shared" si="88"/>
        <v>6.7527822579999999</v>
      </c>
      <c r="V632">
        <f t="shared" si="89"/>
        <v>0.05</v>
      </c>
      <c r="W632">
        <f t="shared" si="90"/>
        <v>0.184</v>
      </c>
      <c r="X632">
        <f t="shared" si="91"/>
        <v>0.72599999999999998</v>
      </c>
      <c r="Y632">
        <v>109.6344679</v>
      </c>
      <c r="Z632">
        <v>0</v>
      </c>
      <c r="AA632">
        <v>454184</v>
      </c>
      <c r="AB632">
        <v>170596</v>
      </c>
      <c r="AC632">
        <v>6.5715274000000004E-2</v>
      </c>
      <c r="AD632">
        <v>0.72549415100000003</v>
      </c>
      <c r="AF632">
        <v>12.51269231</v>
      </c>
      <c r="AG632">
        <v>4.1000000000000002E-2</v>
      </c>
      <c r="AH632">
        <v>1.7999999999999999E-2</v>
      </c>
      <c r="AI632">
        <v>0.77200000000000002</v>
      </c>
      <c r="AJ632">
        <v>2.2925</v>
      </c>
      <c r="AK632">
        <v>6.7527822579999999</v>
      </c>
      <c r="AL632">
        <v>0.05</v>
      </c>
      <c r="AM632">
        <v>0.184</v>
      </c>
      <c r="AN632">
        <v>0.72599999999999998</v>
      </c>
    </row>
    <row r="633" spans="1:40">
      <c r="A633">
        <v>2701</v>
      </c>
      <c r="B633" t="s">
        <v>703</v>
      </c>
      <c r="C633" t="s">
        <v>696</v>
      </c>
      <c r="D633" t="s">
        <v>697</v>
      </c>
      <c r="E633">
        <v>370</v>
      </c>
      <c r="F633">
        <v>1212</v>
      </c>
      <c r="G633">
        <v>82.834888280000001</v>
      </c>
      <c r="H633">
        <v>15</v>
      </c>
      <c r="I633">
        <v>0.129474382</v>
      </c>
      <c r="J633">
        <v>1227</v>
      </c>
      <c r="K633">
        <v>9476.7781940000004</v>
      </c>
      <c r="L633">
        <v>0.82099999999999995</v>
      </c>
      <c r="M633">
        <v>3.8961039000000003E-2</v>
      </c>
      <c r="N633">
        <v>0</v>
      </c>
      <c r="O633" t="s">
        <v>620</v>
      </c>
      <c r="P633">
        <f t="shared" si="83"/>
        <v>11.825087720000001</v>
      </c>
      <c r="Q633">
        <f t="shared" si="84"/>
        <v>3.4000000000000002E-2</v>
      </c>
      <c r="R633">
        <f t="shared" si="85"/>
        <v>1.9E-2</v>
      </c>
      <c r="S633">
        <f t="shared" si="86"/>
        <v>0.82099999999999995</v>
      </c>
      <c r="T633">
        <f t="shared" si="87"/>
        <v>2.145</v>
      </c>
      <c r="U633">
        <f t="shared" si="88"/>
        <v>6.0078172590000003</v>
      </c>
      <c r="V633">
        <f t="shared" si="89"/>
        <v>0.03</v>
      </c>
      <c r="W633">
        <f t="shared" si="90"/>
        <v>0.11899999999999999</v>
      </c>
      <c r="X633">
        <f t="shared" si="91"/>
        <v>0.85099999999999998</v>
      </c>
      <c r="Y633">
        <v>103.144471</v>
      </c>
      <c r="Z633">
        <v>0</v>
      </c>
      <c r="AA633">
        <v>27567</v>
      </c>
      <c r="AB633">
        <v>8371</v>
      </c>
      <c r="AC633">
        <v>2.6639960000000001E-2</v>
      </c>
      <c r="AD633">
        <v>0.83875813700000001</v>
      </c>
      <c r="AF633">
        <v>11.825087720000001</v>
      </c>
      <c r="AG633">
        <v>3.4000000000000002E-2</v>
      </c>
      <c r="AH633">
        <v>1.9E-2</v>
      </c>
      <c r="AI633">
        <v>0.82099999999999995</v>
      </c>
      <c r="AJ633">
        <v>2.145</v>
      </c>
      <c r="AK633">
        <v>6.0078172590000003</v>
      </c>
      <c r="AL633">
        <v>0.03</v>
      </c>
      <c r="AM633">
        <v>0.11899999999999999</v>
      </c>
      <c r="AN633">
        <v>0.85099999999999998</v>
      </c>
    </row>
    <row r="634" spans="1:40">
      <c r="A634">
        <v>2702</v>
      </c>
      <c r="B634" t="s">
        <v>702</v>
      </c>
      <c r="C634" t="s">
        <v>696</v>
      </c>
      <c r="D634" t="s">
        <v>697</v>
      </c>
      <c r="E634">
        <v>317</v>
      </c>
      <c r="F634">
        <v>948</v>
      </c>
      <c r="G634">
        <v>68.776190959999994</v>
      </c>
      <c r="H634">
        <v>221</v>
      </c>
      <c r="I634">
        <v>0.107504797</v>
      </c>
      <c r="J634">
        <v>1169</v>
      </c>
      <c r="K634">
        <v>10873.933370000001</v>
      </c>
      <c r="L634">
        <v>0.85699999999999998</v>
      </c>
      <c r="M634">
        <v>0.41078066899999999</v>
      </c>
      <c r="N634">
        <v>0</v>
      </c>
      <c r="O634" t="s">
        <v>620</v>
      </c>
      <c r="P634">
        <f t="shared" si="83"/>
        <v>13.66552632</v>
      </c>
      <c r="Q634">
        <f t="shared" si="84"/>
        <v>2.9000000000000001E-2</v>
      </c>
      <c r="R634">
        <f t="shared" si="85"/>
        <v>3.5000000000000003E-2</v>
      </c>
      <c r="S634">
        <f t="shared" si="86"/>
        <v>0.85699999999999998</v>
      </c>
      <c r="T634">
        <f t="shared" si="87"/>
        <v>3.0396874999999999</v>
      </c>
      <c r="U634">
        <f t="shared" si="88"/>
        <v>6.8807427060000004</v>
      </c>
      <c r="V634">
        <f t="shared" si="89"/>
        <v>9.8000000000000004E-2</v>
      </c>
      <c r="W634">
        <f t="shared" si="90"/>
        <v>8.4000000000000005E-2</v>
      </c>
      <c r="X634">
        <f t="shared" si="91"/>
        <v>0.79700000000000004</v>
      </c>
      <c r="Y634">
        <v>108.6729608</v>
      </c>
      <c r="Z634">
        <v>0</v>
      </c>
      <c r="AA634">
        <v>90778</v>
      </c>
      <c r="AB634">
        <v>31662</v>
      </c>
      <c r="AC634">
        <v>3.1753482E-2</v>
      </c>
      <c r="AD634">
        <v>0.82960131100000001</v>
      </c>
      <c r="AF634">
        <v>13.66552632</v>
      </c>
      <c r="AG634">
        <v>2.9000000000000001E-2</v>
      </c>
      <c r="AH634">
        <v>3.5000000000000003E-2</v>
      </c>
      <c r="AI634">
        <v>0.85699999999999998</v>
      </c>
      <c r="AJ634">
        <v>3.0396874999999999</v>
      </c>
      <c r="AK634">
        <v>6.8807427060000004</v>
      </c>
      <c r="AL634">
        <v>9.8000000000000004E-2</v>
      </c>
      <c r="AM634">
        <v>8.4000000000000005E-2</v>
      </c>
      <c r="AN634">
        <v>0.79700000000000004</v>
      </c>
    </row>
    <row r="635" spans="1:40">
      <c r="A635">
        <v>2703</v>
      </c>
      <c r="B635" t="s">
        <v>689</v>
      </c>
      <c r="C635" t="s">
        <v>687</v>
      </c>
      <c r="D635" t="s">
        <v>688</v>
      </c>
      <c r="E635">
        <v>263</v>
      </c>
      <c r="F635">
        <v>731</v>
      </c>
      <c r="G635">
        <v>49.039587349999998</v>
      </c>
      <c r="H635">
        <v>0</v>
      </c>
      <c r="I635">
        <v>7.6658929000000001E-2</v>
      </c>
      <c r="J635">
        <v>731</v>
      </c>
      <c r="K635">
        <v>9535.7450140000001</v>
      </c>
      <c r="L635">
        <v>0.75</v>
      </c>
      <c r="M635">
        <v>0</v>
      </c>
      <c r="N635">
        <v>0</v>
      </c>
      <c r="O635" t="s">
        <v>620</v>
      </c>
      <c r="P635">
        <f t="shared" si="83"/>
        <v>8.1111666670000009</v>
      </c>
      <c r="Q635">
        <f t="shared" si="84"/>
        <v>0.04</v>
      </c>
      <c r="R635">
        <f t="shared" si="85"/>
        <v>5.6000000000000001E-2</v>
      </c>
      <c r="S635">
        <f t="shared" si="86"/>
        <v>0.75</v>
      </c>
      <c r="T635">
        <f t="shared" si="87"/>
        <v>2.1745454550000001</v>
      </c>
      <c r="U635">
        <f t="shared" si="88"/>
        <v>5.8667137809999996</v>
      </c>
      <c r="V635">
        <f t="shared" si="89"/>
        <v>0.13300000000000001</v>
      </c>
      <c r="W635">
        <f t="shared" si="90"/>
        <v>0.12</v>
      </c>
      <c r="X635">
        <f t="shared" si="91"/>
        <v>0.72299999999999998</v>
      </c>
      <c r="Y635">
        <v>130.03818659999999</v>
      </c>
      <c r="Z635">
        <v>0</v>
      </c>
      <c r="AA635">
        <v>454184</v>
      </c>
      <c r="AB635">
        <v>170596</v>
      </c>
      <c r="AC635">
        <v>6.5715274000000004E-2</v>
      </c>
      <c r="AD635">
        <v>0.72549415100000003</v>
      </c>
      <c r="AF635">
        <v>8.1111666670000009</v>
      </c>
      <c r="AG635">
        <v>0.04</v>
      </c>
      <c r="AH635">
        <v>5.6000000000000001E-2</v>
      </c>
      <c r="AI635">
        <v>0.75</v>
      </c>
      <c r="AJ635">
        <v>2.1745454550000001</v>
      </c>
      <c r="AK635">
        <v>5.8667137809999996</v>
      </c>
      <c r="AL635">
        <v>0.13300000000000001</v>
      </c>
      <c r="AM635">
        <v>0.12</v>
      </c>
      <c r="AN635">
        <v>0.72299999999999998</v>
      </c>
    </row>
    <row r="636" spans="1:40">
      <c r="A636">
        <v>2704</v>
      </c>
      <c r="B636" t="s">
        <v>689</v>
      </c>
      <c r="C636" t="s">
        <v>687</v>
      </c>
      <c r="D636" t="s">
        <v>688</v>
      </c>
      <c r="E636">
        <v>804</v>
      </c>
      <c r="F636">
        <v>2018</v>
      </c>
      <c r="G636">
        <v>297.83621499999998</v>
      </c>
      <c r="H636">
        <v>293</v>
      </c>
      <c r="I636">
        <v>0.46555785</v>
      </c>
      <c r="J636">
        <v>2311</v>
      </c>
      <c r="K636">
        <v>4963.9373500000002</v>
      </c>
      <c r="L636">
        <v>0.84699999999999998</v>
      </c>
      <c r="M636">
        <v>0.26709206899999999</v>
      </c>
      <c r="N636">
        <v>0</v>
      </c>
      <c r="O636" t="s">
        <v>620</v>
      </c>
      <c r="P636">
        <f t="shared" si="83"/>
        <v>11.550564100000001</v>
      </c>
      <c r="Q636">
        <f t="shared" si="84"/>
        <v>0.03</v>
      </c>
      <c r="R636">
        <f t="shared" si="85"/>
        <v>1.9E-2</v>
      </c>
      <c r="S636">
        <f t="shared" si="86"/>
        <v>0.84699999999999998</v>
      </c>
      <c r="T636">
        <f t="shared" si="87"/>
        <v>2.7277777780000001</v>
      </c>
      <c r="U636">
        <f t="shared" si="88"/>
        <v>7.2058799000000002</v>
      </c>
      <c r="V636">
        <f t="shared" si="89"/>
        <v>3.6999999999999998E-2</v>
      </c>
      <c r="W636">
        <f t="shared" si="90"/>
        <v>0.152</v>
      </c>
      <c r="X636">
        <f t="shared" si="91"/>
        <v>0.80200000000000005</v>
      </c>
      <c r="Y636">
        <v>66.360873429999998</v>
      </c>
      <c r="Z636">
        <v>0</v>
      </c>
      <c r="AA636">
        <v>454184</v>
      </c>
      <c r="AB636">
        <v>170596</v>
      </c>
      <c r="AC636">
        <v>6.5715274000000004E-2</v>
      </c>
      <c r="AD636">
        <v>0.72549415100000003</v>
      </c>
      <c r="AF636">
        <v>11.550564100000001</v>
      </c>
      <c r="AG636">
        <v>0.03</v>
      </c>
      <c r="AH636">
        <v>1.9E-2</v>
      </c>
      <c r="AI636">
        <v>0.84699999999999998</v>
      </c>
      <c r="AJ636">
        <v>2.7277777780000001</v>
      </c>
      <c r="AK636">
        <v>7.2058799000000002</v>
      </c>
      <c r="AL636">
        <v>3.6999999999999998E-2</v>
      </c>
      <c r="AM636">
        <v>0.152</v>
      </c>
      <c r="AN636">
        <v>0.80200000000000005</v>
      </c>
    </row>
    <row r="637" spans="1:40">
      <c r="A637">
        <v>2705</v>
      </c>
      <c r="B637" t="s">
        <v>689</v>
      </c>
      <c r="C637" t="s">
        <v>687</v>
      </c>
      <c r="D637" t="s">
        <v>688</v>
      </c>
      <c r="E637">
        <v>246</v>
      </c>
      <c r="F637">
        <v>632</v>
      </c>
      <c r="G637">
        <v>95.319832520000006</v>
      </c>
      <c r="H637">
        <v>354</v>
      </c>
      <c r="I637">
        <v>0.149000308</v>
      </c>
      <c r="J637">
        <v>986</v>
      </c>
      <c r="K637">
        <v>6617.4359850000001</v>
      </c>
      <c r="L637">
        <v>0.871</v>
      </c>
      <c r="M637">
        <v>0.59</v>
      </c>
      <c r="N637">
        <v>0</v>
      </c>
      <c r="O637" t="s">
        <v>620</v>
      </c>
      <c r="P637">
        <f t="shared" si="83"/>
        <v>11.532377049999999</v>
      </c>
      <c r="Q637">
        <f t="shared" si="84"/>
        <v>2.1000000000000001E-2</v>
      </c>
      <c r="R637">
        <f t="shared" si="85"/>
        <v>1.4999999999999999E-2</v>
      </c>
      <c r="S637">
        <f t="shared" si="86"/>
        <v>0.871</v>
      </c>
      <c r="T637">
        <f t="shared" si="87"/>
        <v>2.943333333</v>
      </c>
      <c r="U637">
        <f t="shared" si="88"/>
        <v>8.8037845709999996</v>
      </c>
      <c r="V637">
        <f t="shared" si="89"/>
        <v>2.9000000000000001E-2</v>
      </c>
      <c r="W637">
        <f t="shared" si="90"/>
        <v>0.08</v>
      </c>
      <c r="X637">
        <f t="shared" si="91"/>
        <v>0.89100000000000001</v>
      </c>
      <c r="Y637">
        <v>76.015578570000002</v>
      </c>
      <c r="Z637">
        <v>0</v>
      </c>
      <c r="AA637">
        <v>454184</v>
      </c>
      <c r="AB637">
        <v>170596</v>
      </c>
      <c r="AC637">
        <v>6.5715274000000004E-2</v>
      </c>
      <c r="AD637">
        <v>0.72549415100000003</v>
      </c>
      <c r="AF637">
        <v>11.532377049999999</v>
      </c>
      <c r="AG637">
        <v>2.1000000000000001E-2</v>
      </c>
      <c r="AH637">
        <v>1.4999999999999999E-2</v>
      </c>
      <c r="AI637">
        <v>0.871</v>
      </c>
      <c r="AJ637">
        <v>2.943333333</v>
      </c>
      <c r="AK637">
        <v>8.8037845709999996</v>
      </c>
      <c r="AL637">
        <v>2.9000000000000001E-2</v>
      </c>
      <c r="AM637">
        <v>0.08</v>
      </c>
      <c r="AN637">
        <v>0.89100000000000001</v>
      </c>
    </row>
    <row r="638" spans="1:40">
      <c r="A638">
        <v>2706</v>
      </c>
      <c r="B638" t="s">
        <v>689</v>
      </c>
      <c r="C638" t="s">
        <v>687</v>
      </c>
      <c r="D638" t="s">
        <v>688</v>
      </c>
      <c r="E638">
        <v>443</v>
      </c>
      <c r="F638">
        <v>1006</v>
      </c>
      <c r="G638">
        <v>58.534513820000001</v>
      </c>
      <c r="H638">
        <v>16</v>
      </c>
      <c r="I638">
        <v>9.1494705999999995E-2</v>
      </c>
      <c r="J638">
        <v>1022</v>
      </c>
      <c r="K638">
        <v>11170.045179999999</v>
      </c>
      <c r="L638">
        <v>0.81</v>
      </c>
      <c r="M638">
        <v>3.4858387999999997E-2</v>
      </c>
      <c r="N638">
        <v>0</v>
      </c>
      <c r="O638" t="s">
        <v>613</v>
      </c>
      <c r="P638">
        <f t="shared" si="83"/>
        <v>10.24895238</v>
      </c>
      <c r="Q638">
        <f t="shared" si="84"/>
        <v>3.2000000000000001E-2</v>
      </c>
      <c r="R638">
        <f t="shared" si="85"/>
        <v>4.3999999999999997E-2</v>
      </c>
      <c r="S638">
        <f t="shared" si="86"/>
        <v>0.81</v>
      </c>
      <c r="T638">
        <f t="shared" si="87"/>
        <v>3.5568181820000002</v>
      </c>
      <c r="U638">
        <f t="shared" si="88"/>
        <v>6.7004134369999999</v>
      </c>
      <c r="V638">
        <f t="shared" si="89"/>
        <v>0.09</v>
      </c>
      <c r="W638">
        <f t="shared" si="90"/>
        <v>0.105</v>
      </c>
      <c r="X638">
        <f t="shared" si="91"/>
        <v>0.78900000000000003</v>
      </c>
      <c r="Y638">
        <v>124.32141180000001</v>
      </c>
      <c r="Z638">
        <v>0</v>
      </c>
      <c r="AA638">
        <v>454184</v>
      </c>
      <c r="AB638">
        <v>170596</v>
      </c>
      <c r="AC638">
        <v>6.5715274000000004E-2</v>
      </c>
      <c r="AD638">
        <v>0.72549415100000003</v>
      </c>
      <c r="AF638">
        <v>10.24895238</v>
      </c>
      <c r="AG638">
        <v>3.2000000000000001E-2</v>
      </c>
      <c r="AH638">
        <v>4.3999999999999997E-2</v>
      </c>
      <c r="AI638">
        <v>0.81</v>
      </c>
      <c r="AJ638">
        <v>3.5568181820000002</v>
      </c>
      <c r="AK638">
        <v>6.7004134369999999</v>
      </c>
      <c r="AL638">
        <v>0.09</v>
      </c>
      <c r="AM638">
        <v>0.105</v>
      </c>
      <c r="AN638">
        <v>0.78900000000000003</v>
      </c>
    </row>
    <row r="639" spans="1:40">
      <c r="A639">
        <v>2707</v>
      </c>
      <c r="B639" t="s">
        <v>689</v>
      </c>
      <c r="C639" t="s">
        <v>687</v>
      </c>
      <c r="D639" t="s">
        <v>688</v>
      </c>
      <c r="E639">
        <v>309</v>
      </c>
      <c r="F639">
        <v>1153</v>
      </c>
      <c r="G639">
        <v>36.568230509999999</v>
      </c>
      <c r="H639">
        <v>6</v>
      </c>
      <c r="I639">
        <v>5.7159452999999999E-2</v>
      </c>
      <c r="J639">
        <v>1159</v>
      </c>
      <c r="K639">
        <v>20276.611110000002</v>
      </c>
      <c r="L639">
        <v>0.75600000000000001</v>
      </c>
      <c r="M639">
        <v>1.9047618999999998E-2</v>
      </c>
      <c r="N639">
        <v>0</v>
      </c>
      <c r="O639" t="s">
        <v>613</v>
      </c>
      <c r="P639">
        <f t="shared" si="83"/>
        <v>11.08202532</v>
      </c>
      <c r="Q639">
        <f t="shared" si="84"/>
        <v>6.6000000000000003E-2</v>
      </c>
      <c r="R639">
        <f t="shared" si="85"/>
        <v>2.5999999999999999E-2</v>
      </c>
      <c r="S639">
        <f t="shared" si="86"/>
        <v>0.75600000000000001</v>
      </c>
      <c r="T639">
        <f t="shared" si="87"/>
        <v>2.3737499999999998</v>
      </c>
      <c r="U639">
        <f t="shared" si="88"/>
        <v>5.3925345619999998</v>
      </c>
      <c r="V639">
        <f t="shared" si="89"/>
        <v>3.4000000000000002E-2</v>
      </c>
      <c r="W639">
        <f t="shared" si="90"/>
        <v>0.23300000000000001</v>
      </c>
      <c r="X639">
        <f t="shared" si="91"/>
        <v>0.68100000000000005</v>
      </c>
      <c r="Y639">
        <v>122.4283446</v>
      </c>
      <c r="Z639">
        <v>0</v>
      </c>
      <c r="AA639">
        <v>454184</v>
      </c>
      <c r="AB639">
        <v>170596</v>
      </c>
      <c r="AC639">
        <v>6.5715274000000004E-2</v>
      </c>
      <c r="AD639">
        <v>0.72549415100000003</v>
      </c>
      <c r="AF639">
        <v>11.08202532</v>
      </c>
      <c r="AG639">
        <v>6.6000000000000003E-2</v>
      </c>
      <c r="AH639">
        <v>2.5999999999999999E-2</v>
      </c>
      <c r="AI639">
        <v>0.75600000000000001</v>
      </c>
      <c r="AJ639">
        <v>2.3737499999999998</v>
      </c>
      <c r="AK639">
        <v>5.3925345619999998</v>
      </c>
      <c r="AL639">
        <v>3.4000000000000002E-2</v>
      </c>
      <c r="AM639">
        <v>0.23300000000000001</v>
      </c>
      <c r="AN639">
        <v>0.68100000000000005</v>
      </c>
    </row>
    <row r="640" spans="1:40">
      <c r="A640">
        <v>2708</v>
      </c>
      <c r="B640" t="s">
        <v>690</v>
      </c>
      <c r="C640" t="s">
        <v>687</v>
      </c>
      <c r="D640" t="s">
        <v>688</v>
      </c>
      <c r="E640">
        <v>559</v>
      </c>
      <c r="F640">
        <v>1428</v>
      </c>
      <c r="G640">
        <v>59.709456920000001</v>
      </c>
      <c r="H640">
        <v>22</v>
      </c>
      <c r="I640">
        <v>9.3330242999999993E-2</v>
      </c>
      <c r="J640">
        <v>1450</v>
      </c>
      <c r="K640">
        <v>15536.2287</v>
      </c>
      <c r="L640">
        <v>0.83199999999999996</v>
      </c>
      <c r="M640">
        <v>3.7865748999999997E-2</v>
      </c>
      <c r="N640">
        <v>0</v>
      </c>
      <c r="O640" t="s">
        <v>613</v>
      </c>
      <c r="P640">
        <f t="shared" si="83"/>
        <v>10.525121950000001</v>
      </c>
      <c r="Q640">
        <f t="shared" si="84"/>
        <v>3.7999999999999999E-2</v>
      </c>
      <c r="R640">
        <f t="shared" si="85"/>
        <v>1.9E-2</v>
      </c>
      <c r="S640">
        <f t="shared" si="86"/>
        <v>0.83199999999999996</v>
      </c>
      <c r="T640">
        <f t="shared" si="87"/>
        <v>3.4108333329999998</v>
      </c>
      <c r="U640">
        <f t="shared" si="88"/>
        <v>6.6278585459999997</v>
      </c>
      <c r="V640">
        <f t="shared" si="89"/>
        <v>0.06</v>
      </c>
      <c r="W640">
        <f t="shared" si="90"/>
        <v>0.1</v>
      </c>
      <c r="X640">
        <f t="shared" si="91"/>
        <v>0.82</v>
      </c>
      <c r="Y640">
        <v>168.4826826</v>
      </c>
      <c r="Z640">
        <v>0</v>
      </c>
      <c r="AA640">
        <v>82284</v>
      </c>
      <c r="AB640">
        <v>32030</v>
      </c>
      <c r="AC640">
        <v>4.7570397E-2</v>
      </c>
      <c r="AD640">
        <v>0.78974696300000002</v>
      </c>
      <c r="AF640">
        <v>10.525121950000001</v>
      </c>
      <c r="AG640">
        <v>3.7999999999999999E-2</v>
      </c>
      <c r="AH640">
        <v>1.9E-2</v>
      </c>
      <c r="AI640">
        <v>0.83199999999999996</v>
      </c>
      <c r="AJ640">
        <v>3.4108333329999998</v>
      </c>
      <c r="AK640">
        <v>6.6278585459999997</v>
      </c>
      <c r="AL640">
        <v>0.06</v>
      </c>
      <c r="AM640">
        <v>0.1</v>
      </c>
      <c r="AN640">
        <v>0.82</v>
      </c>
    </row>
    <row r="641" spans="1:40">
      <c r="A641">
        <v>2709</v>
      </c>
      <c r="B641" t="s">
        <v>690</v>
      </c>
      <c r="C641" t="s">
        <v>687</v>
      </c>
      <c r="D641" t="s">
        <v>688</v>
      </c>
      <c r="E641">
        <v>402</v>
      </c>
      <c r="F641">
        <v>917</v>
      </c>
      <c r="G641">
        <v>36.005275830000002</v>
      </c>
      <c r="H641">
        <v>68</v>
      </c>
      <c r="I641">
        <v>5.6276692000000003E-2</v>
      </c>
      <c r="J641">
        <v>985</v>
      </c>
      <c r="K641">
        <v>17502.8056</v>
      </c>
      <c r="L641">
        <v>0.746</v>
      </c>
      <c r="M641">
        <v>0.144680851</v>
      </c>
      <c r="N641">
        <v>0</v>
      </c>
      <c r="O641" t="s">
        <v>613</v>
      </c>
      <c r="P641">
        <f t="shared" si="83"/>
        <v>11.83092437</v>
      </c>
      <c r="Q641">
        <f t="shared" si="84"/>
        <v>0.08</v>
      </c>
      <c r="R641">
        <f t="shared" si="85"/>
        <v>4.7E-2</v>
      </c>
      <c r="S641">
        <f t="shared" si="86"/>
        <v>0.746</v>
      </c>
      <c r="T641">
        <f t="shared" si="87"/>
        <v>2.4746428570000001</v>
      </c>
      <c r="U641">
        <f t="shared" si="88"/>
        <v>6.918615752</v>
      </c>
      <c r="V641">
        <f t="shared" si="89"/>
        <v>6.8000000000000005E-2</v>
      </c>
      <c r="W641">
        <f t="shared" si="90"/>
        <v>0.13700000000000001</v>
      </c>
      <c r="X641">
        <f t="shared" si="91"/>
        <v>0.73899999999999999</v>
      </c>
      <c r="Y641">
        <v>89.370860550000003</v>
      </c>
      <c r="Z641">
        <v>0</v>
      </c>
      <c r="AA641">
        <v>82284</v>
      </c>
      <c r="AB641">
        <v>32030</v>
      </c>
      <c r="AC641">
        <v>4.7570397E-2</v>
      </c>
      <c r="AD641">
        <v>0.78974696300000002</v>
      </c>
      <c r="AF641">
        <v>11.83092437</v>
      </c>
      <c r="AG641">
        <v>0.08</v>
      </c>
      <c r="AH641">
        <v>4.7E-2</v>
      </c>
      <c r="AI641">
        <v>0.746</v>
      </c>
      <c r="AJ641">
        <v>2.4746428570000001</v>
      </c>
      <c r="AK641">
        <v>6.918615752</v>
      </c>
      <c r="AL641">
        <v>6.8000000000000005E-2</v>
      </c>
      <c r="AM641">
        <v>0.13700000000000001</v>
      </c>
      <c r="AN641">
        <v>0.73899999999999999</v>
      </c>
    </row>
    <row r="642" spans="1:40">
      <c r="A642">
        <v>2710</v>
      </c>
      <c r="B642" t="s">
        <v>690</v>
      </c>
      <c r="C642" t="s">
        <v>687</v>
      </c>
      <c r="D642" t="s">
        <v>688</v>
      </c>
      <c r="E642">
        <v>438</v>
      </c>
      <c r="F642">
        <v>1020</v>
      </c>
      <c r="G642">
        <v>36.604677240000001</v>
      </c>
      <c r="H642">
        <v>184</v>
      </c>
      <c r="I642">
        <v>5.7218870999999998E-2</v>
      </c>
      <c r="J642">
        <v>1204</v>
      </c>
      <c r="K642">
        <v>21042.009030000001</v>
      </c>
      <c r="L642">
        <v>0.76200000000000001</v>
      </c>
      <c r="M642">
        <v>0.29581993600000001</v>
      </c>
      <c r="N642">
        <v>0</v>
      </c>
      <c r="O642" t="s">
        <v>613</v>
      </c>
      <c r="P642">
        <f t="shared" si="83"/>
        <v>12.496440679999999</v>
      </c>
      <c r="Q642">
        <f t="shared" si="84"/>
        <v>5.6000000000000001E-2</v>
      </c>
      <c r="R642">
        <f t="shared" si="85"/>
        <v>1.6E-2</v>
      </c>
      <c r="S642">
        <f t="shared" si="86"/>
        <v>0.76200000000000001</v>
      </c>
      <c r="T642">
        <f t="shared" si="87"/>
        <v>2.1858333330000002</v>
      </c>
      <c r="U642">
        <f t="shared" si="88"/>
        <v>6.5221311479999997</v>
      </c>
      <c r="V642">
        <f t="shared" si="89"/>
        <v>4.4999999999999998E-2</v>
      </c>
      <c r="W642">
        <f t="shared" si="90"/>
        <v>0.115</v>
      </c>
      <c r="X642">
        <f t="shared" si="91"/>
        <v>0.752</v>
      </c>
      <c r="Y642">
        <v>140.00649780000001</v>
      </c>
      <c r="Z642">
        <v>0</v>
      </c>
      <c r="AA642">
        <v>82284</v>
      </c>
      <c r="AB642">
        <v>32030</v>
      </c>
      <c r="AC642">
        <v>4.7570397E-2</v>
      </c>
      <c r="AD642">
        <v>0.78974696300000002</v>
      </c>
      <c r="AF642">
        <v>12.496440679999999</v>
      </c>
      <c r="AG642">
        <v>5.6000000000000001E-2</v>
      </c>
      <c r="AH642">
        <v>1.6E-2</v>
      </c>
      <c r="AI642">
        <v>0.76200000000000001</v>
      </c>
      <c r="AJ642">
        <v>2.1858333330000002</v>
      </c>
      <c r="AK642">
        <v>6.5221311479999997</v>
      </c>
      <c r="AL642">
        <v>4.4999999999999998E-2</v>
      </c>
      <c r="AM642">
        <v>0.115</v>
      </c>
      <c r="AN642">
        <v>0.752</v>
      </c>
    </row>
    <row r="643" spans="1:40">
      <c r="A643">
        <v>2711</v>
      </c>
      <c r="B643" t="s">
        <v>702</v>
      </c>
      <c r="C643" t="s">
        <v>696</v>
      </c>
      <c r="D643" t="s">
        <v>697</v>
      </c>
      <c r="E643">
        <v>277</v>
      </c>
      <c r="F643">
        <v>826</v>
      </c>
      <c r="G643">
        <v>49.83103114</v>
      </c>
      <c r="H643">
        <v>59</v>
      </c>
      <c r="I643">
        <v>7.7890405999999995E-2</v>
      </c>
      <c r="J643">
        <v>885</v>
      </c>
      <c r="K643">
        <v>11362.118200000001</v>
      </c>
      <c r="L643">
        <v>0.88100000000000001</v>
      </c>
      <c r="M643">
        <v>0.17559523799999999</v>
      </c>
      <c r="N643">
        <v>0</v>
      </c>
      <c r="O643" t="s">
        <v>620</v>
      </c>
      <c r="P643">
        <f t="shared" si="83"/>
        <v>18.001176470000001</v>
      </c>
      <c r="Q643">
        <f t="shared" si="84"/>
        <v>5.0000000000000001E-3</v>
      </c>
      <c r="R643">
        <f t="shared" si="85"/>
        <v>2.7E-2</v>
      </c>
      <c r="S643">
        <f t="shared" si="86"/>
        <v>0.88100000000000001</v>
      </c>
      <c r="T643">
        <f t="shared" si="87"/>
        <v>1.02</v>
      </c>
      <c r="U643">
        <f t="shared" si="88"/>
        <v>6.9024675320000002</v>
      </c>
      <c r="V643">
        <f t="shared" si="89"/>
        <v>4.2301204819277106E-2</v>
      </c>
      <c r="W643">
        <f t="shared" si="90"/>
        <v>0.11204347826086955</v>
      </c>
      <c r="X643">
        <f t="shared" si="91"/>
        <v>1</v>
      </c>
      <c r="Y643">
        <v>54.968048520000004</v>
      </c>
      <c r="Z643">
        <v>0</v>
      </c>
      <c r="AA643">
        <v>90778</v>
      </c>
      <c r="AB643">
        <v>31662</v>
      </c>
      <c r="AC643">
        <v>3.1753482E-2</v>
      </c>
      <c r="AD643">
        <v>0.82960131100000001</v>
      </c>
      <c r="AF643">
        <v>18.001176470000001</v>
      </c>
      <c r="AG643">
        <v>5.0000000000000001E-3</v>
      </c>
      <c r="AH643">
        <v>2.7E-2</v>
      </c>
      <c r="AI643">
        <v>0.88100000000000001</v>
      </c>
      <c r="AJ643">
        <v>1.02</v>
      </c>
      <c r="AK643">
        <v>6.9024675320000002</v>
      </c>
      <c r="AL643">
        <v>0</v>
      </c>
      <c r="AM643">
        <v>0</v>
      </c>
      <c r="AN643">
        <v>1</v>
      </c>
    </row>
    <row r="644" spans="1:40">
      <c r="A644">
        <v>2712</v>
      </c>
      <c r="B644" t="s">
        <v>702</v>
      </c>
      <c r="C644" t="s">
        <v>696</v>
      </c>
      <c r="D644" t="s">
        <v>697</v>
      </c>
      <c r="E644">
        <v>271</v>
      </c>
      <c r="F644">
        <v>901</v>
      </c>
      <c r="G644">
        <v>88.191926199999997</v>
      </c>
      <c r="H644">
        <v>168</v>
      </c>
      <c r="I644">
        <v>0.13784808600000001</v>
      </c>
      <c r="J644">
        <v>1069</v>
      </c>
      <c r="K644">
        <v>7754.9136230000004</v>
      </c>
      <c r="L644">
        <v>0.78</v>
      </c>
      <c r="M644">
        <v>0.38268792699999998</v>
      </c>
      <c r="N644">
        <v>0</v>
      </c>
      <c r="O644" t="s">
        <v>620</v>
      </c>
      <c r="P644">
        <f t="shared" si="83"/>
        <v>13.00975309</v>
      </c>
      <c r="Q644">
        <f t="shared" si="84"/>
        <v>3.4000000000000002E-2</v>
      </c>
      <c r="R644">
        <f t="shared" si="85"/>
        <v>1.9E-2</v>
      </c>
      <c r="S644">
        <f t="shared" si="86"/>
        <v>0.78</v>
      </c>
      <c r="T644">
        <f t="shared" si="87"/>
        <v>2.6357142859999998</v>
      </c>
      <c r="U644">
        <f t="shared" si="88"/>
        <v>6.5504278070000002</v>
      </c>
      <c r="V644">
        <f t="shared" si="89"/>
        <v>5.8999999999999997E-2</v>
      </c>
      <c r="W644">
        <f t="shared" si="90"/>
        <v>0.14699999999999999</v>
      </c>
      <c r="X644">
        <f t="shared" si="91"/>
        <v>0.79400000000000004</v>
      </c>
      <c r="Y644">
        <v>99.351260609999997</v>
      </c>
      <c r="Z644">
        <v>0</v>
      </c>
      <c r="AA644">
        <v>90778</v>
      </c>
      <c r="AB644">
        <v>31662</v>
      </c>
      <c r="AC644">
        <v>3.1753482E-2</v>
      </c>
      <c r="AD644">
        <v>0.82960131100000001</v>
      </c>
      <c r="AF644">
        <v>13.00975309</v>
      </c>
      <c r="AG644">
        <v>3.4000000000000002E-2</v>
      </c>
      <c r="AH644">
        <v>1.9E-2</v>
      </c>
      <c r="AI644">
        <v>0.78</v>
      </c>
      <c r="AJ644">
        <v>2.6357142859999998</v>
      </c>
      <c r="AK644">
        <v>6.5504278070000002</v>
      </c>
      <c r="AL644">
        <v>5.8999999999999997E-2</v>
      </c>
      <c r="AM644">
        <v>0.14699999999999999</v>
      </c>
      <c r="AN644">
        <v>0.79400000000000004</v>
      </c>
    </row>
    <row r="645" spans="1:40">
      <c r="A645">
        <v>2713</v>
      </c>
      <c r="B645" t="s">
        <v>702</v>
      </c>
      <c r="C645" t="s">
        <v>696</v>
      </c>
      <c r="D645" t="s">
        <v>697</v>
      </c>
      <c r="E645">
        <v>515</v>
      </c>
      <c r="F645">
        <v>1695</v>
      </c>
      <c r="G645">
        <v>115.7374732</v>
      </c>
      <c r="H645">
        <v>167</v>
      </c>
      <c r="I645">
        <v>0.18091091400000001</v>
      </c>
      <c r="J645">
        <v>1862</v>
      </c>
      <c r="K645">
        <v>10292.35859</v>
      </c>
      <c r="L645">
        <v>0.84199999999999997</v>
      </c>
      <c r="M645">
        <v>0.24486803500000001</v>
      </c>
      <c r="N645">
        <v>0</v>
      </c>
      <c r="O645" t="s">
        <v>620</v>
      </c>
      <c r="P645">
        <f t="shared" si="83"/>
        <v>12.435625</v>
      </c>
      <c r="Q645">
        <f t="shared" si="84"/>
        <v>2.9000000000000001E-2</v>
      </c>
      <c r="R645">
        <f t="shared" si="85"/>
        <v>2.1000000000000001E-2</v>
      </c>
      <c r="S645">
        <f t="shared" si="86"/>
        <v>0.84199999999999997</v>
      </c>
      <c r="T645">
        <f t="shared" si="87"/>
        <v>2.7481818179999999</v>
      </c>
      <c r="U645">
        <f t="shared" si="88"/>
        <v>6.1363593380000001</v>
      </c>
      <c r="V645">
        <f t="shared" si="89"/>
        <v>0.05</v>
      </c>
      <c r="W645">
        <f t="shared" si="90"/>
        <v>0.13700000000000001</v>
      </c>
      <c r="X645">
        <f t="shared" si="91"/>
        <v>0.79500000000000004</v>
      </c>
      <c r="Y645">
        <v>156.82509339999999</v>
      </c>
      <c r="Z645">
        <v>0</v>
      </c>
      <c r="AA645">
        <v>90778</v>
      </c>
      <c r="AB645">
        <v>31662</v>
      </c>
      <c r="AC645">
        <v>3.1753482E-2</v>
      </c>
      <c r="AD645">
        <v>0.82960131100000001</v>
      </c>
      <c r="AF645">
        <v>12.435625</v>
      </c>
      <c r="AG645">
        <v>2.9000000000000001E-2</v>
      </c>
      <c r="AH645">
        <v>2.1000000000000001E-2</v>
      </c>
      <c r="AI645">
        <v>0.84199999999999997</v>
      </c>
      <c r="AJ645">
        <v>2.7481818179999999</v>
      </c>
      <c r="AK645">
        <v>6.1363593380000001</v>
      </c>
      <c r="AL645">
        <v>0.05</v>
      </c>
      <c r="AM645">
        <v>0.13700000000000001</v>
      </c>
      <c r="AN645">
        <v>0.79500000000000004</v>
      </c>
    </row>
    <row r="646" spans="1:40">
      <c r="A646">
        <v>2714</v>
      </c>
      <c r="B646" t="s">
        <v>703</v>
      </c>
      <c r="C646" t="s">
        <v>696</v>
      </c>
      <c r="D646" t="s">
        <v>697</v>
      </c>
      <c r="E646">
        <v>692</v>
      </c>
      <c r="F646">
        <v>2165</v>
      </c>
      <c r="G646">
        <v>120.9687486</v>
      </c>
      <c r="H646">
        <v>399</v>
      </c>
      <c r="I646">
        <v>0.189089169</v>
      </c>
      <c r="J646">
        <v>2564</v>
      </c>
      <c r="K646">
        <v>13559.740169999999</v>
      </c>
      <c r="L646">
        <v>0.83299999999999996</v>
      </c>
      <c r="M646">
        <v>0.36571952299999999</v>
      </c>
      <c r="N646">
        <v>0</v>
      </c>
      <c r="O646" t="s">
        <v>613</v>
      </c>
      <c r="P646">
        <f t="shared" si="83"/>
        <v>11.21295276</v>
      </c>
      <c r="Q646">
        <f t="shared" si="84"/>
        <v>0.03</v>
      </c>
      <c r="R646">
        <f t="shared" si="85"/>
        <v>2.8000000000000001E-2</v>
      </c>
      <c r="S646">
        <f t="shared" si="86"/>
        <v>0.83299999999999996</v>
      </c>
      <c r="T646">
        <f t="shared" si="87"/>
        <v>2.766666667</v>
      </c>
      <c r="U646">
        <f t="shared" si="88"/>
        <v>6.4846926969999998</v>
      </c>
      <c r="V646">
        <f t="shared" si="89"/>
        <v>5.6000000000000001E-2</v>
      </c>
      <c r="W646">
        <f t="shared" si="90"/>
        <v>7.9000000000000001E-2</v>
      </c>
      <c r="X646">
        <f t="shared" si="91"/>
        <v>0.84099999999999997</v>
      </c>
      <c r="Y646">
        <v>107.4309071</v>
      </c>
      <c r="Z646">
        <v>0</v>
      </c>
      <c r="AA646">
        <v>27567</v>
      </c>
      <c r="AB646">
        <v>8371</v>
      </c>
      <c r="AC646">
        <v>2.6639960000000001E-2</v>
      </c>
      <c r="AD646">
        <v>0.83875813700000001</v>
      </c>
      <c r="AF646">
        <v>11.21295276</v>
      </c>
      <c r="AG646">
        <v>0.03</v>
      </c>
      <c r="AH646">
        <v>2.8000000000000001E-2</v>
      </c>
      <c r="AI646">
        <v>0.83299999999999996</v>
      </c>
      <c r="AJ646">
        <v>2.766666667</v>
      </c>
      <c r="AK646">
        <v>6.4846926969999998</v>
      </c>
      <c r="AL646">
        <v>5.6000000000000001E-2</v>
      </c>
      <c r="AM646">
        <v>7.9000000000000001E-2</v>
      </c>
      <c r="AN646">
        <v>0.84099999999999997</v>
      </c>
    </row>
    <row r="647" spans="1:40">
      <c r="A647">
        <v>2715</v>
      </c>
      <c r="B647" t="s">
        <v>691</v>
      </c>
      <c r="C647" t="s">
        <v>684</v>
      </c>
      <c r="D647" t="s">
        <v>685</v>
      </c>
      <c r="E647">
        <v>699</v>
      </c>
      <c r="F647">
        <v>2318</v>
      </c>
      <c r="G647">
        <v>115.8400101</v>
      </c>
      <c r="H647">
        <v>212</v>
      </c>
      <c r="I647">
        <v>0.18106836400000001</v>
      </c>
      <c r="J647">
        <v>2530</v>
      </c>
      <c r="K647">
        <v>13972.62307</v>
      </c>
      <c r="L647">
        <v>0.82899999999999996</v>
      </c>
      <c r="M647">
        <v>0.23271130600000001</v>
      </c>
      <c r="N647">
        <v>0</v>
      </c>
      <c r="O647" t="s">
        <v>620</v>
      </c>
      <c r="P647">
        <f t="shared" si="83"/>
        <v>14.72336406</v>
      </c>
      <c r="Q647">
        <f t="shared" si="84"/>
        <v>0.02</v>
      </c>
      <c r="R647">
        <f t="shared" si="85"/>
        <v>2.5000000000000001E-2</v>
      </c>
      <c r="S647">
        <f t="shared" si="86"/>
        <v>0.82899999999999996</v>
      </c>
      <c r="T647">
        <f t="shared" si="87"/>
        <v>1.582045455</v>
      </c>
      <c r="U647">
        <f t="shared" si="88"/>
        <v>6.8109022039999996</v>
      </c>
      <c r="V647">
        <f t="shared" si="89"/>
        <v>1.7000000000000001E-2</v>
      </c>
      <c r="W647">
        <f t="shared" si="90"/>
        <v>7.0999999999999994E-2</v>
      </c>
      <c r="X647">
        <f t="shared" si="91"/>
        <v>0.91200000000000003</v>
      </c>
      <c r="Y647">
        <v>213.31970390000001</v>
      </c>
      <c r="Z647">
        <v>0</v>
      </c>
      <c r="AA647">
        <v>236250</v>
      </c>
      <c r="AB647">
        <v>76158</v>
      </c>
      <c r="AC647">
        <v>1.7652984E-2</v>
      </c>
      <c r="AD647">
        <v>0.84750225300000004</v>
      </c>
      <c r="AF647">
        <v>14.72336406</v>
      </c>
      <c r="AG647">
        <v>0.02</v>
      </c>
      <c r="AH647">
        <v>2.5000000000000001E-2</v>
      </c>
      <c r="AI647">
        <v>0.82899999999999996</v>
      </c>
      <c r="AJ647">
        <v>1.582045455</v>
      </c>
      <c r="AK647">
        <v>6.8109022039999996</v>
      </c>
      <c r="AL647">
        <v>1.7000000000000001E-2</v>
      </c>
      <c r="AM647">
        <v>7.0999999999999994E-2</v>
      </c>
      <c r="AN647">
        <v>0.91200000000000003</v>
      </c>
    </row>
    <row r="648" spans="1:40">
      <c r="A648">
        <v>2716</v>
      </c>
      <c r="B648" t="s">
        <v>691</v>
      </c>
      <c r="C648" t="s">
        <v>684</v>
      </c>
      <c r="D648" t="s">
        <v>685</v>
      </c>
      <c r="E648">
        <v>472</v>
      </c>
      <c r="F648">
        <v>1491</v>
      </c>
      <c r="G648">
        <v>95.003476480000003</v>
      </c>
      <c r="H648">
        <v>314</v>
      </c>
      <c r="I648">
        <v>0.14849531999999999</v>
      </c>
      <c r="J648">
        <v>1805</v>
      </c>
      <c r="K648">
        <v>12155.265230000001</v>
      </c>
      <c r="L648">
        <v>0.86</v>
      </c>
      <c r="M648">
        <v>0.39949109399999999</v>
      </c>
      <c r="N648">
        <v>0</v>
      </c>
      <c r="O648" t="s">
        <v>620</v>
      </c>
      <c r="P648">
        <f t="shared" si="83"/>
        <v>14.083953490000001</v>
      </c>
      <c r="Q648">
        <f t="shared" si="84"/>
        <v>2.1000000000000001E-2</v>
      </c>
      <c r="R648">
        <f t="shared" si="85"/>
        <v>7.0000000000000001E-3</v>
      </c>
      <c r="S648">
        <f t="shared" si="86"/>
        <v>0.86</v>
      </c>
      <c r="T648">
        <f t="shared" si="87"/>
        <v>2.09</v>
      </c>
      <c r="U648">
        <f t="shared" si="88"/>
        <v>6.967323446</v>
      </c>
      <c r="V648">
        <f t="shared" si="89"/>
        <v>0.01</v>
      </c>
      <c r="W648">
        <f t="shared" si="90"/>
        <v>7.6999999999999999E-2</v>
      </c>
      <c r="X648">
        <f t="shared" si="91"/>
        <v>0.88200000000000001</v>
      </c>
      <c r="Y648">
        <v>75.615497399999995</v>
      </c>
      <c r="Z648">
        <v>0</v>
      </c>
      <c r="AA648">
        <v>236250</v>
      </c>
      <c r="AB648">
        <v>76158</v>
      </c>
      <c r="AC648">
        <v>1.7652984E-2</v>
      </c>
      <c r="AD648">
        <v>0.84750225300000004</v>
      </c>
      <c r="AF648">
        <v>14.083953490000001</v>
      </c>
      <c r="AG648">
        <v>2.1000000000000001E-2</v>
      </c>
      <c r="AH648">
        <v>7.0000000000000001E-3</v>
      </c>
      <c r="AI648">
        <v>0.86</v>
      </c>
      <c r="AJ648">
        <v>2.09</v>
      </c>
      <c r="AK648">
        <v>6.967323446</v>
      </c>
      <c r="AL648">
        <v>0.01</v>
      </c>
      <c r="AM648">
        <v>7.6999999999999999E-2</v>
      </c>
      <c r="AN648">
        <v>0.88200000000000001</v>
      </c>
    </row>
    <row r="649" spans="1:40">
      <c r="A649">
        <v>2717</v>
      </c>
      <c r="B649" t="s">
        <v>691</v>
      </c>
      <c r="C649" t="s">
        <v>684</v>
      </c>
      <c r="D649" t="s">
        <v>685</v>
      </c>
      <c r="E649">
        <v>209</v>
      </c>
      <c r="F649">
        <v>668</v>
      </c>
      <c r="G649">
        <v>81.170034939999994</v>
      </c>
      <c r="H649">
        <v>239</v>
      </c>
      <c r="I649">
        <v>0.126873548</v>
      </c>
      <c r="J649">
        <v>907</v>
      </c>
      <c r="K649">
        <v>7148.8502870000002</v>
      </c>
      <c r="L649">
        <v>0.84499999999999997</v>
      </c>
      <c r="M649">
        <v>0.53348214299999996</v>
      </c>
      <c r="N649">
        <v>0</v>
      </c>
      <c r="O649" t="s">
        <v>620</v>
      </c>
      <c r="P649">
        <f t="shared" si="83"/>
        <v>14.027702700000001</v>
      </c>
      <c r="Q649">
        <f t="shared" si="84"/>
        <v>2.8000000000000001E-2</v>
      </c>
      <c r="R649">
        <f t="shared" si="85"/>
        <v>1.4999999999999999E-2</v>
      </c>
      <c r="S649">
        <f t="shared" si="86"/>
        <v>0.84499999999999997</v>
      </c>
      <c r="T649">
        <f t="shared" si="87"/>
        <v>2.3540000000000001</v>
      </c>
      <c r="U649">
        <f t="shared" si="88"/>
        <v>6.5801773050000003</v>
      </c>
      <c r="V649">
        <f t="shared" si="89"/>
        <v>2.5000000000000001E-2</v>
      </c>
      <c r="W649">
        <f t="shared" si="90"/>
        <v>4.9000000000000002E-2</v>
      </c>
      <c r="X649">
        <f t="shared" si="91"/>
        <v>0.91400000000000003</v>
      </c>
      <c r="Y649">
        <v>76.344092689999997</v>
      </c>
      <c r="Z649">
        <v>0</v>
      </c>
      <c r="AA649">
        <v>236250</v>
      </c>
      <c r="AB649">
        <v>76158</v>
      </c>
      <c r="AC649">
        <v>1.7652984E-2</v>
      </c>
      <c r="AD649">
        <v>0.84750225300000004</v>
      </c>
      <c r="AF649">
        <v>14.027702700000001</v>
      </c>
      <c r="AG649">
        <v>2.8000000000000001E-2</v>
      </c>
      <c r="AH649">
        <v>1.4999999999999999E-2</v>
      </c>
      <c r="AI649">
        <v>0.84499999999999997</v>
      </c>
      <c r="AJ649">
        <v>2.3540000000000001</v>
      </c>
      <c r="AK649">
        <v>6.5801773050000003</v>
      </c>
      <c r="AL649">
        <v>2.5000000000000001E-2</v>
      </c>
      <c r="AM649">
        <v>4.9000000000000002E-2</v>
      </c>
      <c r="AN649">
        <v>0.91400000000000003</v>
      </c>
    </row>
    <row r="650" spans="1:40">
      <c r="A650">
        <v>2718</v>
      </c>
      <c r="B650" t="s">
        <v>691</v>
      </c>
      <c r="C650" t="s">
        <v>684</v>
      </c>
      <c r="D650" t="s">
        <v>685</v>
      </c>
      <c r="E650">
        <v>984</v>
      </c>
      <c r="F650">
        <v>3137</v>
      </c>
      <c r="G650">
        <v>155.18830650000001</v>
      </c>
      <c r="H650">
        <v>422</v>
      </c>
      <c r="I650">
        <v>0.24257072900000001</v>
      </c>
      <c r="J650">
        <v>3559</v>
      </c>
      <c r="K650">
        <v>14672.009330000001</v>
      </c>
      <c r="L650">
        <v>0.83</v>
      </c>
      <c r="M650">
        <v>0.300142248</v>
      </c>
      <c r="N650">
        <v>0</v>
      </c>
      <c r="O650" t="s">
        <v>620</v>
      </c>
      <c r="P650">
        <f t="shared" si="83"/>
        <v>14.491494250000001</v>
      </c>
      <c r="Q650">
        <f t="shared" si="84"/>
        <v>1.6E-2</v>
      </c>
      <c r="R650">
        <f t="shared" si="85"/>
        <v>2.1999999999999999E-2</v>
      </c>
      <c r="S650">
        <f t="shared" si="86"/>
        <v>0.83</v>
      </c>
      <c r="T650">
        <f t="shared" si="87"/>
        <v>1.846538462</v>
      </c>
      <c r="U650">
        <f t="shared" si="88"/>
        <v>7.4273424800000001</v>
      </c>
      <c r="V650">
        <f t="shared" si="89"/>
        <v>5.8000000000000003E-2</v>
      </c>
      <c r="W650">
        <f t="shared" si="90"/>
        <v>6.7000000000000004E-2</v>
      </c>
      <c r="X650">
        <f t="shared" si="91"/>
        <v>0.83699999999999997</v>
      </c>
      <c r="Y650">
        <v>126.38631549999999</v>
      </c>
      <c r="Z650">
        <v>0</v>
      </c>
      <c r="AA650">
        <v>236250</v>
      </c>
      <c r="AB650">
        <v>76158</v>
      </c>
      <c r="AC650">
        <v>1.7652984E-2</v>
      </c>
      <c r="AD650">
        <v>0.84750225300000004</v>
      </c>
      <c r="AF650">
        <v>14.491494250000001</v>
      </c>
      <c r="AG650">
        <v>1.6E-2</v>
      </c>
      <c r="AH650">
        <v>2.1999999999999999E-2</v>
      </c>
      <c r="AI650">
        <v>0.83</v>
      </c>
      <c r="AJ650">
        <v>1.846538462</v>
      </c>
      <c r="AK650">
        <v>7.4273424800000001</v>
      </c>
      <c r="AL650">
        <v>5.8000000000000003E-2</v>
      </c>
      <c r="AM650">
        <v>6.7000000000000004E-2</v>
      </c>
      <c r="AN650">
        <v>0.83699999999999997</v>
      </c>
    </row>
    <row r="651" spans="1:40">
      <c r="A651">
        <v>2719</v>
      </c>
      <c r="B651" t="s">
        <v>689</v>
      </c>
      <c r="C651" t="s">
        <v>687</v>
      </c>
      <c r="D651" t="s">
        <v>688</v>
      </c>
      <c r="E651">
        <v>542</v>
      </c>
      <c r="F651">
        <v>1513</v>
      </c>
      <c r="G651">
        <v>158.09836250000001</v>
      </c>
      <c r="H651">
        <v>388</v>
      </c>
      <c r="I651">
        <v>0.247125335</v>
      </c>
      <c r="J651">
        <v>1901</v>
      </c>
      <c r="K651">
        <v>7692.4529000000002</v>
      </c>
      <c r="L651">
        <v>0.746</v>
      </c>
      <c r="M651">
        <v>0.417204301</v>
      </c>
      <c r="N651">
        <v>0</v>
      </c>
      <c r="O651" t="s">
        <v>613</v>
      </c>
      <c r="P651">
        <f t="shared" si="83"/>
        <v>12.86829412</v>
      </c>
      <c r="Q651">
        <f t="shared" si="84"/>
        <v>2.5999999999999999E-2</v>
      </c>
      <c r="R651">
        <f t="shared" si="85"/>
        <v>2.7E-2</v>
      </c>
      <c r="S651">
        <f t="shared" si="86"/>
        <v>0.746</v>
      </c>
      <c r="T651">
        <f t="shared" si="87"/>
        <v>1.9232692309999999</v>
      </c>
      <c r="U651">
        <f t="shared" si="88"/>
        <v>6.4738367050000001</v>
      </c>
      <c r="V651">
        <f t="shared" si="89"/>
        <v>4.3999999999999997E-2</v>
      </c>
      <c r="W651">
        <f t="shared" si="90"/>
        <v>8.3000000000000004E-2</v>
      </c>
      <c r="X651">
        <f t="shared" si="91"/>
        <v>0.82899999999999996</v>
      </c>
      <c r="Y651">
        <v>122.7195073</v>
      </c>
      <c r="Z651">
        <v>0</v>
      </c>
      <c r="AA651">
        <v>454184</v>
      </c>
      <c r="AB651">
        <v>170596</v>
      </c>
      <c r="AC651">
        <v>6.5715274000000004E-2</v>
      </c>
      <c r="AD651">
        <v>0.72549415100000003</v>
      </c>
      <c r="AF651">
        <v>12.86829412</v>
      </c>
      <c r="AG651">
        <v>2.5999999999999999E-2</v>
      </c>
      <c r="AH651">
        <v>2.7E-2</v>
      </c>
      <c r="AI651">
        <v>0.746</v>
      </c>
      <c r="AJ651">
        <v>1.9232692309999999</v>
      </c>
      <c r="AK651">
        <v>6.4738367050000001</v>
      </c>
      <c r="AL651">
        <v>4.3999999999999997E-2</v>
      </c>
      <c r="AM651">
        <v>8.3000000000000004E-2</v>
      </c>
      <c r="AN651">
        <v>0.82899999999999996</v>
      </c>
    </row>
    <row r="652" spans="1:40">
      <c r="A652">
        <v>2720</v>
      </c>
      <c r="B652" t="s">
        <v>689</v>
      </c>
      <c r="C652" t="s">
        <v>687</v>
      </c>
      <c r="D652" t="s">
        <v>688</v>
      </c>
      <c r="E652">
        <v>289</v>
      </c>
      <c r="F652">
        <v>698</v>
      </c>
      <c r="G652">
        <v>29.60628342</v>
      </c>
      <c r="H652">
        <v>48</v>
      </c>
      <c r="I652">
        <v>4.6278138000000003E-2</v>
      </c>
      <c r="J652">
        <v>746</v>
      </c>
      <c r="K652">
        <v>16119.92254</v>
      </c>
      <c r="L652">
        <v>0.753</v>
      </c>
      <c r="M652">
        <v>0.14243323399999999</v>
      </c>
      <c r="N652">
        <v>0</v>
      </c>
      <c r="O652" t="s">
        <v>613</v>
      </c>
      <c r="P652">
        <f t="shared" ref="P652:P715" si="92">IF(OR(IFERROR(AF652=0,TRUE),ISERROR(AF652)),AVERAGEIFS(AF:AF,$B:$B,$B652,AF:AF,"&gt;0"),AF652)</f>
        <v>9.8578048779999996</v>
      </c>
      <c r="Q652">
        <f t="shared" ref="Q652:Q715" si="93">IF(OR(IFERROR(AG652=0,TRUE),ISERROR(AG652)),AVERAGEIFS(AG:AG,$B:$B,$B652,AG:AG,"&gt;0"),AG652)</f>
        <v>7.0999999999999994E-2</v>
      </c>
      <c r="R652">
        <f t="shared" ref="R652:R715" si="94">IF(OR(IFERROR(AH652=0,TRUE),ISERROR(AH652)),AVERAGEIFS(AH:AH,$B:$B,$B652,AH:AH,"&gt;0"),AH652)</f>
        <v>3.3000000000000002E-2</v>
      </c>
      <c r="S652">
        <f t="shared" ref="S652:S715" si="95">IF(OR(IFERROR(AI652=0,TRUE),ISERROR(AI652)),AVERAGEIFS(AI:AI,$B:$B,$B652,AI:AI,"&gt;0"),AI652)</f>
        <v>0.753</v>
      </c>
      <c r="T652">
        <f t="shared" ref="T652:T715" si="96">IF(OR(IFERROR(AJ652=0,TRUE),ISERROR(AJ652)),AVERAGEIFS(AJ:AJ,$B:$B,$B652,AJ:AJ,"&gt;0"),AJ652)</f>
        <v>1.5024999999999999</v>
      </c>
      <c r="U652">
        <f t="shared" ref="U652:U715" si="97">IF(OR(IFERROR(AK652=0,TRUE),ISERROR(AK652)),AVERAGEIFS(AK:AK,$B:$B,$B652,AK:AK,"&gt;0"),AK652)</f>
        <v>6.4634432229999996</v>
      </c>
      <c r="V652">
        <f t="shared" ref="V652:V715" si="98">IF(OR(IFERROR(AL652=0,TRUE),ISERROR(AL652)),AVERAGEIFS(AL:AL,$B:$B,$B652,AL:AL,"&gt;0"),AL652)</f>
        <v>0.11799999999999999</v>
      </c>
      <c r="W652">
        <f t="shared" ref="W652:W715" si="99">IF(OR(IFERROR(AM652=0,TRUE),ISERROR(AM652)),AVERAGEIFS(AM:AM,$B:$B,$B652,AM:AM,"&gt;0"),AM652)</f>
        <v>0.25</v>
      </c>
      <c r="X652">
        <f t="shared" ref="X652:X715" si="100">IF(OR(IFERROR(AN652=0,TRUE),ISERROR(AN652)),AVERAGEIFS(AN:AN,$B:$B,$B652,AN:AN,"&gt;0"),AN652)</f>
        <v>0.60299999999999998</v>
      </c>
      <c r="Y652">
        <v>115.2945168</v>
      </c>
      <c r="Z652">
        <v>0</v>
      </c>
      <c r="AA652">
        <v>454184</v>
      </c>
      <c r="AB652">
        <v>170596</v>
      </c>
      <c r="AC652">
        <v>6.5715274000000004E-2</v>
      </c>
      <c r="AD652">
        <v>0.72549415100000003</v>
      </c>
      <c r="AF652">
        <v>9.8578048779999996</v>
      </c>
      <c r="AG652">
        <v>7.0999999999999994E-2</v>
      </c>
      <c r="AH652">
        <v>3.3000000000000002E-2</v>
      </c>
      <c r="AI652">
        <v>0.753</v>
      </c>
      <c r="AJ652">
        <v>1.5024999999999999</v>
      </c>
      <c r="AK652">
        <v>6.4634432229999996</v>
      </c>
      <c r="AL652">
        <v>0.11799999999999999</v>
      </c>
      <c r="AM652">
        <v>0.25</v>
      </c>
      <c r="AN652">
        <v>0.60299999999999998</v>
      </c>
    </row>
    <row r="653" spans="1:40">
      <c r="A653">
        <v>2721</v>
      </c>
      <c r="B653" t="s">
        <v>683</v>
      </c>
      <c r="C653" t="s">
        <v>684</v>
      </c>
      <c r="D653" t="s">
        <v>685</v>
      </c>
      <c r="E653">
        <v>427</v>
      </c>
      <c r="F653">
        <v>1630</v>
      </c>
      <c r="G653">
        <v>102.6325105</v>
      </c>
      <c r="H653">
        <v>88</v>
      </c>
      <c r="I653">
        <v>0.160421287</v>
      </c>
      <c r="J653">
        <v>1718</v>
      </c>
      <c r="K653">
        <v>10709.301939999999</v>
      </c>
      <c r="L653">
        <v>0.84299999999999997</v>
      </c>
      <c r="M653">
        <v>0.170873786</v>
      </c>
      <c r="N653">
        <v>0</v>
      </c>
      <c r="O653" t="s">
        <v>620</v>
      </c>
      <c r="P653">
        <f t="shared" si="92"/>
        <v>13.407952760000001</v>
      </c>
      <c r="Q653">
        <f t="shared" si="93"/>
        <v>1.4E-2</v>
      </c>
      <c r="R653">
        <f t="shared" si="94"/>
        <v>3.1E-2</v>
      </c>
      <c r="S653">
        <f t="shared" si="95"/>
        <v>0.84299999999999997</v>
      </c>
      <c r="T653">
        <f t="shared" si="96"/>
        <v>2.128214286</v>
      </c>
      <c r="U653">
        <f t="shared" si="97"/>
        <v>6.9328032349999997</v>
      </c>
      <c r="V653">
        <f t="shared" si="98"/>
        <v>6.8000000000000005E-2</v>
      </c>
      <c r="W653">
        <f t="shared" si="99"/>
        <v>3.4000000000000002E-2</v>
      </c>
      <c r="X653">
        <f t="shared" si="100"/>
        <v>0.87</v>
      </c>
      <c r="Y653">
        <v>263.14922810000002</v>
      </c>
      <c r="Z653">
        <v>0</v>
      </c>
      <c r="AA653">
        <v>75370</v>
      </c>
      <c r="AB653">
        <v>21403</v>
      </c>
      <c r="AC653">
        <v>2.4597187E-2</v>
      </c>
      <c r="AD653">
        <v>0.84342094400000001</v>
      </c>
      <c r="AF653">
        <v>13.407952760000001</v>
      </c>
      <c r="AG653">
        <v>1.4E-2</v>
      </c>
      <c r="AH653">
        <v>3.1E-2</v>
      </c>
      <c r="AI653">
        <v>0.84299999999999997</v>
      </c>
      <c r="AJ653">
        <v>2.128214286</v>
      </c>
      <c r="AK653">
        <v>6.9328032349999997</v>
      </c>
      <c r="AL653">
        <v>6.8000000000000005E-2</v>
      </c>
      <c r="AM653">
        <v>3.4000000000000002E-2</v>
      </c>
      <c r="AN653">
        <v>0.87</v>
      </c>
    </row>
    <row r="654" spans="1:40">
      <c r="A654">
        <v>2722</v>
      </c>
      <c r="B654" t="s">
        <v>705</v>
      </c>
      <c r="C654" t="s">
        <v>696</v>
      </c>
      <c r="D654" t="s">
        <v>697</v>
      </c>
      <c r="E654">
        <v>365</v>
      </c>
      <c r="F654">
        <v>1354</v>
      </c>
      <c r="G654">
        <v>61.368501600000002</v>
      </c>
      <c r="H654">
        <v>103</v>
      </c>
      <c r="I654">
        <v>9.5917723999999996E-2</v>
      </c>
      <c r="J654">
        <v>1457</v>
      </c>
      <c r="K654">
        <v>15190.10188</v>
      </c>
      <c r="L654">
        <v>0.84199999999999997</v>
      </c>
      <c r="M654">
        <v>0.22008547000000001</v>
      </c>
      <c r="N654">
        <v>0</v>
      </c>
      <c r="O654" t="s">
        <v>620</v>
      </c>
      <c r="P654">
        <f t="shared" si="92"/>
        <v>11.73764706</v>
      </c>
      <c r="Q654">
        <f t="shared" si="93"/>
        <v>2.3E-2</v>
      </c>
      <c r="R654">
        <f t="shared" si="94"/>
        <v>1.4E-2</v>
      </c>
      <c r="S654">
        <f t="shared" si="95"/>
        <v>0.84199999999999997</v>
      </c>
      <c r="T654">
        <f t="shared" si="96"/>
        <v>1.44</v>
      </c>
      <c r="U654">
        <f t="shared" si="97"/>
        <v>7.5725037710000001</v>
      </c>
      <c r="V654">
        <f t="shared" si="98"/>
        <v>1.7000000000000001E-2</v>
      </c>
      <c r="W654">
        <f t="shared" si="99"/>
        <v>0.10299999999999999</v>
      </c>
      <c r="X654">
        <f t="shared" si="100"/>
        <v>0.879</v>
      </c>
      <c r="Y654">
        <v>142.13984490000001</v>
      </c>
      <c r="Z654">
        <v>0</v>
      </c>
      <c r="AA654">
        <v>152832</v>
      </c>
      <c r="AB654">
        <v>45686</v>
      </c>
      <c r="AC654">
        <v>2.1596295000000001E-2</v>
      </c>
      <c r="AD654">
        <v>0.84212384500000004</v>
      </c>
      <c r="AF654">
        <v>11.73764706</v>
      </c>
      <c r="AG654">
        <v>2.3E-2</v>
      </c>
      <c r="AH654">
        <v>1.4E-2</v>
      </c>
      <c r="AI654">
        <v>0.84199999999999997</v>
      </c>
      <c r="AJ654">
        <v>1.44</v>
      </c>
      <c r="AK654">
        <v>7.5725037710000001</v>
      </c>
      <c r="AL654">
        <v>1.7000000000000001E-2</v>
      </c>
      <c r="AM654">
        <v>0.10299999999999999</v>
      </c>
      <c r="AN654">
        <v>0.879</v>
      </c>
    </row>
    <row r="655" spans="1:40">
      <c r="A655">
        <v>2723</v>
      </c>
      <c r="B655" t="s">
        <v>691</v>
      </c>
      <c r="C655" t="s">
        <v>684</v>
      </c>
      <c r="D655" t="s">
        <v>685</v>
      </c>
      <c r="E655">
        <v>264</v>
      </c>
      <c r="F655">
        <v>896</v>
      </c>
      <c r="G655">
        <v>68.28245244</v>
      </c>
      <c r="H655">
        <v>49</v>
      </c>
      <c r="I655">
        <v>0.106733063</v>
      </c>
      <c r="J655">
        <v>945</v>
      </c>
      <c r="K655">
        <v>8853.8637739999995</v>
      </c>
      <c r="L655">
        <v>0.84199999999999997</v>
      </c>
      <c r="M655">
        <v>0.156549521</v>
      </c>
      <c r="N655">
        <v>0</v>
      </c>
      <c r="O655" t="s">
        <v>620</v>
      </c>
      <c r="P655">
        <f t="shared" si="92"/>
        <v>12.731833330000001</v>
      </c>
      <c r="Q655">
        <f t="shared" si="93"/>
        <v>2.3E-2</v>
      </c>
      <c r="R655">
        <f t="shared" si="94"/>
        <v>1.2999999999999999E-2</v>
      </c>
      <c r="S655">
        <f t="shared" si="95"/>
        <v>0.84199999999999997</v>
      </c>
      <c r="T655">
        <f t="shared" si="96"/>
        <v>2.3087499999999999</v>
      </c>
      <c r="U655">
        <f t="shared" si="97"/>
        <v>6.1933195879999996</v>
      </c>
      <c r="V655">
        <f t="shared" si="98"/>
        <v>4.2999999999999997E-2</v>
      </c>
      <c r="W655">
        <f t="shared" si="99"/>
        <v>0.1</v>
      </c>
      <c r="X655">
        <f t="shared" si="100"/>
        <v>0.85699999999999998</v>
      </c>
      <c r="Y655">
        <v>78.93645137</v>
      </c>
      <c r="Z655">
        <v>0</v>
      </c>
      <c r="AA655">
        <v>236250</v>
      </c>
      <c r="AB655">
        <v>76158</v>
      </c>
      <c r="AC655">
        <v>1.7652984E-2</v>
      </c>
      <c r="AD655">
        <v>0.84750225300000004</v>
      </c>
      <c r="AF655">
        <v>12.731833330000001</v>
      </c>
      <c r="AG655">
        <v>2.3E-2</v>
      </c>
      <c r="AH655">
        <v>1.2999999999999999E-2</v>
      </c>
      <c r="AI655">
        <v>0.84199999999999997</v>
      </c>
      <c r="AJ655">
        <v>2.3087499999999999</v>
      </c>
      <c r="AK655">
        <v>6.1933195879999996</v>
      </c>
      <c r="AL655">
        <v>4.2999999999999997E-2</v>
      </c>
      <c r="AM655">
        <v>0.1</v>
      </c>
      <c r="AN655">
        <v>0.85699999999999998</v>
      </c>
    </row>
    <row r="656" spans="1:40">
      <c r="A656">
        <v>2724</v>
      </c>
      <c r="B656" t="s">
        <v>701</v>
      </c>
      <c r="C656" t="s">
        <v>696</v>
      </c>
      <c r="D656" t="s">
        <v>697</v>
      </c>
      <c r="E656">
        <v>781</v>
      </c>
      <c r="F656">
        <v>2424</v>
      </c>
      <c r="G656">
        <v>105.155554</v>
      </c>
      <c r="H656">
        <v>394</v>
      </c>
      <c r="I656">
        <v>0.164371664</v>
      </c>
      <c r="J656">
        <v>2818</v>
      </c>
      <c r="K656">
        <v>17144.07418</v>
      </c>
      <c r="L656">
        <v>0.77800000000000002</v>
      </c>
      <c r="M656">
        <v>0.33531914899999998</v>
      </c>
      <c r="N656">
        <v>1</v>
      </c>
      <c r="O656" t="s">
        <v>613</v>
      </c>
      <c r="P656">
        <f t="shared" si="92"/>
        <v>13.44263415</v>
      </c>
      <c r="Q656">
        <f t="shared" si="93"/>
        <v>4.9000000000000002E-2</v>
      </c>
      <c r="R656">
        <f t="shared" si="94"/>
        <v>2.5000000000000001E-2</v>
      </c>
      <c r="S656">
        <f t="shared" si="95"/>
        <v>0.77800000000000002</v>
      </c>
      <c r="T656">
        <f t="shared" si="96"/>
        <v>2.2697916669999998</v>
      </c>
      <c r="U656">
        <f t="shared" si="97"/>
        <v>6.1195916959999996</v>
      </c>
      <c r="V656">
        <f t="shared" si="98"/>
        <v>5.8000000000000003E-2</v>
      </c>
      <c r="W656">
        <f t="shared" si="99"/>
        <v>0.152</v>
      </c>
      <c r="X656">
        <f t="shared" si="100"/>
        <v>0.74</v>
      </c>
      <c r="Y656">
        <v>68.996847959999997</v>
      </c>
      <c r="Z656">
        <v>0</v>
      </c>
      <c r="AA656">
        <v>22589</v>
      </c>
      <c r="AB656">
        <v>7233</v>
      </c>
      <c r="AC656">
        <v>3.8721845999999997E-2</v>
      </c>
      <c r="AD656">
        <v>0.78947076400000005</v>
      </c>
      <c r="AF656">
        <v>13.44263415</v>
      </c>
      <c r="AG656">
        <v>4.9000000000000002E-2</v>
      </c>
      <c r="AH656">
        <v>2.5000000000000001E-2</v>
      </c>
      <c r="AI656">
        <v>0.77800000000000002</v>
      </c>
      <c r="AJ656">
        <v>2.2697916669999998</v>
      </c>
      <c r="AK656">
        <v>6.1195916959999996</v>
      </c>
      <c r="AL656">
        <v>5.8000000000000003E-2</v>
      </c>
      <c r="AM656">
        <v>0.152</v>
      </c>
      <c r="AN656">
        <v>0.74</v>
      </c>
    </row>
    <row r="657" spans="1:40">
      <c r="A657">
        <v>2725</v>
      </c>
      <c r="B657" t="s">
        <v>689</v>
      </c>
      <c r="C657" t="s">
        <v>687</v>
      </c>
      <c r="D657" t="s">
        <v>688</v>
      </c>
      <c r="E657">
        <v>262</v>
      </c>
      <c r="F657">
        <v>669</v>
      </c>
      <c r="G657">
        <v>23.713724169999999</v>
      </c>
      <c r="H657">
        <v>0</v>
      </c>
      <c r="I657">
        <v>3.7065870000000001E-2</v>
      </c>
      <c r="J657">
        <v>669</v>
      </c>
      <c r="K657">
        <v>18048.949069999999</v>
      </c>
      <c r="L657">
        <v>0.69699999999999995</v>
      </c>
      <c r="M657">
        <v>0</v>
      </c>
      <c r="N657">
        <v>0</v>
      </c>
      <c r="O657" t="s">
        <v>613</v>
      </c>
      <c r="P657">
        <f t="shared" si="92"/>
        <v>7.8695000000000004</v>
      </c>
      <c r="Q657">
        <f t="shared" si="93"/>
        <v>3.6999999999999998E-2</v>
      </c>
      <c r="R657">
        <f t="shared" si="94"/>
        <v>4.5999999999999999E-2</v>
      </c>
      <c r="S657">
        <f t="shared" si="95"/>
        <v>0.69699999999999995</v>
      </c>
      <c r="T657">
        <f t="shared" si="96"/>
        <v>1.778125</v>
      </c>
      <c r="U657">
        <f t="shared" si="97"/>
        <v>4.7303603599999997</v>
      </c>
      <c r="V657">
        <f t="shared" si="98"/>
        <v>5.5E-2</v>
      </c>
      <c r="W657">
        <f t="shared" si="99"/>
        <v>0.218</v>
      </c>
      <c r="X657">
        <f t="shared" si="100"/>
        <v>0.72699999999999998</v>
      </c>
      <c r="Y657">
        <v>189.1637528</v>
      </c>
      <c r="Z657">
        <v>0</v>
      </c>
      <c r="AA657">
        <v>454184</v>
      </c>
      <c r="AB657">
        <v>170596</v>
      </c>
      <c r="AC657">
        <v>6.5715274000000004E-2</v>
      </c>
      <c r="AD657">
        <v>0.72549415100000003</v>
      </c>
      <c r="AF657">
        <v>7.8695000000000004</v>
      </c>
      <c r="AG657">
        <v>3.6999999999999998E-2</v>
      </c>
      <c r="AH657">
        <v>4.5999999999999999E-2</v>
      </c>
      <c r="AI657">
        <v>0.69699999999999995</v>
      </c>
      <c r="AJ657">
        <v>1.778125</v>
      </c>
      <c r="AK657">
        <v>4.7303603599999997</v>
      </c>
      <c r="AL657">
        <v>5.5E-2</v>
      </c>
      <c r="AM657">
        <v>0.218</v>
      </c>
      <c r="AN657">
        <v>0.72699999999999998</v>
      </c>
    </row>
    <row r="658" spans="1:40">
      <c r="A658">
        <v>2726</v>
      </c>
      <c r="B658" t="s">
        <v>689</v>
      </c>
      <c r="C658" t="s">
        <v>687</v>
      </c>
      <c r="D658" t="s">
        <v>688</v>
      </c>
      <c r="E658">
        <v>440</v>
      </c>
      <c r="F658">
        <v>1063</v>
      </c>
      <c r="G658">
        <v>43.67936907</v>
      </c>
      <c r="H658">
        <v>88</v>
      </c>
      <c r="I658">
        <v>6.8280215000000005E-2</v>
      </c>
      <c r="J658">
        <v>1151</v>
      </c>
      <c r="K658">
        <v>16857.006089999999</v>
      </c>
      <c r="L658">
        <v>0.71099999999999997</v>
      </c>
      <c r="M658">
        <v>0.16666666699999999</v>
      </c>
      <c r="N658">
        <v>0</v>
      </c>
      <c r="O658" t="s">
        <v>613</v>
      </c>
      <c r="P658">
        <f t="shared" si="92"/>
        <v>8.4869791669999994</v>
      </c>
      <c r="Q658">
        <f t="shared" si="93"/>
        <v>6.3E-2</v>
      </c>
      <c r="R658">
        <f t="shared" si="94"/>
        <v>5.8000000000000003E-2</v>
      </c>
      <c r="S658">
        <f t="shared" si="95"/>
        <v>0.71099999999999997</v>
      </c>
      <c r="T658">
        <f t="shared" si="96"/>
        <v>1.6756097560000001</v>
      </c>
      <c r="U658">
        <f t="shared" si="97"/>
        <v>5.9377148850000001</v>
      </c>
      <c r="V658">
        <f t="shared" si="98"/>
        <v>0.105</v>
      </c>
      <c r="W658">
        <f t="shared" si="99"/>
        <v>0.22900000000000001</v>
      </c>
      <c r="X658">
        <f t="shared" si="100"/>
        <v>0.627</v>
      </c>
      <c r="Y658">
        <v>146.5660096</v>
      </c>
      <c r="Z658">
        <v>0</v>
      </c>
      <c r="AA658">
        <v>454184</v>
      </c>
      <c r="AB658">
        <v>170596</v>
      </c>
      <c r="AC658">
        <v>6.5715274000000004E-2</v>
      </c>
      <c r="AD658">
        <v>0.72549415100000003</v>
      </c>
      <c r="AF658">
        <v>8.4869791669999994</v>
      </c>
      <c r="AG658">
        <v>6.3E-2</v>
      </c>
      <c r="AH658">
        <v>5.8000000000000003E-2</v>
      </c>
      <c r="AI658">
        <v>0.71099999999999997</v>
      </c>
      <c r="AJ658">
        <v>1.6756097560000001</v>
      </c>
      <c r="AK658">
        <v>5.9377148850000001</v>
      </c>
      <c r="AL658">
        <v>0.105</v>
      </c>
      <c r="AM658">
        <v>0.22900000000000001</v>
      </c>
      <c r="AN658">
        <v>0.627</v>
      </c>
    </row>
    <row r="659" spans="1:40">
      <c r="A659">
        <v>2727</v>
      </c>
      <c r="B659" t="s">
        <v>689</v>
      </c>
      <c r="C659" t="s">
        <v>687</v>
      </c>
      <c r="D659" t="s">
        <v>688</v>
      </c>
      <c r="E659">
        <v>487</v>
      </c>
      <c r="F659">
        <v>1090</v>
      </c>
      <c r="G659">
        <v>56.208368569999998</v>
      </c>
      <c r="H659">
        <v>224</v>
      </c>
      <c r="I659">
        <v>8.7867189999999998E-2</v>
      </c>
      <c r="J659">
        <v>1314</v>
      </c>
      <c r="K659">
        <v>14954.387409999999</v>
      </c>
      <c r="L659">
        <v>0.76400000000000001</v>
      </c>
      <c r="M659">
        <v>0.31504922600000002</v>
      </c>
      <c r="N659">
        <v>0</v>
      </c>
      <c r="O659" t="s">
        <v>613</v>
      </c>
      <c r="P659">
        <f t="shared" si="92"/>
        <v>9.9528248589999997</v>
      </c>
      <c r="Q659">
        <f t="shared" si="93"/>
        <v>4.3999999999999997E-2</v>
      </c>
      <c r="R659">
        <f t="shared" si="94"/>
        <v>4.7E-2</v>
      </c>
      <c r="S659">
        <f t="shared" si="95"/>
        <v>0.76400000000000001</v>
      </c>
      <c r="T659">
        <f t="shared" si="96"/>
        <v>2.038679245</v>
      </c>
      <c r="U659">
        <f t="shared" si="97"/>
        <v>6.3182857139999999</v>
      </c>
      <c r="V659">
        <f t="shared" si="98"/>
        <v>5.6000000000000001E-2</v>
      </c>
      <c r="W659">
        <f t="shared" si="99"/>
        <v>0.159</v>
      </c>
      <c r="X659">
        <f t="shared" si="100"/>
        <v>0.76</v>
      </c>
      <c r="Y659">
        <v>231.09340589999999</v>
      </c>
      <c r="Z659">
        <v>0</v>
      </c>
      <c r="AA659">
        <v>454184</v>
      </c>
      <c r="AB659">
        <v>170596</v>
      </c>
      <c r="AC659">
        <v>6.5715274000000004E-2</v>
      </c>
      <c r="AD659">
        <v>0.72549415100000003</v>
      </c>
      <c r="AF659">
        <v>9.9528248589999997</v>
      </c>
      <c r="AG659">
        <v>4.3999999999999997E-2</v>
      </c>
      <c r="AH659">
        <v>4.7E-2</v>
      </c>
      <c r="AI659">
        <v>0.76400000000000001</v>
      </c>
      <c r="AJ659">
        <v>2.038679245</v>
      </c>
      <c r="AK659">
        <v>6.3182857139999999</v>
      </c>
      <c r="AL659">
        <v>5.6000000000000001E-2</v>
      </c>
      <c r="AM659">
        <v>0.159</v>
      </c>
      <c r="AN659">
        <v>0.76</v>
      </c>
    </row>
    <row r="660" spans="1:40">
      <c r="A660">
        <v>2728</v>
      </c>
      <c r="B660" t="s">
        <v>689</v>
      </c>
      <c r="C660" t="s">
        <v>687</v>
      </c>
      <c r="D660" t="s">
        <v>688</v>
      </c>
      <c r="E660">
        <v>592</v>
      </c>
      <c r="F660">
        <v>1346</v>
      </c>
      <c r="G660">
        <v>76.102115870000006</v>
      </c>
      <c r="H660">
        <v>340</v>
      </c>
      <c r="I660">
        <v>0.118957465</v>
      </c>
      <c r="J660">
        <v>1686</v>
      </c>
      <c r="K660">
        <v>14173.133229999999</v>
      </c>
      <c r="L660">
        <v>0.75900000000000001</v>
      </c>
      <c r="M660">
        <v>0.36480686699999998</v>
      </c>
      <c r="N660">
        <v>0</v>
      </c>
      <c r="O660" t="s">
        <v>613</v>
      </c>
      <c r="P660">
        <f t="shared" si="92"/>
        <v>10.564196430000001</v>
      </c>
      <c r="Q660">
        <f t="shared" si="93"/>
        <v>5.7000000000000002E-2</v>
      </c>
      <c r="R660">
        <f t="shared" si="94"/>
        <v>0.03</v>
      </c>
      <c r="S660">
        <f t="shared" si="95"/>
        <v>0.75900000000000001</v>
      </c>
      <c r="T660">
        <f t="shared" si="96"/>
        <v>2.4392857139999999</v>
      </c>
      <c r="U660">
        <f t="shared" si="97"/>
        <v>6.5593769000000002</v>
      </c>
      <c r="V660">
        <f t="shared" si="98"/>
        <v>0.06</v>
      </c>
      <c r="W660">
        <f t="shared" si="99"/>
        <v>0.185</v>
      </c>
      <c r="X660">
        <f t="shared" si="100"/>
        <v>0.66700000000000004</v>
      </c>
      <c r="Y660">
        <v>137.75330009999999</v>
      </c>
      <c r="Z660">
        <v>0</v>
      </c>
      <c r="AA660">
        <v>454184</v>
      </c>
      <c r="AB660">
        <v>170596</v>
      </c>
      <c r="AC660">
        <v>6.5715274000000004E-2</v>
      </c>
      <c r="AD660">
        <v>0.72549415100000003</v>
      </c>
      <c r="AF660">
        <v>10.564196430000001</v>
      </c>
      <c r="AG660">
        <v>5.7000000000000002E-2</v>
      </c>
      <c r="AH660">
        <v>0.03</v>
      </c>
      <c r="AI660">
        <v>0.75900000000000001</v>
      </c>
      <c r="AJ660">
        <v>2.4392857139999999</v>
      </c>
      <c r="AK660">
        <v>6.5593769000000002</v>
      </c>
      <c r="AL660">
        <v>0.06</v>
      </c>
      <c r="AM660">
        <v>0.185</v>
      </c>
      <c r="AN660">
        <v>0.66700000000000004</v>
      </c>
    </row>
    <row r="661" spans="1:40">
      <c r="A661">
        <v>2729</v>
      </c>
      <c r="B661" t="s">
        <v>689</v>
      </c>
      <c r="C661" t="s">
        <v>687</v>
      </c>
      <c r="D661" t="s">
        <v>688</v>
      </c>
      <c r="E661">
        <v>478</v>
      </c>
      <c r="F661">
        <v>1665</v>
      </c>
      <c r="G661">
        <v>86.827320889999996</v>
      </c>
      <c r="H661">
        <v>586</v>
      </c>
      <c r="I661">
        <v>0.135724075</v>
      </c>
      <c r="J661">
        <v>2251</v>
      </c>
      <c r="K661">
        <v>16585.119480000001</v>
      </c>
      <c r="L661">
        <v>0.755</v>
      </c>
      <c r="M661">
        <v>0.55075187999999997</v>
      </c>
      <c r="N661">
        <v>0</v>
      </c>
      <c r="O661" t="s">
        <v>613</v>
      </c>
      <c r="P661">
        <f t="shared" si="92"/>
        <v>9.8713812149999995</v>
      </c>
      <c r="Q661">
        <f t="shared" si="93"/>
        <v>4.2000000000000003E-2</v>
      </c>
      <c r="R661">
        <f t="shared" si="94"/>
        <v>3.5000000000000003E-2</v>
      </c>
      <c r="S661">
        <f t="shared" si="95"/>
        <v>0.755</v>
      </c>
      <c r="T661">
        <f t="shared" si="96"/>
        <v>2.1496</v>
      </c>
      <c r="U661">
        <f t="shared" si="97"/>
        <v>6.3524713740000003</v>
      </c>
      <c r="V661">
        <f t="shared" si="98"/>
        <v>7.4999999999999997E-2</v>
      </c>
      <c r="W661">
        <f t="shared" si="99"/>
        <v>0.108</v>
      </c>
      <c r="X661">
        <f t="shared" si="100"/>
        <v>0.754</v>
      </c>
      <c r="Y661">
        <v>104.5951117</v>
      </c>
      <c r="Z661">
        <v>0</v>
      </c>
      <c r="AA661">
        <v>454184</v>
      </c>
      <c r="AB661">
        <v>170596</v>
      </c>
      <c r="AC661">
        <v>6.5715274000000004E-2</v>
      </c>
      <c r="AD661">
        <v>0.72549415100000003</v>
      </c>
      <c r="AF661">
        <v>9.8713812149999995</v>
      </c>
      <c r="AG661">
        <v>4.2000000000000003E-2</v>
      </c>
      <c r="AH661">
        <v>3.5000000000000003E-2</v>
      </c>
      <c r="AI661">
        <v>0.755</v>
      </c>
      <c r="AJ661">
        <v>2.1496</v>
      </c>
      <c r="AK661">
        <v>6.3524713740000003</v>
      </c>
      <c r="AL661">
        <v>7.4999999999999997E-2</v>
      </c>
      <c r="AM661">
        <v>0.108</v>
      </c>
      <c r="AN661">
        <v>0.754</v>
      </c>
    </row>
    <row r="662" spans="1:40">
      <c r="A662">
        <v>2730</v>
      </c>
      <c r="B662" t="s">
        <v>689</v>
      </c>
      <c r="C662" t="s">
        <v>687</v>
      </c>
      <c r="D662" t="s">
        <v>688</v>
      </c>
      <c r="E662">
        <v>379</v>
      </c>
      <c r="F662">
        <v>1412</v>
      </c>
      <c r="G662">
        <v>33.335391860000001</v>
      </c>
      <c r="H662">
        <v>43</v>
      </c>
      <c r="I662">
        <v>5.2106578000000001E-2</v>
      </c>
      <c r="J662">
        <v>1455</v>
      </c>
      <c r="K662">
        <v>27923.537789999998</v>
      </c>
      <c r="L662">
        <v>0.66700000000000004</v>
      </c>
      <c r="M662">
        <v>0.101895735</v>
      </c>
      <c r="N662">
        <v>0</v>
      </c>
      <c r="O662" t="s">
        <v>613</v>
      </c>
      <c r="P662">
        <f t="shared" si="92"/>
        <v>8.81</v>
      </c>
      <c r="Q662">
        <f t="shared" si="93"/>
        <v>5.3999999999999999E-2</v>
      </c>
      <c r="R662">
        <f t="shared" si="94"/>
        <v>2.1000000000000001E-2</v>
      </c>
      <c r="S662">
        <f t="shared" si="95"/>
        <v>0.66700000000000004</v>
      </c>
      <c r="T662">
        <f t="shared" si="96"/>
        <v>1.615</v>
      </c>
      <c r="U662">
        <f t="shared" si="97"/>
        <v>5.9544689379999998</v>
      </c>
      <c r="V662">
        <f t="shared" si="98"/>
        <v>3.5000000000000003E-2</v>
      </c>
      <c r="W662">
        <f t="shared" si="99"/>
        <v>0.215</v>
      </c>
      <c r="X662">
        <f t="shared" si="100"/>
        <v>0.59</v>
      </c>
      <c r="Y662">
        <v>166.392573</v>
      </c>
      <c r="Z662">
        <v>0</v>
      </c>
      <c r="AA662">
        <v>454184</v>
      </c>
      <c r="AB662">
        <v>170596</v>
      </c>
      <c r="AC662">
        <v>6.5715274000000004E-2</v>
      </c>
      <c r="AD662">
        <v>0.72549415100000003</v>
      </c>
      <c r="AF662">
        <v>8.81</v>
      </c>
      <c r="AG662">
        <v>5.3999999999999999E-2</v>
      </c>
      <c r="AH662">
        <v>2.1000000000000001E-2</v>
      </c>
      <c r="AI662">
        <v>0.66700000000000004</v>
      </c>
      <c r="AJ662">
        <v>1.615</v>
      </c>
      <c r="AK662">
        <v>5.9544689379999998</v>
      </c>
      <c r="AL662">
        <v>3.5000000000000003E-2</v>
      </c>
      <c r="AM662">
        <v>0.215</v>
      </c>
      <c r="AN662">
        <v>0.59</v>
      </c>
    </row>
    <row r="663" spans="1:40">
      <c r="A663">
        <v>2731</v>
      </c>
      <c r="B663" t="s">
        <v>701</v>
      </c>
      <c r="C663" t="s">
        <v>696</v>
      </c>
      <c r="D663" t="s">
        <v>697</v>
      </c>
      <c r="E663">
        <v>282</v>
      </c>
      <c r="F663">
        <v>839</v>
      </c>
      <c r="G663">
        <v>43.11053982</v>
      </c>
      <c r="H663">
        <v>125</v>
      </c>
      <c r="I663">
        <v>6.7388867000000005E-2</v>
      </c>
      <c r="J663">
        <v>964</v>
      </c>
      <c r="K663">
        <v>14305.0335</v>
      </c>
      <c r="L663">
        <v>0.76400000000000001</v>
      </c>
      <c r="M663">
        <v>0.30712530700000001</v>
      </c>
      <c r="N663">
        <v>0</v>
      </c>
      <c r="O663" t="s">
        <v>613</v>
      </c>
      <c r="P663">
        <f t="shared" si="92"/>
        <v>9.26</v>
      </c>
      <c r="Q663">
        <f t="shared" si="93"/>
        <v>6.0999999999999999E-2</v>
      </c>
      <c r="R663">
        <f t="shared" si="94"/>
        <v>2.1000000000000001E-2</v>
      </c>
      <c r="S663">
        <f t="shared" si="95"/>
        <v>0.76400000000000001</v>
      </c>
      <c r="T663">
        <f t="shared" si="96"/>
        <v>1.480714286</v>
      </c>
      <c r="U663">
        <f t="shared" si="97"/>
        <v>5.9318237700000003</v>
      </c>
      <c r="V663">
        <f t="shared" si="98"/>
        <v>0.02</v>
      </c>
      <c r="W663">
        <f t="shared" si="99"/>
        <v>0.23200000000000001</v>
      </c>
      <c r="X663">
        <f t="shared" si="100"/>
        <v>0.69699999999999995</v>
      </c>
      <c r="Y663">
        <v>153.26519769999999</v>
      </c>
      <c r="Z663">
        <v>0</v>
      </c>
      <c r="AA663">
        <v>22589</v>
      </c>
      <c r="AB663">
        <v>7233</v>
      </c>
      <c r="AC663">
        <v>3.8721845999999997E-2</v>
      </c>
      <c r="AD663">
        <v>0.78947076400000005</v>
      </c>
      <c r="AF663">
        <v>9.26</v>
      </c>
      <c r="AG663">
        <v>6.0999999999999999E-2</v>
      </c>
      <c r="AH663">
        <v>2.1000000000000001E-2</v>
      </c>
      <c r="AI663">
        <v>0.76400000000000001</v>
      </c>
      <c r="AJ663">
        <v>1.480714286</v>
      </c>
      <c r="AK663">
        <v>5.9318237700000003</v>
      </c>
      <c r="AL663">
        <v>0.02</v>
      </c>
      <c r="AM663">
        <v>0.23200000000000001</v>
      </c>
      <c r="AN663">
        <v>0.69699999999999995</v>
      </c>
    </row>
    <row r="664" spans="1:40">
      <c r="A664">
        <v>2732</v>
      </c>
      <c r="B664" t="s">
        <v>704</v>
      </c>
      <c r="C664" t="s">
        <v>687</v>
      </c>
      <c r="D664" t="s">
        <v>688</v>
      </c>
      <c r="E664">
        <v>416</v>
      </c>
      <c r="F664">
        <v>1200</v>
      </c>
      <c r="G664">
        <v>69.300690459999998</v>
      </c>
      <c r="H664">
        <v>364</v>
      </c>
      <c r="I664">
        <v>0.10833248299999999</v>
      </c>
      <c r="J664">
        <v>1564</v>
      </c>
      <c r="K664">
        <v>14437.036400000001</v>
      </c>
      <c r="L664">
        <v>0.754</v>
      </c>
      <c r="M664">
        <v>0.46666666699999998</v>
      </c>
      <c r="N664">
        <v>0</v>
      </c>
      <c r="O664" t="s">
        <v>613</v>
      </c>
      <c r="P664">
        <f t="shared" si="92"/>
        <v>8.361449275</v>
      </c>
      <c r="Q664">
        <f t="shared" si="93"/>
        <v>3.1E-2</v>
      </c>
      <c r="R664">
        <f t="shared" si="94"/>
        <v>3.2000000000000001E-2</v>
      </c>
      <c r="S664">
        <f t="shared" si="95"/>
        <v>0.754</v>
      </c>
      <c r="T664">
        <f t="shared" si="96"/>
        <v>2.1909999999999998</v>
      </c>
      <c r="U664">
        <f t="shared" si="97"/>
        <v>5.7561976369999996</v>
      </c>
      <c r="V664">
        <f t="shared" si="98"/>
        <v>5.0999999999999997E-2</v>
      </c>
      <c r="W664">
        <f t="shared" si="99"/>
        <v>0.11799999999999999</v>
      </c>
      <c r="X664">
        <f t="shared" si="100"/>
        <v>0.70799999999999996</v>
      </c>
      <c r="Y664">
        <v>197.05042990000001</v>
      </c>
      <c r="Z664">
        <v>0</v>
      </c>
      <c r="AA664">
        <v>11276</v>
      </c>
      <c r="AB664">
        <v>3933</v>
      </c>
      <c r="AC664">
        <v>3.4575116000000003E-2</v>
      </c>
      <c r="AD664">
        <v>0.79388848300000003</v>
      </c>
      <c r="AF664">
        <v>8.361449275</v>
      </c>
      <c r="AG664">
        <v>3.1E-2</v>
      </c>
      <c r="AH664">
        <v>3.2000000000000001E-2</v>
      </c>
      <c r="AI664">
        <v>0.754</v>
      </c>
      <c r="AJ664">
        <v>2.1909999999999998</v>
      </c>
      <c r="AK664">
        <v>5.7561976369999996</v>
      </c>
      <c r="AL664">
        <v>5.0999999999999997E-2</v>
      </c>
      <c r="AM664">
        <v>0.11799999999999999</v>
      </c>
      <c r="AN664">
        <v>0.70799999999999996</v>
      </c>
    </row>
    <row r="665" spans="1:40">
      <c r="A665">
        <v>2733</v>
      </c>
      <c r="B665" t="s">
        <v>708</v>
      </c>
      <c r="C665" t="s">
        <v>696</v>
      </c>
      <c r="D665" t="s">
        <v>697</v>
      </c>
      <c r="E665">
        <v>393</v>
      </c>
      <c r="F665">
        <v>1279</v>
      </c>
      <c r="G665">
        <v>69.765196290000006</v>
      </c>
      <c r="H665">
        <v>80</v>
      </c>
      <c r="I665">
        <v>0.109053988</v>
      </c>
      <c r="J665">
        <v>1359</v>
      </c>
      <c r="K665">
        <v>12461.71759</v>
      </c>
      <c r="L665">
        <v>0.82</v>
      </c>
      <c r="M665">
        <v>0.16913319199999999</v>
      </c>
      <c r="N665">
        <v>0</v>
      </c>
      <c r="O665" t="s">
        <v>620</v>
      </c>
      <c r="P665">
        <f t="shared" si="92"/>
        <v>10.515874999999999</v>
      </c>
      <c r="Q665">
        <f t="shared" si="93"/>
        <v>2.3E-2</v>
      </c>
      <c r="R665">
        <f t="shared" si="94"/>
        <v>3.6999999999999998E-2</v>
      </c>
      <c r="S665">
        <f t="shared" si="95"/>
        <v>0.82</v>
      </c>
      <c r="T665">
        <f t="shared" si="96"/>
        <v>2.2481481479999998</v>
      </c>
      <c r="U665">
        <f t="shared" si="97"/>
        <v>5.9441725349999999</v>
      </c>
      <c r="V665">
        <f t="shared" si="98"/>
        <v>4.1000000000000002E-2</v>
      </c>
      <c r="W665">
        <f t="shared" si="99"/>
        <v>8.2000000000000003E-2</v>
      </c>
      <c r="X665">
        <f t="shared" si="100"/>
        <v>0.81599999999999995</v>
      </c>
      <c r="Y665">
        <v>131.5833647</v>
      </c>
      <c r="Z665">
        <v>0</v>
      </c>
      <c r="AA665">
        <v>14998</v>
      </c>
      <c r="AB665">
        <v>4485</v>
      </c>
      <c r="AC665">
        <v>2.8516413000000001E-2</v>
      </c>
      <c r="AD665">
        <v>0.81835686799999996</v>
      </c>
      <c r="AF665">
        <v>10.515874999999999</v>
      </c>
      <c r="AG665">
        <v>2.3E-2</v>
      </c>
      <c r="AH665">
        <v>3.6999999999999998E-2</v>
      </c>
      <c r="AI665">
        <v>0.82</v>
      </c>
      <c r="AJ665">
        <v>2.2481481479999998</v>
      </c>
      <c r="AK665">
        <v>5.9441725349999999</v>
      </c>
      <c r="AL665">
        <v>4.1000000000000002E-2</v>
      </c>
      <c r="AM665">
        <v>8.2000000000000003E-2</v>
      </c>
      <c r="AN665">
        <v>0.81599999999999995</v>
      </c>
    </row>
    <row r="666" spans="1:40">
      <c r="A666">
        <v>2734</v>
      </c>
      <c r="B666" t="s">
        <v>704</v>
      </c>
      <c r="C666" t="s">
        <v>687</v>
      </c>
      <c r="D666" t="s">
        <v>688</v>
      </c>
      <c r="E666">
        <v>716</v>
      </c>
      <c r="F666">
        <v>2060</v>
      </c>
      <c r="G666">
        <v>153.05845930000001</v>
      </c>
      <c r="H666">
        <v>304</v>
      </c>
      <c r="I666">
        <v>0.23925212000000001</v>
      </c>
      <c r="J666">
        <v>2364</v>
      </c>
      <c r="K666">
        <v>9880.7901889999994</v>
      </c>
      <c r="L666">
        <v>0.74199999999999999</v>
      </c>
      <c r="M666">
        <v>0.298039216</v>
      </c>
      <c r="N666">
        <v>0</v>
      </c>
      <c r="O666" t="s">
        <v>613</v>
      </c>
      <c r="P666">
        <f t="shared" si="92"/>
        <v>9.2517105260000001</v>
      </c>
      <c r="Q666">
        <f t="shared" si="93"/>
        <v>3.4000000000000002E-2</v>
      </c>
      <c r="R666">
        <f t="shared" si="94"/>
        <v>3.6999999999999998E-2</v>
      </c>
      <c r="S666">
        <f t="shared" si="95"/>
        <v>0.74199999999999999</v>
      </c>
      <c r="T666">
        <f t="shared" si="96"/>
        <v>2.4424999999999999</v>
      </c>
      <c r="U666">
        <f t="shared" si="97"/>
        <v>5.703513514</v>
      </c>
      <c r="V666">
        <f t="shared" si="98"/>
        <v>0.112</v>
      </c>
      <c r="W666">
        <f t="shared" si="99"/>
        <v>0.14000000000000001</v>
      </c>
      <c r="X666">
        <f t="shared" si="100"/>
        <v>0.70699999999999996</v>
      </c>
      <c r="Y666">
        <v>165.05580370000001</v>
      </c>
      <c r="Z666">
        <v>0</v>
      </c>
      <c r="AA666">
        <v>11276</v>
      </c>
      <c r="AB666">
        <v>3933</v>
      </c>
      <c r="AC666">
        <v>3.4575116000000003E-2</v>
      </c>
      <c r="AD666">
        <v>0.79388848300000003</v>
      </c>
      <c r="AF666">
        <v>9.2517105260000001</v>
      </c>
      <c r="AG666">
        <v>3.4000000000000002E-2</v>
      </c>
      <c r="AH666">
        <v>3.6999999999999998E-2</v>
      </c>
      <c r="AI666">
        <v>0.74199999999999999</v>
      </c>
      <c r="AJ666">
        <v>2.4424999999999999</v>
      </c>
      <c r="AK666">
        <v>5.703513514</v>
      </c>
      <c r="AL666">
        <v>0.112</v>
      </c>
      <c r="AM666">
        <v>0.14000000000000001</v>
      </c>
      <c r="AN666">
        <v>0.70699999999999996</v>
      </c>
    </row>
    <row r="667" spans="1:40">
      <c r="A667">
        <v>2735</v>
      </c>
      <c r="B667" t="s">
        <v>689</v>
      </c>
      <c r="C667" t="s">
        <v>687</v>
      </c>
      <c r="D667" t="s">
        <v>688</v>
      </c>
      <c r="E667">
        <v>725</v>
      </c>
      <c r="F667">
        <v>1810</v>
      </c>
      <c r="G667">
        <v>198.42699020000001</v>
      </c>
      <c r="H667">
        <v>8</v>
      </c>
      <c r="I667">
        <v>0.31017000500000003</v>
      </c>
      <c r="J667">
        <v>1818</v>
      </c>
      <c r="K667">
        <v>5861.3017719999998</v>
      </c>
      <c r="L667">
        <v>0.879</v>
      </c>
      <c r="M667">
        <v>1.0914052E-2</v>
      </c>
      <c r="N667">
        <v>0</v>
      </c>
      <c r="O667" t="s">
        <v>620</v>
      </c>
      <c r="P667">
        <f t="shared" si="92"/>
        <v>12.650248449999999</v>
      </c>
      <c r="Q667">
        <f t="shared" si="93"/>
        <v>3.5000000000000003E-2</v>
      </c>
      <c r="R667">
        <f t="shared" si="94"/>
        <v>2.1000000000000001E-2</v>
      </c>
      <c r="S667">
        <f t="shared" si="95"/>
        <v>0.879</v>
      </c>
      <c r="T667">
        <f t="shared" si="96"/>
        <v>4.9311111109999999</v>
      </c>
      <c r="U667">
        <f t="shared" si="97"/>
        <v>9.3533287860000005</v>
      </c>
      <c r="V667">
        <f t="shared" si="98"/>
        <v>2.5999999999999999E-2</v>
      </c>
      <c r="W667">
        <f t="shared" si="99"/>
        <v>0.14299999999999999</v>
      </c>
      <c r="X667">
        <f t="shared" si="100"/>
        <v>0.82099999999999995</v>
      </c>
      <c r="Y667">
        <v>91.406361680000003</v>
      </c>
      <c r="Z667">
        <v>0</v>
      </c>
      <c r="AA667">
        <v>454184</v>
      </c>
      <c r="AB667">
        <v>170596</v>
      </c>
      <c r="AC667">
        <v>6.5715274000000004E-2</v>
      </c>
      <c r="AD667">
        <v>0.72549415100000003</v>
      </c>
      <c r="AF667">
        <v>12.650248449999999</v>
      </c>
      <c r="AG667">
        <v>3.5000000000000003E-2</v>
      </c>
      <c r="AH667">
        <v>2.1000000000000001E-2</v>
      </c>
      <c r="AI667">
        <v>0.879</v>
      </c>
      <c r="AJ667">
        <v>4.9311111109999999</v>
      </c>
      <c r="AK667">
        <v>9.3533287860000005</v>
      </c>
      <c r="AL667">
        <v>2.5999999999999999E-2</v>
      </c>
      <c r="AM667">
        <v>0.14299999999999999</v>
      </c>
      <c r="AN667">
        <v>0.82099999999999995</v>
      </c>
    </row>
    <row r="668" spans="1:40">
      <c r="A668">
        <v>2736</v>
      </c>
      <c r="B668" t="s">
        <v>689</v>
      </c>
      <c r="C668" t="s">
        <v>687</v>
      </c>
      <c r="D668" t="s">
        <v>688</v>
      </c>
      <c r="E668">
        <v>611</v>
      </c>
      <c r="F668">
        <v>1402</v>
      </c>
      <c r="G668">
        <v>61.782317710000001</v>
      </c>
      <c r="H668">
        <v>187</v>
      </c>
      <c r="I668">
        <v>9.6574818000000007E-2</v>
      </c>
      <c r="J668">
        <v>1589</v>
      </c>
      <c r="K668">
        <v>16453.56453</v>
      </c>
      <c r="L668">
        <v>0.76500000000000001</v>
      </c>
      <c r="M668">
        <v>0.23433583999999999</v>
      </c>
      <c r="N668">
        <v>0</v>
      </c>
      <c r="O668" t="s">
        <v>613</v>
      </c>
      <c r="P668">
        <f t="shared" si="92"/>
        <v>11.275234380000001</v>
      </c>
      <c r="Q668">
        <f t="shared" si="93"/>
        <v>6.2E-2</v>
      </c>
      <c r="R668">
        <f t="shared" si="94"/>
        <v>3.3000000000000002E-2</v>
      </c>
      <c r="S668">
        <f t="shared" si="95"/>
        <v>0.76500000000000001</v>
      </c>
      <c r="T668">
        <f t="shared" si="96"/>
        <v>2.7122857140000001</v>
      </c>
      <c r="U668">
        <f t="shared" si="97"/>
        <v>6.5533594769999999</v>
      </c>
      <c r="V668">
        <f t="shared" si="98"/>
        <v>3.7999999999999999E-2</v>
      </c>
      <c r="W668">
        <f t="shared" si="99"/>
        <v>0.21199999999999999</v>
      </c>
      <c r="X668">
        <f t="shared" si="100"/>
        <v>0.69599999999999995</v>
      </c>
      <c r="Y668">
        <v>117.32035380000001</v>
      </c>
      <c r="Z668">
        <v>0</v>
      </c>
      <c r="AA668">
        <v>454184</v>
      </c>
      <c r="AB668">
        <v>170596</v>
      </c>
      <c r="AC668">
        <v>6.5715274000000004E-2</v>
      </c>
      <c r="AD668">
        <v>0.72549415100000003</v>
      </c>
      <c r="AF668">
        <v>11.275234380000001</v>
      </c>
      <c r="AG668">
        <v>6.2E-2</v>
      </c>
      <c r="AH668">
        <v>3.3000000000000002E-2</v>
      </c>
      <c r="AI668">
        <v>0.76500000000000001</v>
      </c>
      <c r="AJ668">
        <v>2.7122857140000001</v>
      </c>
      <c r="AK668">
        <v>6.5533594769999999</v>
      </c>
      <c r="AL668">
        <v>3.7999999999999999E-2</v>
      </c>
      <c r="AM668">
        <v>0.21199999999999999</v>
      </c>
      <c r="AN668">
        <v>0.69599999999999995</v>
      </c>
    </row>
    <row r="669" spans="1:40">
      <c r="A669">
        <v>2737</v>
      </c>
      <c r="B669" t="s">
        <v>689</v>
      </c>
      <c r="C669" t="s">
        <v>687</v>
      </c>
      <c r="D669" t="s">
        <v>688</v>
      </c>
      <c r="E669">
        <v>500</v>
      </c>
      <c r="F669">
        <v>1835</v>
      </c>
      <c r="G669">
        <v>21.49287868</v>
      </c>
      <c r="H669">
        <v>67</v>
      </c>
      <c r="I669">
        <v>3.3597432000000003E-2</v>
      </c>
      <c r="J669">
        <v>1902</v>
      </c>
      <c r="K669">
        <v>56611.469590000001</v>
      </c>
      <c r="L669">
        <v>0.626</v>
      </c>
      <c r="M669">
        <v>0.118165785</v>
      </c>
      <c r="N669">
        <v>0</v>
      </c>
      <c r="O669" t="s">
        <v>606</v>
      </c>
      <c r="P669">
        <f t="shared" si="92"/>
        <v>10.814571430000001</v>
      </c>
      <c r="Q669">
        <f t="shared" si="93"/>
        <v>8.4000000000000005E-2</v>
      </c>
      <c r="R669">
        <f t="shared" si="94"/>
        <v>3.5000000000000003E-2</v>
      </c>
      <c r="S669">
        <f t="shared" si="95"/>
        <v>0.626</v>
      </c>
      <c r="T669">
        <f t="shared" si="96"/>
        <v>2.2384615380000001</v>
      </c>
      <c r="U669">
        <f t="shared" si="97"/>
        <v>5.362234043</v>
      </c>
      <c r="V669">
        <f t="shared" si="98"/>
        <v>9.2999999999999999E-2</v>
      </c>
      <c r="W669">
        <f t="shared" si="99"/>
        <v>0.25700000000000001</v>
      </c>
      <c r="X669">
        <f t="shared" si="100"/>
        <v>0.57399999999999995</v>
      </c>
      <c r="Y669">
        <v>187.36803860000001</v>
      </c>
      <c r="Z669">
        <v>0</v>
      </c>
      <c r="AA669">
        <v>454184</v>
      </c>
      <c r="AB669">
        <v>170596</v>
      </c>
      <c r="AC669">
        <v>6.5715274000000004E-2</v>
      </c>
      <c r="AD669">
        <v>0.72549415100000003</v>
      </c>
      <c r="AF669">
        <v>10.814571430000001</v>
      </c>
      <c r="AG669">
        <v>8.4000000000000005E-2</v>
      </c>
      <c r="AH669">
        <v>3.5000000000000003E-2</v>
      </c>
      <c r="AI669">
        <v>0.626</v>
      </c>
      <c r="AJ669">
        <v>2.2384615380000001</v>
      </c>
      <c r="AK669">
        <v>5.362234043</v>
      </c>
      <c r="AL669">
        <v>9.2999999999999999E-2</v>
      </c>
      <c r="AM669">
        <v>0.25700000000000001</v>
      </c>
      <c r="AN669">
        <v>0.57399999999999995</v>
      </c>
    </row>
    <row r="670" spans="1:40">
      <c r="A670">
        <v>2738</v>
      </c>
      <c r="B670" t="s">
        <v>689</v>
      </c>
      <c r="C670" t="s">
        <v>687</v>
      </c>
      <c r="D670" t="s">
        <v>688</v>
      </c>
      <c r="E670">
        <v>319</v>
      </c>
      <c r="F670">
        <v>1232</v>
      </c>
      <c r="G670">
        <v>26.903918640000001</v>
      </c>
      <c r="H670">
        <v>427</v>
      </c>
      <c r="I670">
        <v>4.2051287999999999E-2</v>
      </c>
      <c r="J670">
        <v>1659</v>
      </c>
      <c r="K670">
        <v>39451.823689999997</v>
      </c>
      <c r="L670">
        <v>0.72499999999999998</v>
      </c>
      <c r="M670">
        <v>0.57238605899999995</v>
      </c>
      <c r="N670">
        <v>0</v>
      </c>
      <c r="O670" t="s">
        <v>606</v>
      </c>
      <c r="P670">
        <f t="shared" si="92"/>
        <v>8.4270085469999998</v>
      </c>
      <c r="Q670">
        <f t="shared" si="93"/>
        <v>5.0999999999999997E-2</v>
      </c>
      <c r="R670">
        <f t="shared" si="94"/>
        <v>3.2000000000000001E-2</v>
      </c>
      <c r="S670">
        <f t="shared" si="95"/>
        <v>0.72499999999999998</v>
      </c>
      <c r="T670">
        <f t="shared" si="96"/>
        <v>2.1360000000000001</v>
      </c>
      <c r="U670">
        <f t="shared" si="97"/>
        <v>5.35323496</v>
      </c>
      <c r="V670">
        <f t="shared" si="98"/>
        <v>5.2999999999999999E-2</v>
      </c>
      <c r="W670">
        <f t="shared" si="99"/>
        <v>0.14399999999999999</v>
      </c>
      <c r="X670">
        <f t="shared" si="100"/>
        <v>0.622</v>
      </c>
      <c r="Y670">
        <v>103.7169006</v>
      </c>
      <c r="Z670">
        <v>0</v>
      </c>
      <c r="AA670">
        <v>454184</v>
      </c>
      <c r="AB670">
        <v>170596</v>
      </c>
      <c r="AC670">
        <v>6.5715274000000004E-2</v>
      </c>
      <c r="AD670">
        <v>0.72549415100000003</v>
      </c>
      <c r="AF670">
        <v>8.4270085469999998</v>
      </c>
      <c r="AG670">
        <v>5.0999999999999997E-2</v>
      </c>
      <c r="AH670">
        <v>3.2000000000000001E-2</v>
      </c>
      <c r="AI670">
        <v>0.72499999999999998</v>
      </c>
      <c r="AJ670">
        <v>2.1360000000000001</v>
      </c>
      <c r="AK670">
        <v>5.35323496</v>
      </c>
      <c r="AL670">
        <v>5.2999999999999999E-2</v>
      </c>
      <c r="AM670">
        <v>0.14399999999999999</v>
      </c>
      <c r="AN670">
        <v>0.622</v>
      </c>
    </row>
    <row r="671" spans="1:40">
      <c r="A671">
        <v>2739</v>
      </c>
      <c r="B671" t="s">
        <v>691</v>
      </c>
      <c r="C671" t="s">
        <v>684</v>
      </c>
      <c r="D671" t="s">
        <v>685</v>
      </c>
      <c r="E671">
        <v>771</v>
      </c>
      <c r="F671">
        <v>2608</v>
      </c>
      <c r="G671">
        <v>139.42004510000001</v>
      </c>
      <c r="H671">
        <v>65</v>
      </c>
      <c r="I671">
        <v>0.21792610300000001</v>
      </c>
      <c r="J671">
        <v>2673</v>
      </c>
      <c r="K671">
        <v>12265.62566</v>
      </c>
      <c r="L671">
        <v>0.83299999999999996</v>
      </c>
      <c r="M671">
        <v>7.7751195999999995E-2</v>
      </c>
      <c r="N671">
        <v>0</v>
      </c>
      <c r="O671" t="s">
        <v>620</v>
      </c>
      <c r="P671">
        <f t="shared" si="92"/>
        <v>14.007674420000001</v>
      </c>
      <c r="Q671">
        <f t="shared" si="93"/>
        <v>2.5999999999999999E-2</v>
      </c>
      <c r="R671">
        <f t="shared" si="94"/>
        <v>2.1000000000000001E-2</v>
      </c>
      <c r="S671">
        <f t="shared" si="95"/>
        <v>0.83299999999999996</v>
      </c>
      <c r="T671">
        <f t="shared" si="96"/>
        <v>1.7931034480000001</v>
      </c>
      <c r="U671">
        <f t="shared" si="97"/>
        <v>6.7771261259999998</v>
      </c>
      <c r="V671">
        <f t="shared" si="98"/>
        <v>5.7000000000000002E-2</v>
      </c>
      <c r="W671">
        <f t="shared" si="99"/>
        <v>0.12</v>
      </c>
      <c r="X671">
        <f t="shared" si="100"/>
        <v>0.81599999999999995</v>
      </c>
      <c r="Y671">
        <v>236.81964450000001</v>
      </c>
      <c r="Z671">
        <v>0</v>
      </c>
      <c r="AA671">
        <v>236250</v>
      </c>
      <c r="AB671">
        <v>76158</v>
      </c>
      <c r="AC671">
        <v>1.7652984E-2</v>
      </c>
      <c r="AD671">
        <v>0.84750225300000004</v>
      </c>
      <c r="AF671">
        <v>14.007674420000001</v>
      </c>
      <c r="AG671">
        <v>2.5999999999999999E-2</v>
      </c>
      <c r="AH671">
        <v>2.1000000000000001E-2</v>
      </c>
      <c r="AI671">
        <v>0.83299999999999996</v>
      </c>
      <c r="AJ671">
        <v>1.7931034480000001</v>
      </c>
      <c r="AK671">
        <v>6.7771261259999998</v>
      </c>
      <c r="AL671">
        <v>5.7000000000000002E-2</v>
      </c>
      <c r="AM671">
        <v>0.12</v>
      </c>
      <c r="AN671">
        <v>0.81599999999999995</v>
      </c>
    </row>
    <row r="672" spans="1:40">
      <c r="A672">
        <v>2740</v>
      </c>
      <c r="B672" t="s">
        <v>691</v>
      </c>
      <c r="C672" t="s">
        <v>684</v>
      </c>
      <c r="D672" t="s">
        <v>685</v>
      </c>
      <c r="E672">
        <v>421</v>
      </c>
      <c r="F672">
        <v>1433</v>
      </c>
      <c r="G672">
        <v>130.59306290000001</v>
      </c>
      <c r="H672">
        <v>52</v>
      </c>
      <c r="I672">
        <v>0.20412344800000001</v>
      </c>
      <c r="J672">
        <v>1485</v>
      </c>
      <c r="K672">
        <v>7275.0093850000003</v>
      </c>
      <c r="L672">
        <v>0.80500000000000005</v>
      </c>
      <c r="M672">
        <v>0.10993657499999999</v>
      </c>
      <c r="N672">
        <v>1</v>
      </c>
      <c r="O672" t="s">
        <v>620</v>
      </c>
      <c r="P672">
        <f t="shared" si="92"/>
        <v>11.28954955</v>
      </c>
      <c r="Q672">
        <f t="shared" si="93"/>
        <v>3.5000000000000003E-2</v>
      </c>
      <c r="R672">
        <f t="shared" si="94"/>
        <v>3.4000000000000002E-2</v>
      </c>
      <c r="S672">
        <f t="shared" si="95"/>
        <v>0.80500000000000005</v>
      </c>
      <c r="T672">
        <f t="shared" si="96"/>
        <v>1.41625</v>
      </c>
      <c r="U672">
        <f t="shared" si="97"/>
        <v>7.7461552029999998</v>
      </c>
      <c r="V672">
        <f t="shared" si="98"/>
        <v>3.7999999999999999E-2</v>
      </c>
      <c r="W672">
        <f t="shared" si="99"/>
        <v>9.9000000000000005E-2</v>
      </c>
      <c r="X672">
        <f t="shared" si="100"/>
        <v>0.84699999999999998</v>
      </c>
      <c r="Y672">
        <v>167.53849600000001</v>
      </c>
      <c r="Z672">
        <v>0</v>
      </c>
      <c r="AA672">
        <v>236250</v>
      </c>
      <c r="AB672">
        <v>76158</v>
      </c>
      <c r="AC672">
        <v>1.7652984E-2</v>
      </c>
      <c r="AD672">
        <v>0.84750225300000004</v>
      </c>
      <c r="AF672">
        <v>11.28954955</v>
      </c>
      <c r="AG672">
        <v>3.5000000000000003E-2</v>
      </c>
      <c r="AH672">
        <v>3.4000000000000002E-2</v>
      </c>
      <c r="AI672">
        <v>0.80500000000000005</v>
      </c>
      <c r="AJ672">
        <v>1.41625</v>
      </c>
      <c r="AK672">
        <v>7.7461552029999998</v>
      </c>
      <c r="AL672">
        <v>3.7999999999999999E-2</v>
      </c>
      <c r="AM672">
        <v>9.9000000000000005E-2</v>
      </c>
      <c r="AN672">
        <v>0.84699999999999998</v>
      </c>
    </row>
    <row r="673" spans="1:40">
      <c r="A673">
        <v>2741</v>
      </c>
      <c r="B673" t="s">
        <v>689</v>
      </c>
      <c r="C673" t="s">
        <v>687</v>
      </c>
      <c r="D673" t="s">
        <v>688</v>
      </c>
      <c r="E673">
        <v>337</v>
      </c>
      <c r="F673">
        <v>1262</v>
      </c>
      <c r="G673">
        <v>15.68197161</v>
      </c>
      <c r="H673">
        <v>60</v>
      </c>
      <c r="I673">
        <v>2.451333E-2</v>
      </c>
      <c r="J673">
        <v>1322</v>
      </c>
      <c r="K673">
        <v>53929.841439999997</v>
      </c>
      <c r="L673">
        <v>0.627</v>
      </c>
      <c r="M673">
        <v>0.151133501</v>
      </c>
      <c r="N673">
        <v>0</v>
      </c>
      <c r="O673" t="s">
        <v>606</v>
      </c>
      <c r="P673">
        <f t="shared" si="92"/>
        <v>8.8723076919999997</v>
      </c>
      <c r="Q673">
        <f t="shared" si="93"/>
        <v>0.10100000000000001</v>
      </c>
      <c r="R673">
        <f t="shared" si="94"/>
        <v>4.5999999999999999E-2</v>
      </c>
      <c r="S673">
        <f t="shared" si="95"/>
        <v>0.627</v>
      </c>
      <c r="T673">
        <f t="shared" si="96"/>
        <v>2.0067647059999998</v>
      </c>
      <c r="U673">
        <f t="shared" si="97"/>
        <v>5.2036521740000001</v>
      </c>
      <c r="V673">
        <f t="shared" si="98"/>
        <v>0.111</v>
      </c>
      <c r="W673">
        <f t="shared" si="99"/>
        <v>0.29899999999999999</v>
      </c>
      <c r="X673">
        <f t="shared" si="100"/>
        <v>0.55600000000000005</v>
      </c>
      <c r="Y673">
        <v>109.7282805</v>
      </c>
      <c r="Z673">
        <v>0</v>
      </c>
      <c r="AA673">
        <v>454184</v>
      </c>
      <c r="AB673">
        <v>170596</v>
      </c>
      <c r="AC673">
        <v>6.5715274000000004E-2</v>
      </c>
      <c r="AD673">
        <v>0.72549415100000003</v>
      </c>
      <c r="AF673">
        <v>8.8723076919999997</v>
      </c>
      <c r="AG673">
        <v>0.10100000000000001</v>
      </c>
      <c r="AH673">
        <v>4.5999999999999999E-2</v>
      </c>
      <c r="AI673">
        <v>0.627</v>
      </c>
      <c r="AJ673">
        <v>2.0067647059999998</v>
      </c>
      <c r="AK673">
        <v>5.2036521740000001</v>
      </c>
      <c r="AL673">
        <v>0.111</v>
      </c>
      <c r="AM673">
        <v>0.29899999999999999</v>
      </c>
      <c r="AN673">
        <v>0.55600000000000005</v>
      </c>
    </row>
    <row r="674" spans="1:40">
      <c r="A674">
        <v>2742</v>
      </c>
      <c r="B674" t="s">
        <v>691</v>
      </c>
      <c r="C674" t="s">
        <v>684</v>
      </c>
      <c r="D674" t="s">
        <v>685</v>
      </c>
      <c r="E674">
        <v>540</v>
      </c>
      <c r="F674">
        <v>1843</v>
      </c>
      <c r="G674">
        <v>94.174251010000006</v>
      </c>
      <c r="H674">
        <v>0</v>
      </c>
      <c r="I674">
        <v>0.147196992</v>
      </c>
      <c r="J674">
        <v>1843</v>
      </c>
      <c r="K674">
        <v>12520.63629</v>
      </c>
      <c r="L674">
        <v>0.83899999999999997</v>
      </c>
      <c r="M674">
        <v>0</v>
      </c>
      <c r="N674">
        <v>0</v>
      </c>
      <c r="O674" t="s">
        <v>620</v>
      </c>
      <c r="P674">
        <f t="shared" si="92"/>
        <v>10.285517240000001</v>
      </c>
      <c r="Q674">
        <f t="shared" si="93"/>
        <v>6.0000000000000001E-3</v>
      </c>
      <c r="R674">
        <f t="shared" si="94"/>
        <v>1.7999999999999999E-2</v>
      </c>
      <c r="S674">
        <f t="shared" si="95"/>
        <v>0.83899999999999997</v>
      </c>
      <c r="T674">
        <f t="shared" si="96"/>
        <v>1.655</v>
      </c>
      <c r="U674">
        <f t="shared" si="97"/>
        <v>5.6937810950000003</v>
      </c>
      <c r="V674">
        <f t="shared" si="98"/>
        <v>1.6E-2</v>
      </c>
      <c r="W674">
        <f t="shared" si="99"/>
        <v>1.6E-2</v>
      </c>
      <c r="X674">
        <f t="shared" si="100"/>
        <v>0.93500000000000005</v>
      </c>
      <c r="Y674">
        <v>129.1220065</v>
      </c>
      <c r="Z674">
        <v>0</v>
      </c>
      <c r="AA674">
        <v>236250</v>
      </c>
      <c r="AB674">
        <v>76158</v>
      </c>
      <c r="AC674">
        <v>1.7652984E-2</v>
      </c>
      <c r="AD674">
        <v>0.84750225300000004</v>
      </c>
      <c r="AF674">
        <v>10.285517240000001</v>
      </c>
      <c r="AG674">
        <v>6.0000000000000001E-3</v>
      </c>
      <c r="AH674">
        <v>1.7999999999999999E-2</v>
      </c>
      <c r="AI674">
        <v>0.83899999999999997</v>
      </c>
      <c r="AJ674">
        <v>1.655</v>
      </c>
      <c r="AK674">
        <v>5.6937810950000003</v>
      </c>
      <c r="AL674">
        <v>1.6E-2</v>
      </c>
      <c r="AM674">
        <v>1.6E-2</v>
      </c>
      <c r="AN674">
        <v>0.93500000000000005</v>
      </c>
    </row>
    <row r="675" spans="1:40">
      <c r="A675">
        <v>2743</v>
      </c>
      <c r="B675" t="s">
        <v>691</v>
      </c>
      <c r="C675" t="s">
        <v>684</v>
      </c>
      <c r="D675" t="s">
        <v>685</v>
      </c>
      <c r="E675">
        <v>1016</v>
      </c>
      <c r="F675">
        <v>3085</v>
      </c>
      <c r="G675">
        <v>152.50472400000001</v>
      </c>
      <c r="H675">
        <v>250</v>
      </c>
      <c r="I675">
        <v>0.23837992199999999</v>
      </c>
      <c r="J675">
        <v>3335</v>
      </c>
      <c r="K675">
        <v>13990.272220000001</v>
      </c>
      <c r="L675">
        <v>0.80800000000000005</v>
      </c>
      <c r="M675">
        <v>0.19747235399999999</v>
      </c>
      <c r="N675">
        <v>0</v>
      </c>
      <c r="O675" t="s">
        <v>613</v>
      </c>
      <c r="P675">
        <f t="shared" si="92"/>
        <v>13.75675676</v>
      </c>
      <c r="Q675">
        <f t="shared" si="93"/>
        <v>2.5000000000000001E-2</v>
      </c>
      <c r="R675">
        <f t="shared" si="94"/>
        <v>1.0999999999999999E-2</v>
      </c>
      <c r="S675">
        <f t="shared" si="95"/>
        <v>0.80800000000000005</v>
      </c>
      <c r="T675">
        <f t="shared" si="96"/>
        <v>2.0729166669999999</v>
      </c>
      <c r="U675">
        <f t="shared" si="97"/>
        <v>6.6665189500000004</v>
      </c>
      <c r="V675">
        <f t="shared" si="98"/>
        <v>1.2E-2</v>
      </c>
      <c r="W675">
        <f t="shared" si="99"/>
        <v>7.3999999999999996E-2</v>
      </c>
      <c r="X675">
        <f t="shared" si="100"/>
        <v>0.876</v>
      </c>
      <c r="Y675">
        <v>139.9652715</v>
      </c>
      <c r="Z675">
        <v>0</v>
      </c>
      <c r="AA675">
        <v>236250</v>
      </c>
      <c r="AB675">
        <v>76158</v>
      </c>
      <c r="AC675">
        <v>1.7652984E-2</v>
      </c>
      <c r="AD675">
        <v>0.84750225300000004</v>
      </c>
      <c r="AF675">
        <v>13.75675676</v>
      </c>
      <c r="AG675">
        <v>2.5000000000000001E-2</v>
      </c>
      <c r="AH675">
        <v>1.0999999999999999E-2</v>
      </c>
      <c r="AI675">
        <v>0.80800000000000005</v>
      </c>
      <c r="AJ675">
        <v>2.0729166669999999</v>
      </c>
      <c r="AK675">
        <v>6.6665189500000004</v>
      </c>
      <c r="AL675">
        <v>1.2E-2</v>
      </c>
      <c r="AM675">
        <v>7.3999999999999996E-2</v>
      </c>
      <c r="AN675">
        <v>0.876</v>
      </c>
    </row>
    <row r="676" spans="1:40">
      <c r="A676">
        <v>2744</v>
      </c>
      <c r="B676" t="s">
        <v>683</v>
      </c>
      <c r="C676" t="s">
        <v>684</v>
      </c>
      <c r="D676" t="s">
        <v>685</v>
      </c>
      <c r="E676">
        <v>271</v>
      </c>
      <c r="F676">
        <v>1056</v>
      </c>
      <c r="G676">
        <v>58.93154741</v>
      </c>
      <c r="H676">
        <v>4</v>
      </c>
      <c r="I676">
        <v>9.2115160000000001E-2</v>
      </c>
      <c r="J676">
        <v>1060</v>
      </c>
      <c r="K676">
        <v>11507.33495</v>
      </c>
      <c r="L676">
        <v>0.85199999999999998</v>
      </c>
      <c r="M676">
        <v>1.4545455000000001E-2</v>
      </c>
      <c r="N676">
        <v>0</v>
      </c>
      <c r="O676" t="s">
        <v>620</v>
      </c>
      <c r="P676">
        <f t="shared" si="92"/>
        <v>13.077435899999999</v>
      </c>
      <c r="Q676">
        <f t="shared" si="93"/>
        <v>4.0000000000000001E-3</v>
      </c>
      <c r="R676">
        <f t="shared" si="94"/>
        <v>2.7E-2</v>
      </c>
      <c r="S676">
        <f t="shared" si="95"/>
        <v>0.85199999999999998</v>
      </c>
      <c r="T676">
        <f t="shared" si="96"/>
        <v>2.3607142859999999</v>
      </c>
      <c r="U676">
        <f t="shared" si="97"/>
        <v>7.4078672990000003</v>
      </c>
      <c r="V676">
        <f t="shared" si="98"/>
        <v>2.4E-2</v>
      </c>
      <c r="W676">
        <f t="shared" si="99"/>
        <v>2.4E-2</v>
      </c>
      <c r="X676">
        <f t="shared" si="100"/>
        <v>0.95099999999999996</v>
      </c>
      <c r="Y676">
        <v>130.26345140000001</v>
      </c>
      <c r="Z676">
        <v>0</v>
      </c>
      <c r="AA676">
        <v>75370</v>
      </c>
      <c r="AB676">
        <v>21403</v>
      </c>
      <c r="AC676">
        <v>2.4597187E-2</v>
      </c>
      <c r="AD676">
        <v>0.84342094400000001</v>
      </c>
      <c r="AF676">
        <v>13.077435899999999</v>
      </c>
      <c r="AG676">
        <v>4.0000000000000001E-3</v>
      </c>
      <c r="AH676">
        <v>2.7E-2</v>
      </c>
      <c r="AI676">
        <v>0.85199999999999998</v>
      </c>
      <c r="AJ676">
        <v>2.3607142859999999</v>
      </c>
      <c r="AK676">
        <v>7.4078672990000003</v>
      </c>
      <c r="AL676">
        <v>2.4E-2</v>
      </c>
      <c r="AM676">
        <v>2.4E-2</v>
      </c>
      <c r="AN676">
        <v>0.95099999999999996</v>
      </c>
    </row>
    <row r="677" spans="1:40">
      <c r="A677">
        <v>2745</v>
      </c>
      <c r="B677" t="s">
        <v>689</v>
      </c>
      <c r="C677" t="s">
        <v>687</v>
      </c>
      <c r="D677" t="s">
        <v>688</v>
      </c>
      <c r="E677">
        <v>299</v>
      </c>
      <c r="F677">
        <v>1082</v>
      </c>
      <c r="G677">
        <v>35.910032110000003</v>
      </c>
      <c r="H677">
        <v>83</v>
      </c>
      <c r="I677">
        <v>5.6130383999999998E-2</v>
      </c>
      <c r="J677">
        <v>1165</v>
      </c>
      <c r="K677">
        <v>20755.24728</v>
      </c>
      <c r="L677">
        <v>0.68899999999999995</v>
      </c>
      <c r="M677">
        <v>0.21727748699999999</v>
      </c>
      <c r="N677">
        <v>0</v>
      </c>
      <c r="O677" t="s">
        <v>606</v>
      </c>
      <c r="P677">
        <f t="shared" si="92"/>
        <v>10.73325301</v>
      </c>
      <c r="Q677">
        <f t="shared" si="93"/>
        <v>6.3E-2</v>
      </c>
      <c r="R677">
        <f t="shared" si="94"/>
        <v>5.2999999999999999E-2</v>
      </c>
      <c r="S677">
        <f t="shared" si="95"/>
        <v>0.68899999999999995</v>
      </c>
      <c r="T677">
        <f t="shared" si="96"/>
        <v>2.035102041</v>
      </c>
      <c r="U677">
        <f t="shared" si="97"/>
        <v>5.5385298870000002</v>
      </c>
      <c r="V677">
        <f t="shared" si="98"/>
        <v>8.1000000000000003E-2</v>
      </c>
      <c r="W677">
        <f t="shared" si="99"/>
        <v>0.27200000000000002</v>
      </c>
      <c r="X677">
        <f t="shared" si="100"/>
        <v>0.61</v>
      </c>
      <c r="Y677">
        <v>179.1334536</v>
      </c>
      <c r="Z677">
        <v>0</v>
      </c>
      <c r="AA677">
        <v>454184</v>
      </c>
      <c r="AB677">
        <v>170596</v>
      </c>
      <c r="AC677">
        <v>6.5715274000000004E-2</v>
      </c>
      <c r="AD677">
        <v>0.72549415100000003</v>
      </c>
      <c r="AF677">
        <v>10.73325301</v>
      </c>
      <c r="AG677">
        <v>6.3E-2</v>
      </c>
      <c r="AH677">
        <v>5.2999999999999999E-2</v>
      </c>
      <c r="AI677">
        <v>0.68899999999999995</v>
      </c>
      <c r="AJ677">
        <v>2.035102041</v>
      </c>
      <c r="AK677">
        <v>5.5385298870000002</v>
      </c>
      <c r="AL677">
        <v>8.1000000000000003E-2</v>
      </c>
      <c r="AM677">
        <v>0.27200000000000002</v>
      </c>
      <c r="AN677">
        <v>0.61</v>
      </c>
    </row>
    <row r="678" spans="1:40">
      <c r="A678">
        <v>2746</v>
      </c>
      <c r="B678" t="s">
        <v>689</v>
      </c>
      <c r="C678" t="s">
        <v>687</v>
      </c>
      <c r="D678" t="s">
        <v>688</v>
      </c>
      <c r="E678">
        <v>365</v>
      </c>
      <c r="F678">
        <v>1282</v>
      </c>
      <c r="G678">
        <v>28.75606968</v>
      </c>
      <c r="H678">
        <v>138</v>
      </c>
      <c r="I678">
        <v>4.4949640999999999E-2</v>
      </c>
      <c r="J678">
        <v>1420</v>
      </c>
      <c r="K678">
        <v>31590.908589999999</v>
      </c>
      <c r="L678">
        <v>0.71499999999999997</v>
      </c>
      <c r="M678">
        <v>0.27435387700000002</v>
      </c>
      <c r="N678">
        <v>0</v>
      </c>
      <c r="O678" t="s">
        <v>613</v>
      </c>
      <c r="P678">
        <f t="shared" si="92"/>
        <v>10.003186810000001</v>
      </c>
      <c r="Q678">
        <f t="shared" si="93"/>
        <v>3.3000000000000002E-2</v>
      </c>
      <c r="R678">
        <f t="shared" si="94"/>
        <v>2.5999999999999999E-2</v>
      </c>
      <c r="S678">
        <f t="shared" si="95"/>
        <v>0.71499999999999997</v>
      </c>
      <c r="T678">
        <f t="shared" si="96"/>
        <v>2.1569230770000001</v>
      </c>
      <c r="U678">
        <f t="shared" si="97"/>
        <v>5.1674273260000003</v>
      </c>
      <c r="V678">
        <f t="shared" si="98"/>
        <v>2.9000000000000001E-2</v>
      </c>
      <c r="W678">
        <f t="shared" si="99"/>
        <v>0.22800000000000001</v>
      </c>
      <c r="X678">
        <f t="shared" si="100"/>
        <v>0.66900000000000004</v>
      </c>
      <c r="Y678">
        <v>191.682343</v>
      </c>
      <c r="Z678">
        <v>0</v>
      </c>
      <c r="AA678">
        <v>454184</v>
      </c>
      <c r="AB678">
        <v>170596</v>
      </c>
      <c r="AC678">
        <v>6.5715274000000004E-2</v>
      </c>
      <c r="AD678">
        <v>0.72549415100000003</v>
      </c>
      <c r="AF678">
        <v>10.003186810000001</v>
      </c>
      <c r="AG678">
        <v>3.3000000000000002E-2</v>
      </c>
      <c r="AH678">
        <v>2.5999999999999999E-2</v>
      </c>
      <c r="AI678">
        <v>0.71499999999999997</v>
      </c>
      <c r="AJ678">
        <v>2.1569230770000001</v>
      </c>
      <c r="AK678">
        <v>5.1674273260000003</v>
      </c>
      <c r="AL678">
        <v>2.9000000000000001E-2</v>
      </c>
      <c r="AM678">
        <v>0.22800000000000001</v>
      </c>
      <c r="AN678">
        <v>0.66900000000000004</v>
      </c>
    </row>
    <row r="679" spans="1:40">
      <c r="A679">
        <v>2747</v>
      </c>
      <c r="B679" t="s">
        <v>689</v>
      </c>
      <c r="C679" t="s">
        <v>687</v>
      </c>
      <c r="D679" t="s">
        <v>688</v>
      </c>
      <c r="E679">
        <v>417</v>
      </c>
      <c r="F679">
        <v>1339</v>
      </c>
      <c r="G679">
        <v>45.708143139999997</v>
      </c>
      <c r="H679">
        <v>226</v>
      </c>
      <c r="I679">
        <v>7.1451723999999994E-2</v>
      </c>
      <c r="J679">
        <v>1565</v>
      </c>
      <c r="K679">
        <v>21902.90048</v>
      </c>
      <c r="L679">
        <v>0.74</v>
      </c>
      <c r="M679">
        <v>0.351477449</v>
      </c>
      <c r="N679">
        <v>0</v>
      </c>
      <c r="O679" t="s">
        <v>613</v>
      </c>
      <c r="P679">
        <f t="shared" si="92"/>
        <v>10.835744679999999</v>
      </c>
      <c r="Q679">
        <f t="shared" si="93"/>
        <v>4.5999999999999999E-2</v>
      </c>
      <c r="R679">
        <f t="shared" si="94"/>
        <v>2.1000000000000001E-2</v>
      </c>
      <c r="S679">
        <f t="shared" si="95"/>
        <v>0.74</v>
      </c>
      <c r="T679">
        <f t="shared" si="96"/>
        <v>1.52125</v>
      </c>
      <c r="U679">
        <f t="shared" si="97"/>
        <v>6.2658684859999996</v>
      </c>
      <c r="V679">
        <f t="shared" si="98"/>
        <v>2.3E-2</v>
      </c>
      <c r="W679">
        <f t="shared" si="99"/>
        <v>0.19400000000000001</v>
      </c>
      <c r="X679">
        <f t="shared" si="100"/>
        <v>0.72899999999999998</v>
      </c>
      <c r="Y679">
        <v>223.80225379999999</v>
      </c>
      <c r="Z679">
        <v>0</v>
      </c>
      <c r="AA679">
        <v>454184</v>
      </c>
      <c r="AB679">
        <v>170596</v>
      </c>
      <c r="AC679">
        <v>6.5715274000000004E-2</v>
      </c>
      <c r="AD679">
        <v>0.72549415100000003</v>
      </c>
      <c r="AF679">
        <v>10.835744679999999</v>
      </c>
      <c r="AG679">
        <v>4.5999999999999999E-2</v>
      </c>
      <c r="AH679">
        <v>2.1000000000000001E-2</v>
      </c>
      <c r="AI679">
        <v>0.74</v>
      </c>
      <c r="AJ679">
        <v>1.52125</v>
      </c>
      <c r="AK679">
        <v>6.2658684859999996</v>
      </c>
      <c r="AL679">
        <v>2.3E-2</v>
      </c>
      <c r="AM679">
        <v>0.19400000000000001</v>
      </c>
      <c r="AN679">
        <v>0.72899999999999998</v>
      </c>
    </row>
    <row r="680" spans="1:40">
      <c r="A680">
        <v>2748</v>
      </c>
      <c r="B680" t="s">
        <v>689</v>
      </c>
      <c r="C680" t="s">
        <v>687</v>
      </c>
      <c r="D680" t="s">
        <v>688</v>
      </c>
      <c r="E680">
        <v>291</v>
      </c>
      <c r="F680">
        <v>1025</v>
      </c>
      <c r="G680">
        <v>24.955940170000002</v>
      </c>
      <c r="H680">
        <v>11</v>
      </c>
      <c r="I680">
        <v>3.9005476999999997E-2</v>
      </c>
      <c r="J680">
        <v>1036</v>
      </c>
      <c r="K680">
        <v>26560.372530000001</v>
      </c>
      <c r="L680">
        <v>0.65900000000000003</v>
      </c>
      <c r="M680">
        <v>3.6423840999999998E-2</v>
      </c>
      <c r="N680">
        <v>0</v>
      </c>
      <c r="O680" t="s">
        <v>613</v>
      </c>
      <c r="P680">
        <f t="shared" si="92"/>
        <v>10.94326087</v>
      </c>
      <c r="Q680">
        <f t="shared" si="93"/>
        <v>0.05</v>
      </c>
      <c r="R680">
        <f t="shared" si="94"/>
        <v>6.3E-2</v>
      </c>
      <c r="S680">
        <f t="shared" si="95"/>
        <v>0.65900000000000003</v>
      </c>
      <c r="T680">
        <f t="shared" si="96"/>
        <v>1.4918421049999999</v>
      </c>
      <c r="U680">
        <f t="shared" si="97"/>
        <v>5.5412403100000001</v>
      </c>
      <c r="V680">
        <f t="shared" si="98"/>
        <v>0.106</v>
      </c>
      <c r="W680">
        <f t="shared" si="99"/>
        <v>0.13</v>
      </c>
      <c r="X680">
        <f t="shared" si="100"/>
        <v>0.748</v>
      </c>
      <c r="Y680">
        <v>136.68749260000001</v>
      </c>
      <c r="Z680">
        <v>0</v>
      </c>
      <c r="AA680">
        <v>454184</v>
      </c>
      <c r="AB680">
        <v>170596</v>
      </c>
      <c r="AC680">
        <v>6.5715274000000004E-2</v>
      </c>
      <c r="AD680">
        <v>0.72549415100000003</v>
      </c>
      <c r="AF680">
        <v>10.94326087</v>
      </c>
      <c r="AG680">
        <v>0.05</v>
      </c>
      <c r="AH680">
        <v>6.3E-2</v>
      </c>
      <c r="AI680">
        <v>0.65900000000000003</v>
      </c>
      <c r="AJ680">
        <v>1.4918421049999999</v>
      </c>
      <c r="AK680">
        <v>5.5412403100000001</v>
      </c>
      <c r="AL680">
        <v>0.106</v>
      </c>
      <c r="AM680">
        <v>0.13</v>
      </c>
      <c r="AN680">
        <v>0.748</v>
      </c>
    </row>
    <row r="681" spans="1:40">
      <c r="A681">
        <v>2749</v>
      </c>
      <c r="B681" t="s">
        <v>689</v>
      </c>
      <c r="C681" t="s">
        <v>687</v>
      </c>
      <c r="D681" t="s">
        <v>688</v>
      </c>
      <c r="E681">
        <v>239</v>
      </c>
      <c r="F681">
        <v>795</v>
      </c>
      <c r="G681">
        <v>26.405198160000001</v>
      </c>
      <c r="H681">
        <v>14</v>
      </c>
      <c r="I681">
        <v>4.1278255E-2</v>
      </c>
      <c r="J681">
        <v>809</v>
      </c>
      <c r="K681">
        <v>19598.6967</v>
      </c>
      <c r="L681">
        <v>0.67600000000000005</v>
      </c>
      <c r="M681">
        <v>5.5335967999999999E-2</v>
      </c>
      <c r="N681">
        <v>0</v>
      </c>
      <c r="O681" t="s">
        <v>613</v>
      </c>
      <c r="P681">
        <f t="shared" si="92"/>
        <v>10.42306452</v>
      </c>
      <c r="Q681">
        <f t="shared" si="93"/>
        <v>1.7999999999999999E-2</v>
      </c>
      <c r="R681">
        <f t="shared" si="94"/>
        <v>3.5999999999999997E-2</v>
      </c>
      <c r="S681">
        <f t="shared" si="95"/>
        <v>0.67600000000000005</v>
      </c>
      <c r="T681">
        <f t="shared" si="96"/>
        <v>3.1635</v>
      </c>
      <c r="U681">
        <f t="shared" si="97"/>
        <v>5.4675714290000004</v>
      </c>
      <c r="V681">
        <f t="shared" si="98"/>
        <v>0.113</v>
      </c>
      <c r="W681">
        <f t="shared" si="99"/>
        <v>0.17334782608695659</v>
      </c>
      <c r="X681">
        <f t="shared" si="100"/>
        <v>0.873</v>
      </c>
      <c r="Y681">
        <v>209.6893571</v>
      </c>
      <c r="Z681">
        <v>0</v>
      </c>
      <c r="AA681">
        <v>454184</v>
      </c>
      <c r="AB681">
        <v>170596</v>
      </c>
      <c r="AC681">
        <v>6.5715274000000004E-2</v>
      </c>
      <c r="AD681">
        <v>0.72549415100000003</v>
      </c>
      <c r="AF681">
        <v>10.42306452</v>
      </c>
      <c r="AG681">
        <v>1.7999999999999999E-2</v>
      </c>
      <c r="AH681">
        <v>3.5999999999999997E-2</v>
      </c>
      <c r="AI681">
        <v>0.67600000000000005</v>
      </c>
      <c r="AJ681">
        <v>3.1635</v>
      </c>
      <c r="AK681">
        <v>5.4675714290000004</v>
      </c>
      <c r="AL681">
        <v>0.113</v>
      </c>
      <c r="AM681">
        <v>0</v>
      </c>
      <c r="AN681">
        <v>0.873</v>
      </c>
    </row>
    <row r="682" spans="1:40">
      <c r="A682">
        <v>2750</v>
      </c>
      <c r="B682" t="s">
        <v>689</v>
      </c>
      <c r="C682" t="s">
        <v>687</v>
      </c>
      <c r="D682" t="s">
        <v>688</v>
      </c>
      <c r="E682">
        <v>467</v>
      </c>
      <c r="F682">
        <v>1422</v>
      </c>
      <c r="G682">
        <v>38.725660529999999</v>
      </c>
      <c r="H682">
        <v>48</v>
      </c>
      <c r="I682">
        <v>6.0533176000000001E-2</v>
      </c>
      <c r="J682">
        <v>1470</v>
      </c>
      <c r="K682">
        <v>24284.204089999999</v>
      </c>
      <c r="L682">
        <v>0.74199999999999999</v>
      </c>
      <c r="M682">
        <v>9.3203883000000001E-2</v>
      </c>
      <c r="N682">
        <v>0</v>
      </c>
      <c r="O682" t="s">
        <v>613</v>
      </c>
      <c r="P682">
        <f t="shared" si="92"/>
        <v>11.10397727</v>
      </c>
      <c r="Q682">
        <f t="shared" si="93"/>
        <v>5.5E-2</v>
      </c>
      <c r="R682">
        <f t="shared" si="94"/>
        <v>2.3E-2</v>
      </c>
      <c r="S682">
        <f t="shared" si="95"/>
        <v>0.74199999999999999</v>
      </c>
      <c r="T682">
        <f t="shared" si="96"/>
        <v>2.5345</v>
      </c>
      <c r="U682">
        <f t="shared" si="97"/>
        <v>5.9194352160000001</v>
      </c>
      <c r="V682">
        <f t="shared" si="98"/>
        <v>4.8000000000000001E-2</v>
      </c>
      <c r="W682">
        <f t="shared" si="99"/>
        <v>0.222</v>
      </c>
      <c r="X682">
        <f t="shared" si="100"/>
        <v>0.69799999999999995</v>
      </c>
      <c r="Y682">
        <v>164.90456950000001</v>
      </c>
      <c r="Z682">
        <v>0</v>
      </c>
      <c r="AA682">
        <v>454184</v>
      </c>
      <c r="AB682">
        <v>170596</v>
      </c>
      <c r="AC682">
        <v>6.5715274000000004E-2</v>
      </c>
      <c r="AD682">
        <v>0.72549415100000003</v>
      </c>
      <c r="AF682">
        <v>11.10397727</v>
      </c>
      <c r="AG682">
        <v>5.5E-2</v>
      </c>
      <c r="AH682">
        <v>2.3E-2</v>
      </c>
      <c r="AI682">
        <v>0.74199999999999999</v>
      </c>
      <c r="AJ682">
        <v>2.5345</v>
      </c>
      <c r="AK682">
        <v>5.9194352160000001</v>
      </c>
      <c r="AL682">
        <v>4.8000000000000001E-2</v>
      </c>
      <c r="AM682">
        <v>0.222</v>
      </c>
      <c r="AN682">
        <v>0.69799999999999995</v>
      </c>
    </row>
    <row r="683" spans="1:40">
      <c r="A683">
        <v>2751</v>
      </c>
      <c r="B683" t="s">
        <v>689</v>
      </c>
      <c r="C683" t="s">
        <v>687</v>
      </c>
      <c r="D683" t="s">
        <v>688</v>
      </c>
      <c r="E683">
        <v>383</v>
      </c>
      <c r="F683">
        <v>1187</v>
      </c>
      <c r="G683">
        <v>50.723541709999999</v>
      </c>
      <c r="H683">
        <v>225</v>
      </c>
      <c r="I683">
        <v>7.9292845000000001E-2</v>
      </c>
      <c r="J683">
        <v>1412</v>
      </c>
      <c r="K683">
        <v>17807.407469999998</v>
      </c>
      <c r="L683">
        <v>0.70899999999999996</v>
      </c>
      <c r="M683">
        <v>0.37006578899999998</v>
      </c>
      <c r="N683">
        <v>0</v>
      </c>
      <c r="O683" t="s">
        <v>613</v>
      </c>
      <c r="P683">
        <f t="shared" si="92"/>
        <v>11.765505620000001</v>
      </c>
      <c r="Q683">
        <f t="shared" si="93"/>
        <v>3.6999999999999998E-2</v>
      </c>
      <c r="R683">
        <f t="shared" si="94"/>
        <v>3.2000000000000001E-2</v>
      </c>
      <c r="S683">
        <f t="shared" si="95"/>
        <v>0.70899999999999996</v>
      </c>
      <c r="T683">
        <f t="shared" si="96"/>
        <v>2.0802941179999999</v>
      </c>
      <c r="U683">
        <f t="shared" si="97"/>
        <v>6.2160027290000004</v>
      </c>
      <c r="V683">
        <f t="shared" si="98"/>
        <v>5.2999999999999999E-2</v>
      </c>
      <c r="W683">
        <f t="shared" si="99"/>
        <v>0.124</v>
      </c>
      <c r="X683">
        <f t="shared" si="100"/>
        <v>0.78800000000000003</v>
      </c>
      <c r="Y683">
        <v>105.2438779</v>
      </c>
      <c r="Z683">
        <v>0</v>
      </c>
      <c r="AA683">
        <v>454184</v>
      </c>
      <c r="AB683">
        <v>170596</v>
      </c>
      <c r="AC683">
        <v>6.5715274000000004E-2</v>
      </c>
      <c r="AD683">
        <v>0.72549415100000003</v>
      </c>
      <c r="AF683">
        <v>11.765505620000001</v>
      </c>
      <c r="AG683">
        <v>3.6999999999999998E-2</v>
      </c>
      <c r="AH683">
        <v>3.2000000000000001E-2</v>
      </c>
      <c r="AI683">
        <v>0.70899999999999996</v>
      </c>
      <c r="AJ683">
        <v>2.0802941179999999</v>
      </c>
      <c r="AK683">
        <v>6.2160027290000004</v>
      </c>
      <c r="AL683">
        <v>5.2999999999999999E-2</v>
      </c>
      <c r="AM683">
        <v>0.124</v>
      </c>
      <c r="AN683">
        <v>0.78800000000000003</v>
      </c>
    </row>
    <row r="684" spans="1:40">
      <c r="A684">
        <v>2752</v>
      </c>
      <c r="B684" t="s">
        <v>689</v>
      </c>
      <c r="C684" t="s">
        <v>687</v>
      </c>
      <c r="D684" t="s">
        <v>688</v>
      </c>
      <c r="E684">
        <v>487</v>
      </c>
      <c r="F684">
        <v>1487</v>
      </c>
      <c r="G684">
        <v>37.975595669999997</v>
      </c>
      <c r="H684">
        <v>53</v>
      </c>
      <c r="I684">
        <v>5.9360309E-2</v>
      </c>
      <c r="J684">
        <v>1540</v>
      </c>
      <c r="K684">
        <v>25943.261180000001</v>
      </c>
      <c r="L684">
        <v>0.72499999999999998</v>
      </c>
      <c r="M684">
        <v>9.8148148000000004E-2</v>
      </c>
      <c r="N684">
        <v>0</v>
      </c>
      <c r="O684" t="s">
        <v>613</v>
      </c>
      <c r="P684">
        <f t="shared" si="92"/>
        <v>9.9684444439999993</v>
      </c>
      <c r="Q684">
        <f t="shared" si="93"/>
        <v>5.0999999999999997E-2</v>
      </c>
      <c r="R684">
        <f t="shared" si="94"/>
        <v>0.03</v>
      </c>
      <c r="S684">
        <f t="shared" si="95"/>
        <v>0.72499999999999998</v>
      </c>
      <c r="T684">
        <f t="shared" si="96"/>
        <v>1.91875</v>
      </c>
      <c r="U684">
        <f t="shared" si="97"/>
        <v>5.4777739130000001</v>
      </c>
      <c r="V684">
        <f t="shared" si="98"/>
        <v>1.6E-2</v>
      </c>
      <c r="W684">
        <f t="shared" si="99"/>
        <v>0.20499999999999999</v>
      </c>
      <c r="X684">
        <f t="shared" si="100"/>
        <v>0.73799999999999999</v>
      </c>
      <c r="Y684">
        <v>135.20856710000001</v>
      </c>
      <c r="Z684">
        <v>0</v>
      </c>
      <c r="AA684">
        <v>454184</v>
      </c>
      <c r="AB684">
        <v>170596</v>
      </c>
      <c r="AC684">
        <v>6.5715274000000004E-2</v>
      </c>
      <c r="AD684">
        <v>0.72549415100000003</v>
      </c>
      <c r="AF684">
        <v>9.9684444439999993</v>
      </c>
      <c r="AG684">
        <v>5.0999999999999997E-2</v>
      </c>
      <c r="AH684">
        <v>0.03</v>
      </c>
      <c r="AI684">
        <v>0.72499999999999998</v>
      </c>
      <c r="AJ684">
        <v>1.91875</v>
      </c>
      <c r="AK684">
        <v>5.4777739130000001</v>
      </c>
      <c r="AL684">
        <v>1.6E-2</v>
      </c>
      <c r="AM684">
        <v>0.20499999999999999</v>
      </c>
      <c r="AN684">
        <v>0.73799999999999999</v>
      </c>
    </row>
    <row r="685" spans="1:40">
      <c r="A685">
        <v>2753</v>
      </c>
      <c r="B685" t="s">
        <v>689</v>
      </c>
      <c r="C685" t="s">
        <v>687</v>
      </c>
      <c r="D685" t="s">
        <v>688</v>
      </c>
      <c r="E685">
        <v>326</v>
      </c>
      <c r="F685">
        <v>1000</v>
      </c>
      <c r="G685">
        <v>41.49704904</v>
      </c>
      <c r="H685">
        <v>174</v>
      </c>
      <c r="I685">
        <v>6.4861667999999997E-2</v>
      </c>
      <c r="J685">
        <v>1174</v>
      </c>
      <c r="K685">
        <v>18100.058730000001</v>
      </c>
      <c r="L685">
        <v>0.76</v>
      </c>
      <c r="M685">
        <v>0.34799999999999998</v>
      </c>
      <c r="N685">
        <v>0</v>
      </c>
      <c r="O685" t="s">
        <v>613</v>
      </c>
      <c r="P685">
        <f t="shared" si="92"/>
        <v>9.8322352940000002</v>
      </c>
      <c r="Q685">
        <f t="shared" si="93"/>
        <v>0.03</v>
      </c>
      <c r="R685">
        <f t="shared" si="94"/>
        <v>3.6999999999999998E-2</v>
      </c>
      <c r="S685">
        <f t="shared" si="95"/>
        <v>0.76</v>
      </c>
      <c r="T685">
        <f t="shared" si="96"/>
        <v>2.4375</v>
      </c>
      <c r="U685">
        <f t="shared" si="97"/>
        <v>5.907700535</v>
      </c>
      <c r="V685">
        <f t="shared" si="98"/>
        <v>9.8000000000000004E-2</v>
      </c>
      <c r="W685">
        <f t="shared" si="99"/>
        <v>6.9000000000000006E-2</v>
      </c>
      <c r="X685">
        <f t="shared" si="100"/>
        <v>0.83299999999999996</v>
      </c>
      <c r="Y685">
        <v>256.93452719999999</v>
      </c>
      <c r="Z685">
        <v>0</v>
      </c>
      <c r="AA685">
        <v>454184</v>
      </c>
      <c r="AB685">
        <v>170596</v>
      </c>
      <c r="AC685">
        <v>6.5715274000000004E-2</v>
      </c>
      <c r="AD685">
        <v>0.72549415100000003</v>
      </c>
      <c r="AF685">
        <v>9.8322352940000002</v>
      </c>
      <c r="AG685">
        <v>0.03</v>
      </c>
      <c r="AH685">
        <v>3.6999999999999998E-2</v>
      </c>
      <c r="AI685">
        <v>0.76</v>
      </c>
      <c r="AJ685">
        <v>2.4375</v>
      </c>
      <c r="AK685">
        <v>5.907700535</v>
      </c>
      <c r="AL685">
        <v>9.8000000000000004E-2</v>
      </c>
      <c r="AM685">
        <v>6.9000000000000006E-2</v>
      </c>
      <c r="AN685">
        <v>0.83299999999999996</v>
      </c>
    </row>
    <row r="686" spans="1:40">
      <c r="A686">
        <v>2754</v>
      </c>
      <c r="B686" t="s">
        <v>686</v>
      </c>
      <c r="C686" t="s">
        <v>687</v>
      </c>
      <c r="D686" t="s">
        <v>688</v>
      </c>
      <c r="E686">
        <v>320</v>
      </c>
      <c r="F686">
        <v>739</v>
      </c>
      <c r="G686">
        <v>54.463847790000003</v>
      </c>
      <c r="H686">
        <v>64</v>
      </c>
      <c r="I686">
        <v>8.5136975000000004E-2</v>
      </c>
      <c r="J686">
        <v>803</v>
      </c>
      <c r="K686">
        <v>9431.8596589999997</v>
      </c>
      <c r="L686">
        <v>0.64500000000000002</v>
      </c>
      <c r="M686">
        <v>0.16666666699999999</v>
      </c>
      <c r="N686">
        <v>0</v>
      </c>
      <c r="O686" t="s">
        <v>613</v>
      </c>
      <c r="P686">
        <f t="shared" si="92"/>
        <v>9.0780487799999996</v>
      </c>
      <c r="Q686">
        <f t="shared" si="93"/>
        <v>2.3E-2</v>
      </c>
      <c r="R686">
        <f t="shared" si="94"/>
        <v>5.0999999999999997E-2</v>
      </c>
      <c r="S686">
        <f t="shared" si="95"/>
        <v>0.64500000000000002</v>
      </c>
      <c r="T686">
        <f t="shared" si="96"/>
        <v>2.3922727269999999</v>
      </c>
      <c r="U686">
        <f t="shared" si="97"/>
        <v>5.0239525690000004</v>
      </c>
      <c r="V686">
        <f t="shared" si="98"/>
        <v>0.113</v>
      </c>
      <c r="W686">
        <f t="shared" si="99"/>
        <v>0.14099999999999999</v>
      </c>
      <c r="X686">
        <f t="shared" si="100"/>
        <v>0.57699999999999996</v>
      </c>
      <c r="Y686">
        <v>141.14729610000001</v>
      </c>
      <c r="Z686">
        <v>1</v>
      </c>
      <c r="AA686">
        <v>140316</v>
      </c>
      <c r="AB686">
        <v>49638</v>
      </c>
      <c r="AC686">
        <v>9.1283894000000004E-2</v>
      </c>
      <c r="AD686">
        <v>0.60339869999999995</v>
      </c>
      <c r="AF686">
        <v>9.0780487799999996</v>
      </c>
      <c r="AG686">
        <v>2.3E-2</v>
      </c>
      <c r="AH686">
        <v>5.0999999999999997E-2</v>
      </c>
      <c r="AI686">
        <v>0.64500000000000002</v>
      </c>
      <c r="AJ686">
        <v>2.3922727269999999</v>
      </c>
      <c r="AK686">
        <v>5.0239525690000004</v>
      </c>
      <c r="AL686">
        <v>0.113</v>
      </c>
      <c r="AM686">
        <v>0.14099999999999999</v>
      </c>
      <c r="AN686">
        <v>0.57699999999999996</v>
      </c>
    </row>
    <row r="687" spans="1:40">
      <c r="A687">
        <v>2755</v>
      </c>
      <c r="B687" t="s">
        <v>699</v>
      </c>
      <c r="C687" t="s">
        <v>687</v>
      </c>
      <c r="D687" t="s">
        <v>688</v>
      </c>
      <c r="E687">
        <v>371</v>
      </c>
      <c r="F687">
        <v>1069</v>
      </c>
      <c r="G687">
        <v>67.561642120000002</v>
      </c>
      <c r="H687">
        <v>323</v>
      </c>
      <c r="I687">
        <v>0.10561302</v>
      </c>
      <c r="J687">
        <v>1392</v>
      </c>
      <c r="K687">
        <v>13180.19312</v>
      </c>
      <c r="L687">
        <v>0.752</v>
      </c>
      <c r="M687">
        <v>0.46541786699999999</v>
      </c>
      <c r="N687">
        <v>1</v>
      </c>
      <c r="O687" t="s">
        <v>613</v>
      </c>
      <c r="P687">
        <f t="shared" si="92"/>
        <v>12.05646617</v>
      </c>
      <c r="Q687">
        <f t="shared" si="93"/>
        <v>6.3E-2</v>
      </c>
      <c r="R687">
        <f t="shared" si="94"/>
        <v>2.5999999999999999E-2</v>
      </c>
      <c r="S687">
        <f t="shared" si="95"/>
        <v>0.752</v>
      </c>
      <c r="T687">
        <f t="shared" si="96"/>
        <v>2.2535294119999998</v>
      </c>
      <c r="U687">
        <f t="shared" si="97"/>
        <v>6.3205747130000001</v>
      </c>
      <c r="V687">
        <f t="shared" si="98"/>
        <v>2.4E-2</v>
      </c>
      <c r="W687">
        <f t="shared" si="99"/>
        <v>0.14000000000000001</v>
      </c>
      <c r="X687">
        <f t="shared" si="100"/>
        <v>0.81100000000000005</v>
      </c>
      <c r="Y687">
        <v>214.5898263</v>
      </c>
      <c r="Z687">
        <v>0</v>
      </c>
      <c r="AA687">
        <v>20912</v>
      </c>
      <c r="AB687">
        <v>7469</v>
      </c>
      <c r="AC687">
        <v>5.5261644999999998E-2</v>
      </c>
      <c r="AD687">
        <v>0.74284071299999999</v>
      </c>
      <c r="AF687">
        <v>12.05646617</v>
      </c>
      <c r="AG687">
        <v>6.3E-2</v>
      </c>
      <c r="AH687">
        <v>2.5999999999999999E-2</v>
      </c>
      <c r="AI687">
        <v>0.752</v>
      </c>
      <c r="AJ687">
        <v>2.2535294119999998</v>
      </c>
      <c r="AK687">
        <v>6.3205747130000001</v>
      </c>
      <c r="AL687">
        <v>2.4E-2</v>
      </c>
      <c r="AM687">
        <v>0.14000000000000001</v>
      </c>
      <c r="AN687">
        <v>0.81100000000000005</v>
      </c>
    </row>
    <row r="688" spans="1:40">
      <c r="A688">
        <v>2756</v>
      </c>
      <c r="B688" t="s">
        <v>699</v>
      </c>
      <c r="C688" t="s">
        <v>687</v>
      </c>
      <c r="D688" t="s">
        <v>688</v>
      </c>
      <c r="E688">
        <v>461</v>
      </c>
      <c r="F688">
        <v>1112</v>
      </c>
      <c r="G688">
        <v>158.79082550000001</v>
      </c>
      <c r="H688">
        <v>280</v>
      </c>
      <c r="I688">
        <v>0.248230374</v>
      </c>
      <c r="J688">
        <v>1392</v>
      </c>
      <c r="K688">
        <v>5607.6940850000001</v>
      </c>
      <c r="L688">
        <v>0.81799999999999995</v>
      </c>
      <c r="M688">
        <v>0.377867746</v>
      </c>
      <c r="N688">
        <v>0</v>
      </c>
      <c r="O688" t="s">
        <v>620</v>
      </c>
      <c r="P688">
        <f t="shared" si="92"/>
        <v>12.43007353</v>
      </c>
      <c r="Q688">
        <f t="shared" si="93"/>
        <v>5.1999999999999998E-2</v>
      </c>
      <c r="R688">
        <f t="shared" si="94"/>
        <v>3.7999999999999999E-2</v>
      </c>
      <c r="S688">
        <f t="shared" si="95"/>
        <v>0.81799999999999995</v>
      </c>
      <c r="T688">
        <f t="shared" si="96"/>
        <v>3.0665624999999999</v>
      </c>
      <c r="U688">
        <f t="shared" si="97"/>
        <v>7.2536574749999998</v>
      </c>
      <c r="V688">
        <f t="shared" si="98"/>
        <v>6.2E-2</v>
      </c>
      <c r="W688">
        <f t="shared" si="99"/>
        <v>0.08</v>
      </c>
      <c r="X688">
        <f t="shared" si="100"/>
        <v>0.84</v>
      </c>
      <c r="Y688">
        <v>70.561789919999995</v>
      </c>
      <c r="Z688">
        <v>0</v>
      </c>
      <c r="AA688">
        <v>20912</v>
      </c>
      <c r="AB688">
        <v>7469</v>
      </c>
      <c r="AC688">
        <v>5.5261644999999998E-2</v>
      </c>
      <c r="AD688">
        <v>0.74284071299999999</v>
      </c>
      <c r="AF688">
        <v>12.43007353</v>
      </c>
      <c r="AG688">
        <v>5.1999999999999998E-2</v>
      </c>
      <c r="AH688">
        <v>3.7999999999999999E-2</v>
      </c>
      <c r="AI688">
        <v>0.81799999999999995</v>
      </c>
      <c r="AJ688">
        <v>3.0665624999999999</v>
      </c>
      <c r="AK688">
        <v>7.2536574749999998</v>
      </c>
      <c r="AL688">
        <v>6.2E-2</v>
      </c>
      <c r="AM688">
        <v>0.08</v>
      </c>
      <c r="AN688">
        <v>0.84</v>
      </c>
    </row>
    <row r="689" spans="1:40">
      <c r="A689">
        <v>2757</v>
      </c>
      <c r="B689" t="s">
        <v>689</v>
      </c>
      <c r="C689" t="s">
        <v>687</v>
      </c>
      <c r="D689" t="s">
        <v>688</v>
      </c>
      <c r="E689">
        <v>141</v>
      </c>
      <c r="F689">
        <v>476</v>
      </c>
      <c r="G689">
        <v>112.3585161</v>
      </c>
      <c r="H689">
        <v>1559</v>
      </c>
      <c r="I689">
        <v>0.175636973</v>
      </c>
      <c r="J689">
        <v>2035</v>
      </c>
      <c r="K689">
        <v>11586.398719999999</v>
      </c>
      <c r="L689">
        <v>0.82099999999999995</v>
      </c>
      <c r="M689">
        <v>0.91705882400000005</v>
      </c>
      <c r="N689">
        <v>0</v>
      </c>
      <c r="O689" t="s">
        <v>613</v>
      </c>
      <c r="P689">
        <f t="shared" si="92"/>
        <v>13.026571430000001</v>
      </c>
      <c r="Q689">
        <f t="shared" si="93"/>
        <v>4.4999999999999998E-2</v>
      </c>
      <c r="R689">
        <f t="shared" si="94"/>
        <v>3.4000000000000002E-2</v>
      </c>
      <c r="S689">
        <f t="shared" si="95"/>
        <v>0.82099999999999995</v>
      </c>
      <c r="T689">
        <f t="shared" si="96"/>
        <v>2.0473529410000002</v>
      </c>
      <c r="U689">
        <f t="shared" si="97"/>
        <v>7.0702982600000004</v>
      </c>
      <c r="V689">
        <f t="shared" si="98"/>
        <v>5.8000000000000003E-2</v>
      </c>
      <c r="W689">
        <f t="shared" si="99"/>
        <v>0.17399999999999999</v>
      </c>
      <c r="X689">
        <f t="shared" si="100"/>
        <v>0.73699999999999999</v>
      </c>
      <c r="Y689">
        <v>275.86504070000001</v>
      </c>
      <c r="Z689">
        <v>0</v>
      </c>
      <c r="AA689">
        <v>454184</v>
      </c>
      <c r="AB689">
        <v>170596</v>
      </c>
      <c r="AC689">
        <v>6.5715274000000004E-2</v>
      </c>
      <c r="AD689">
        <v>0.72549415100000003</v>
      </c>
      <c r="AF689">
        <v>13.026571430000001</v>
      </c>
      <c r="AG689">
        <v>4.4999999999999998E-2</v>
      </c>
      <c r="AH689">
        <v>3.4000000000000002E-2</v>
      </c>
      <c r="AI689">
        <v>0.82099999999999995</v>
      </c>
      <c r="AJ689">
        <v>2.0473529410000002</v>
      </c>
      <c r="AK689">
        <v>7.0702982600000004</v>
      </c>
      <c r="AL689">
        <v>5.8000000000000003E-2</v>
      </c>
      <c r="AM689">
        <v>0.17399999999999999</v>
      </c>
      <c r="AN689">
        <v>0.73699999999999999</v>
      </c>
    </row>
    <row r="690" spans="1:40">
      <c r="A690">
        <v>2758</v>
      </c>
      <c r="B690" t="s">
        <v>689</v>
      </c>
      <c r="C690" t="s">
        <v>687</v>
      </c>
      <c r="D690" t="s">
        <v>688</v>
      </c>
      <c r="E690">
        <v>64</v>
      </c>
      <c r="F690">
        <v>169</v>
      </c>
      <c r="G690">
        <v>273.89825630000001</v>
      </c>
      <c r="H690">
        <v>32</v>
      </c>
      <c r="I690">
        <v>0.42814232200000002</v>
      </c>
      <c r="J690">
        <v>201</v>
      </c>
      <c r="K690">
        <v>469.47005630000001</v>
      </c>
      <c r="L690">
        <v>0.91</v>
      </c>
      <c r="M690">
        <v>0.33333333300000001</v>
      </c>
      <c r="N690">
        <v>0</v>
      </c>
      <c r="O690" t="s">
        <v>620</v>
      </c>
      <c r="P690">
        <f t="shared" si="92"/>
        <v>13.045714289999999</v>
      </c>
      <c r="Q690">
        <f t="shared" si="93"/>
        <v>6.0302483069977368E-2</v>
      </c>
      <c r="R690">
        <f t="shared" si="94"/>
        <v>3.3000000000000002E-2</v>
      </c>
      <c r="S690">
        <f t="shared" si="95"/>
        <v>0.91</v>
      </c>
      <c r="T690">
        <f t="shared" si="96"/>
        <v>2.1274999999999999</v>
      </c>
      <c r="U690">
        <f t="shared" si="97"/>
        <v>8.2730693070000001</v>
      </c>
      <c r="V690">
        <f t="shared" si="98"/>
        <v>0.125</v>
      </c>
      <c r="W690">
        <f t="shared" si="99"/>
        <v>0.17334782608695659</v>
      </c>
      <c r="X690">
        <f t="shared" si="100"/>
        <v>0.875</v>
      </c>
      <c r="Y690">
        <v>273.52439049999998</v>
      </c>
      <c r="Z690">
        <v>0</v>
      </c>
      <c r="AA690">
        <v>454184</v>
      </c>
      <c r="AB690">
        <v>170596</v>
      </c>
      <c r="AC690">
        <v>6.5715274000000004E-2</v>
      </c>
      <c r="AD690">
        <v>0.72549415100000003</v>
      </c>
      <c r="AF690">
        <v>13.045714289999999</v>
      </c>
      <c r="AG690">
        <v>0</v>
      </c>
      <c r="AH690">
        <v>3.3000000000000002E-2</v>
      </c>
      <c r="AI690">
        <v>0.91</v>
      </c>
      <c r="AJ690">
        <v>2.1274999999999999</v>
      </c>
      <c r="AK690">
        <v>8.2730693070000001</v>
      </c>
      <c r="AL690">
        <v>0.125</v>
      </c>
      <c r="AM690">
        <v>0</v>
      </c>
      <c r="AN690">
        <v>0.875</v>
      </c>
    </row>
    <row r="691" spans="1:40">
      <c r="A691">
        <v>2759</v>
      </c>
      <c r="B691" t="s">
        <v>689</v>
      </c>
      <c r="C691" t="s">
        <v>687</v>
      </c>
      <c r="D691" t="s">
        <v>688</v>
      </c>
      <c r="E691">
        <v>496</v>
      </c>
      <c r="F691">
        <v>1131</v>
      </c>
      <c r="G691">
        <v>1352.031201</v>
      </c>
      <c r="H691">
        <v>2677</v>
      </c>
      <c r="I691" s="515">
        <v>2.1134626279105202</v>
      </c>
      <c r="J691">
        <v>3808</v>
      </c>
      <c r="K691">
        <v>1801.7825110000001</v>
      </c>
      <c r="L691">
        <v>0.91300000000000003</v>
      </c>
      <c r="M691">
        <v>0.84368105900000001</v>
      </c>
      <c r="N691">
        <v>0</v>
      </c>
      <c r="O691" t="s">
        <v>620</v>
      </c>
      <c r="P691">
        <f t="shared" si="92"/>
        <v>14.639984889999999</v>
      </c>
      <c r="Q691">
        <f t="shared" si="93"/>
        <v>8.0000000000000002E-3</v>
      </c>
      <c r="R691">
        <f t="shared" si="94"/>
        <v>4.4999999999999998E-2</v>
      </c>
      <c r="S691">
        <f t="shared" si="95"/>
        <v>0.91300000000000003</v>
      </c>
      <c r="T691">
        <f t="shared" si="96"/>
        <v>2.485396825</v>
      </c>
      <c r="U691">
        <f t="shared" si="97"/>
        <v>10.35231136</v>
      </c>
      <c r="V691">
        <f t="shared" si="98"/>
        <v>9.8000000000000004E-2</v>
      </c>
      <c r="W691">
        <f t="shared" si="99"/>
        <v>2.5999999999999999E-2</v>
      </c>
      <c r="X691">
        <f t="shared" si="100"/>
        <v>0.85399999999999998</v>
      </c>
      <c r="Y691">
        <v>32.05642022</v>
      </c>
      <c r="Z691">
        <v>0</v>
      </c>
      <c r="AA691">
        <v>454184</v>
      </c>
      <c r="AB691">
        <v>170596</v>
      </c>
      <c r="AC691">
        <v>6.5715274000000004E-2</v>
      </c>
      <c r="AD691">
        <v>0.72549415100000003</v>
      </c>
      <c r="AF691">
        <v>14.639984889999999</v>
      </c>
      <c r="AG691">
        <v>8.0000000000000002E-3</v>
      </c>
      <c r="AH691">
        <v>4.4999999999999998E-2</v>
      </c>
      <c r="AI691">
        <v>0.91300000000000003</v>
      </c>
      <c r="AJ691">
        <v>2.485396825</v>
      </c>
      <c r="AK691">
        <v>10.35231136</v>
      </c>
      <c r="AL691">
        <v>9.8000000000000004E-2</v>
      </c>
      <c r="AM691">
        <v>2.5999999999999999E-2</v>
      </c>
      <c r="AN691">
        <v>0.85399999999999998</v>
      </c>
    </row>
    <row r="692" spans="1:40">
      <c r="A692">
        <v>2760</v>
      </c>
      <c r="B692" t="s">
        <v>707</v>
      </c>
      <c r="C692" t="s">
        <v>696</v>
      </c>
      <c r="D692" t="s">
        <v>697</v>
      </c>
      <c r="E692">
        <v>160</v>
      </c>
      <c r="F692">
        <v>462</v>
      </c>
      <c r="G692">
        <v>372.99026420000001</v>
      </c>
      <c r="H692">
        <v>0</v>
      </c>
      <c r="I692">
        <v>0.58304392599999999</v>
      </c>
      <c r="J692">
        <v>462</v>
      </c>
      <c r="K692">
        <v>792.39312749999999</v>
      </c>
      <c r="L692">
        <v>0.878</v>
      </c>
      <c r="M692">
        <v>0</v>
      </c>
      <c r="N692">
        <v>0</v>
      </c>
      <c r="O692" t="s">
        <v>625</v>
      </c>
      <c r="P692">
        <f t="shared" si="92"/>
        <v>16.677250000000001</v>
      </c>
      <c r="Q692">
        <f t="shared" si="93"/>
        <v>3.3000000000000002E-2</v>
      </c>
      <c r="R692">
        <f t="shared" si="94"/>
        <v>2.4E-2</v>
      </c>
      <c r="S692">
        <f t="shared" si="95"/>
        <v>0.878</v>
      </c>
      <c r="T692">
        <f t="shared" si="96"/>
        <v>0.82666666700000002</v>
      </c>
      <c r="U692">
        <f t="shared" si="97"/>
        <v>10.21769231</v>
      </c>
      <c r="V692">
        <f t="shared" si="98"/>
        <v>0.11835714285714286</v>
      </c>
      <c r="W692">
        <f t="shared" si="99"/>
        <v>0.16700000000000001</v>
      </c>
      <c r="X692">
        <f t="shared" si="100"/>
        <v>0.83299999999999996</v>
      </c>
      <c r="Y692">
        <v>47.784596469999997</v>
      </c>
      <c r="Z692">
        <v>0</v>
      </c>
      <c r="AA692">
        <v>21149</v>
      </c>
      <c r="AB692">
        <v>6968</v>
      </c>
      <c r="AC692">
        <v>1.6645858999999999E-2</v>
      </c>
      <c r="AD692">
        <v>0.89069218999999999</v>
      </c>
      <c r="AF692">
        <v>16.677250000000001</v>
      </c>
      <c r="AG692">
        <v>3.3000000000000002E-2</v>
      </c>
      <c r="AH692">
        <v>2.4E-2</v>
      </c>
      <c r="AI692">
        <v>0.878</v>
      </c>
      <c r="AJ692">
        <v>0.82666666700000002</v>
      </c>
      <c r="AK692">
        <v>10.21769231</v>
      </c>
      <c r="AL692">
        <v>0</v>
      </c>
      <c r="AM692">
        <v>0.16700000000000001</v>
      </c>
      <c r="AN692">
        <v>0.83299999999999996</v>
      </c>
    </row>
    <row r="693" spans="1:40">
      <c r="A693">
        <v>2761</v>
      </c>
      <c r="B693" t="s">
        <v>706</v>
      </c>
      <c r="C693" t="s">
        <v>684</v>
      </c>
      <c r="D693" t="s">
        <v>685</v>
      </c>
      <c r="E693">
        <v>516</v>
      </c>
      <c r="F693">
        <v>1880</v>
      </c>
      <c r="G693">
        <v>134.19012849999999</v>
      </c>
      <c r="H693">
        <v>33</v>
      </c>
      <c r="I693">
        <v>0.20975358999999999</v>
      </c>
      <c r="J693">
        <v>1913</v>
      </c>
      <c r="K693">
        <v>9120.2253079999991</v>
      </c>
      <c r="L693">
        <v>0.80700000000000005</v>
      </c>
      <c r="M693">
        <v>6.0109290000000003E-2</v>
      </c>
      <c r="N693">
        <v>0</v>
      </c>
      <c r="O693" t="s">
        <v>620</v>
      </c>
      <c r="P693">
        <f t="shared" si="92"/>
        <v>13.46681529</v>
      </c>
      <c r="Q693">
        <f t="shared" si="93"/>
        <v>2.8000000000000001E-2</v>
      </c>
      <c r="R693">
        <f t="shared" si="94"/>
        <v>2.1000000000000001E-2</v>
      </c>
      <c r="S693">
        <f t="shared" si="95"/>
        <v>0.80700000000000005</v>
      </c>
      <c r="T693">
        <f t="shared" si="96"/>
        <v>1.820555556</v>
      </c>
      <c r="U693">
        <f t="shared" si="97"/>
        <v>8.5028654970000002</v>
      </c>
      <c r="V693">
        <f t="shared" si="98"/>
        <v>3.2000000000000001E-2</v>
      </c>
      <c r="W693">
        <f t="shared" si="99"/>
        <v>9.6000000000000002E-2</v>
      </c>
      <c r="X693">
        <f t="shared" si="100"/>
        <v>0.84</v>
      </c>
      <c r="Y693">
        <v>6.9478652050000003</v>
      </c>
      <c r="Z693">
        <v>0</v>
      </c>
      <c r="AA693">
        <v>47401</v>
      </c>
      <c r="AB693">
        <v>14616</v>
      </c>
      <c r="AC693">
        <v>1.1721782E-2</v>
      </c>
      <c r="AD693">
        <v>0.85588417900000002</v>
      </c>
      <c r="AF693">
        <v>13.46681529</v>
      </c>
      <c r="AG693">
        <v>2.8000000000000001E-2</v>
      </c>
      <c r="AH693">
        <v>2.1000000000000001E-2</v>
      </c>
      <c r="AI693">
        <v>0.80700000000000005</v>
      </c>
      <c r="AJ693">
        <v>1.820555556</v>
      </c>
      <c r="AK693">
        <v>8.5028654970000002</v>
      </c>
      <c r="AL693">
        <v>3.2000000000000001E-2</v>
      </c>
      <c r="AM693">
        <v>9.6000000000000002E-2</v>
      </c>
      <c r="AN693">
        <v>0.84</v>
      </c>
    </row>
    <row r="694" spans="1:40">
      <c r="A694">
        <v>2762</v>
      </c>
      <c r="B694" t="s">
        <v>686</v>
      </c>
      <c r="C694" t="s">
        <v>687</v>
      </c>
      <c r="D694" t="s">
        <v>688</v>
      </c>
      <c r="E694">
        <v>0</v>
      </c>
      <c r="F694">
        <v>0</v>
      </c>
      <c r="G694">
        <v>187.14364789999999</v>
      </c>
      <c r="H694">
        <v>35100</v>
      </c>
      <c r="I694">
        <v>0.29254031400000002</v>
      </c>
      <c r="J694">
        <v>35100</v>
      </c>
      <c r="K694">
        <v>119983.4632</v>
      </c>
      <c r="L694">
        <v>0.495</v>
      </c>
      <c r="M694" s="515">
        <v>1</v>
      </c>
      <c r="N694">
        <v>1</v>
      </c>
      <c r="O694" t="s">
        <v>606</v>
      </c>
      <c r="P694">
        <f t="shared" si="92"/>
        <v>16.382316729999999</v>
      </c>
      <c r="Q694">
        <f t="shared" si="93"/>
        <v>0.11700000000000001</v>
      </c>
      <c r="R694">
        <f t="shared" si="94"/>
        <v>7.8E-2</v>
      </c>
      <c r="S694">
        <f t="shared" si="95"/>
        <v>0.495</v>
      </c>
      <c r="T694">
        <f t="shared" si="96"/>
        <v>1.5956134049999999</v>
      </c>
      <c r="U694">
        <f t="shared" si="97"/>
        <v>10.476926929999999</v>
      </c>
      <c r="V694">
        <f t="shared" si="98"/>
        <v>0.108</v>
      </c>
      <c r="W694">
        <f t="shared" si="99"/>
        <v>0.27600000000000002</v>
      </c>
      <c r="X694">
        <f t="shared" si="100"/>
        <v>0.48899999999999999</v>
      </c>
      <c r="Y694">
        <v>552.11780320000003</v>
      </c>
      <c r="Z694">
        <v>1</v>
      </c>
      <c r="AA694">
        <v>140316</v>
      </c>
      <c r="AB694">
        <v>49638</v>
      </c>
      <c r="AC694">
        <v>9.1283894000000004E-2</v>
      </c>
      <c r="AD694">
        <v>0.60339869999999995</v>
      </c>
      <c r="AF694">
        <v>16.382316729999999</v>
      </c>
      <c r="AG694">
        <v>0.11700000000000001</v>
      </c>
      <c r="AH694">
        <v>7.8E-2</v>
      </c>
      <c r="AI694">
        <v>0.495</v>
      </c>
      <c r="AJ694">
        <v>1.5956134049999999</v>
      </c>
      <c r="AK694">
        <v>10.476926929999999</v>
      </c>
      <c r="AL694">
        <v>0.108</v>
      </c>
      <c r="AM694">
        <v>0.27600000000000002</v>
      </c>
      <c r="AN694">
        <v>0.48899999999999999</v>
      </c>
    </row>
    <row r="695" spans="1:40">
      <c r="A695">
        <v>2763</v>
      </c>
      <c r="B695" t="s">
        <v>686</v>
      </c>
      <c r="C695" t="s">
        <v>687</v>
      </c>
      <c r="D695" t="s">
        <v>688</v>
      </c>
      <c r="E695">
        <v>145</v>
      </c>
      <c r="F695">
        <v>334</v>
      </c>
      <c r="G695">
        <v>21.892374759999999</v>
      </c>
      <c r="H695">
        <v>132</v>
      </c>
      <c r="I695">
        <v>3.4225024E-2</v>
      </c>
      <c r="J695">
        <v>466</v>
      </c>
      <c r="K695">
        <v>13615.768389999999</v>
      </c>
      <c r="L695">
        <v>0.69199999999999995</v>
      </c>
      <c r="M695">
        <v>0.47653429600000002</v>
      </c>
      <c r="N695">
        <v>1</v>
      </c>
      <c r="O695" t="s">
        <v>613</v>
      </c>
      <c r="P695">
        <f t="shared" si="92"/>
        <v>11.63152174</v>
      </c>
      <c r="Q695">
        <f t="shared" si="93"/>
        <v>9.6000000000000002E-2</v>
      </c>
      <c r="R695">
        <f t="shared" si="94"/>
        <v>5.1999999999999998E-2</v>
      </c>
      <c r="S695">
        <f t="shared" si="95"/>
        <v>0.69199999999999995</v>
      </c>
      <c r="T695">
        <f t="shared" si="96"/>
        <v>1.961666667</v>
      </c>
      <c r="U695">
        <f t="shared" si="97"/>
        <v>7.4289316239999996</v>
      </c>
      <c r="V695">
        <f t="shared" si="98"/>
        <v>0.111</v>
      </c>
      <c r="W695">
        <f t="shared" si="99"/>
        <v>0.222</v>
      </c>
      <c r="X695">
        <f t="shared" si="100"/>
        <v>0.63900000000000001</v>
      </c>
      <c r="Y695">
        <v>198.20358870000001</v>
      </c>
      <c r="Z695">
        <v>1</v>
      </c>
      <c r="AA695">
        <v>140316</v>
      </c>
      <c r="AB695">
        <v>49638</v>
      </c>
      <c r="AC695">
        <v>9.1283894000000004E-2</v>
      </c>
      <c r="AD695">
        <v>0.60339869999999995</v>
      </c>
      <c r="AF695">
        <v>11.63152174</v>
      </c>
      <c r="AG695">
        <v>9.6000000000000002E-2</v>
      </c>
      <c r="AH695">
        <v>5.1999999999999998E-2</v>
      </c>
      <c r="AI695">
        <v>0.69199999999999995</v>
      </c>
      <c r="AJ695">
        <v>1.961666667</v>
      </c>
      <c r="AK695">
        <v>7.4289316239999996</v>
      </c>
      <c r="AL695">
        <v>0.111</v>
      </c>
      <c r="AM695">
        <v>0.222</v>
      </c>
      <c r="AN695">
        <v>0.63900000000000001</v>
      </c>
    </row>
    <row r="696" spans="1:40">
      <c r="A696">
        <v>2764</v>
      </c>
      <c r="B696" t="s">
        <v>686</v>
      </c>
      <c r="C696" t="s">
        <v>687</v>
      </c>
      <c r="D696" t="s">
        <v>688</v>
      </c>
      <c r="E696">
        <v>188</v>
      </c>
      <c r="F696">
        <v>438</v>
      </c>
      <c r="G696">
        <v>38.537368090000001</v>
      </c>
      <c r="H696">
        <v>298</v>
      </c>
      <c r="I696">
        <v>6.0241298999999998E-2</v>
      </c>
      <c r="J696">
        <v>736</v>
      </c>
      <c r="K696">
        <v>12217.53203</v>
      </c>
      <c r="L696">
        <v>0.66200000000000003</v>
      </c>
      <c r="M696">
        <v>0.613168724</v>
      </c>
      <c r="N696">
        <v>0</v>
      </c>
      <c r="O696" t="s">
        <v>613</v>
      </c>
      <c r="P696">
        <f t="shared" si="92"/>
        <v>10.462289159999999</v>
      </c>
      <c r="Q696">
        <f t="shared" si="93"/>
        <v>7.1999999999999995E-2</v>
      </c>
      <c r="R696">
        <f t="shared" si="94"/>
        <v>3.5000000000000003E-2</v>
      </c>
      <c r="S696">
        <f t="shared" si="95"/>
        <v>0.66200000000000003</v>
      </c>
      <c r="T696">
        <f t="shared" si="96"/>
        <v>1.9523999999999999</v>
      </c>
      <c r="U696">
        <f t="shared" si="97"/>
        <v>6.5749890110000004</v>
      </c>
      <c r="V696">
        <f t="shared" si="98"/>
        <v>6.7000000000000004E-2</v>
      </c>
      <c r="W696">
        <f t="shared" si="99"/>
        <v>0.23699999999999999</v>
      </c>
      <c r="X696">
        <f t="shared" si="100"/>
        <v>0.61499999999999999</v>
      </c>
      <c r="Y696">
        <v>116.1278664</v>
      </c>
      <c r="Z696">
        <v>1</v>
      </c>
      <c r="AA696">
        <v>140316</v>
      </c>
      <c r="AB696">
        <v>49638</v>
      </c>
      <c r="AC696">
        <v>9.1283894000000004E-2</v>
      </c>
      <c r="AD696">
        <v>0.60339869999999995</v>
      </c>
      <c r="AF696">
        <v>10.462289159999999</v>
      </c>
      <c r="AG696">
        <v>7.1999999999999995E-2</v>
      </c>
      <c r="AH696">
        <v>3.5000000000000003E-2</v>
      </c>
      <c r="AI696">
        <v>0.66200000000000003</v>
      </c>
      <c r="AJ696">
        <v>1.9523999999999999</v>
      </c>
      <c r="AK696">
        <v>6.5749890110000004</v>
      </c>
      <c r="AL696">
        <v>6.7000000000000004E-2</v>
      </c>
      <c r="AM696">
        <v>0.23699999999999999</v>
      </c>
      <c r="AN696">
        <v>0.61499999999999999</v>
      </c>
    </row>
    <row r="697" spans="1:40">
      <c r="A697">
        <v>2765</v>
      </c>
      <c r="B697" t="s">
        <v>686</v>
      </c>
      <c r="C697" t="s">
        <v>687</v>
      </c>
      <c r="D697" t="s">
        <v>688</v>
      </c>
      <c r="E697">
        <v>224</v>
      </c>
      <c r="F697">
        <v>489</v>
      </c>
      <c r="G697">
        <v>24.32629902</v>
      </c>
      <c r="H697">
        <v>27</v>
      </c>
      <c r="I697">
        <v>3.8024761999999997E-2</v>
      </c>
      <c r="J697">
        <v>516</v>
      </c>
      <c r="K697">
        <v>13570.104660000001</v>
      </c>
      <c r="L697">
        <v>0.68799999999999994</v>
      </c>
      <c r="M697">
        <v>0.10756972099999999</v>
      </c>
      <c r="N697">
        <v>1</v>
      </c>
      <c r="O697" t="s">
        <v>613</v>
      </c>
      <c r="P697">
        <f t="shared" si="92"/>
        <v>9.7364516129999998</v>
      </c>
      <c r="Q697">
        <f t="shared" si="93"/>
        <v>8.7999999999999995E-2</v>
      </c>
      <c r="R697">
        <f t="shared" si="94"/>
        <v>4.8000000000000001E-2</v>
      </c>
      <c r="S697">
        <f t="shared" si="95"/>
        <v>0.68799999999999994</v>
      </c>
      <c r="T697">
        <f t="shared" si="96"/>
        <v>1.9650000000000001</v>
      </c>
      <c r="U697">
        <f t="shared" si="97"/>
        <v>5.5510843369999998</v>
      </c>
      <c r="V697">
        <f t="shared" si="98"/>
        <v>4.7E-2</v>
      </c>
      <c r="W697">
        <f t="shared" si="99"/>
        <v>0.23300000000000001</v>
      </c>
      <c r="X697">
        <f t="shared" si="100"/>
        <v>0.72099999999999997</v>
      </c>
      <c r="Y697">
        <v>310.2409657</v>
      </c>
      <c r="Z697">
        <v>1</v>
      </c>
      <c r="AA697">
        <v>140316</v>
      </c>
      <c r="AB697">
        <v>49638</v>
      </c>
      <c r="AC697">
        <v>9.1283894000000004E-2</v>
      </c>
      <c r="AD697">
        <v>0.60339869999999995</v>
      </c>
      <c r="AF697">
        <v>9.7364516129999998</v>
      </c>
      <c r="AG697">
        <v>8.7999999999999995E-2</v>
      </c>
      <c r="AH697">
        <v>4.8000000000000001E-2</v>
      </c>
      <c r="AI697">
        <v>0.68799999999999994</v>
      </c>
      <c r="AJ697">
        <v>1.9650000000000001</v>
      </c>
      <c r="AK697">
        <v>5.5510843369999998</v>
      </c>
      <c r="AL697">
        <v>4.7E-2</v>
      </c>
      <c r="AM697">
        <v>0.23300000000000001</v>
      </c>
      <c r="AN697">
        <v>0.72099999999999997</v>
      </c>
    </row>
    <row r="698" spans="1:40">
      <c r="A698">
        <v>2766</v>
      </c>
      <c r="B698" t="s">
        <v>686</v>
      </c>
      <c r="C698" t="s">
        <v>687</v>
      </c>
      <c r="D698" t="s">
        <v>688</v>
      </c>
      <c r="E698">
        <v>264</v>
      </c>
      <c r="F698">
        <v>659</v>
      </c>
      <c r="G698">
        <v>76.001146610000006</v>
      </c>
      <c r="H698">
        <v>2634</v>
      </c>
      <c r="I698">
        <v>0.11880286700000001</v>
      </c>
      <c r="J698">
        <v>3293</v>
      </c>
      <c r="K698">
        <v>27718.186300000001</v>
      </c>
      <c r="L698">
        <v>0.78900000000000003</v>
      </c>
      <c r="M698">
        <v>0.90890269199999996</v>
      </c>
      <c r="N698">
        <v>0</v>
      </c>
      <c r="O698" t="s">
        <v>613</v>
      </c>
      <c r="P698">
        <f t="shared" si="92"/>
        <v>14.779955259999999</v>
      </c>
      <c r="Q698">
        <f t="shared" si="93"/>
        <v>3.5000000000000003E-2</v>
      </c>
      <c r="R698">
        <f t="shared" si="94"/>
        <v>2.7E-2</v>
      </c>
      <c r="S698">
        <f t="shared" si="95"/>
        <v>0.78900000000000003</v>
      </c>
      <c r="T698">
        <f t="shared" si="96"/>
        <v>2.229285714</v>
      </c>
      <c r="U698">
        <f t="shared" si="97"/>
        <v>8.2629496759999999</v>
      </c>
      <c r="V698">
        <f t="shared" si="98"/>
        <v>6.4000000000000001E-2</v>
      </c>
      <c r="W698">
        <f t="shared" si="99"/>
        <v>0.108</v>
      </c>
      <c r="X698">
        <f t="shared" si="100"/>
        <v>0.76800000000000002</v>
      </c>
      <c r="Y698">
        <v>180.56459609999999</v>
      </c>
      <c r="Z698">
        <v>1</v>
      </c>
      <c r="AA698">
        <v>140316</v>
      </c>
      <c r="AB698">
        <v>49638</v>
      </c>
      <c r="AC698">
        <v>9.1283894000000004E-2</v>
      </c>
      <c r="AD698">
        <v>0.60339869999999995</v>
      </c>
      <c r="AF698">
        <v>14.779955259999999</v>
      </c>
      <c r="AG698">
        <v>3.5000000000000003E-2</v>
      </c>
      <c r="AH698">
        <v>2.7E-2</v>
      </c>
      <c r="AI698">
        <v>0.78900000000000003</v>
      </c>
      <c r="AJ698">
        <v>2.229285714</v>
      </c>
      <c r="AK698">
        <v>8.2629496759999999</v>
      </c>
      <c r="AL698">
        <v>6.4000000000000001E-2</v>
      </c>
      <c r="AM698">
        <v>0.108</v>
      </c>
      <c r="AN698">
        <v>0.76800000000000002</v>
      </c>
    </row>
    <row r="699" spans="1:40">
      <c r="A699">
        <v>2767</v>
      </c>
      <c r="B699" t="s">
        <v>686</v>
      </c>
      <c r="C699" t="s">
        <v>687</v>
      </c>
      <c r="D699" t="s">
        <v>688</v>
      </c>
      <c r="E699">
        <v>0</v>
      </c>
      <c r="F699">
        <v>148</v>
      </c>
      <c r="G699">
        <v>152.41273570000001</v>
      </c>
      <c r="H699">
        <v>398</v>
      </c>
      <c r="I699">
        <v>0.23825667</v>
      </c>
      <c r="J699">
        <v>546</v>
      </c>
      <c r="K699">
        <v>2291.6462320000001</v>
      </c>
      <c r="L699">
        <v>0.86299999999999999</v>
      </c>
      <c r="M699" s="515">
        <v>1</v>
      </c>
      <c r="N699">
        <v>0</v>
      </c>
      <c r="O699" t="s">
        <v>613</v>
      </c>
      <c r="P699">
        <f t="shared" si="92"/>
        <v>15.86818182</v>
      </c>
      <c r="Q699">
        <f t="shared" si="93"/>
        <v>5.1999999999999998E-2</v>
      </c>
      <c r="R699">
        <f t="shared" si="94"/>
        <v>2.1999999999999999E-2</v>
      </c>
      <c r="S699">
        <f t="shared" si="95"/>
        <v>0.86299999999999999</v>
      </c>
      <c r="T699">
        <f t="shared" si="96"/>
        <v>1.858333333</v>
      </c>
      <c r="U699">
        <f t="shared" si="97"/>
        <v>10.28609442</v>
      </c>
      <c r="V699">
        <f t="shared" si="98"/>
        <v>4.3999999999999997E-2</v>
      </c>
      <c r="W699">
        <f t="shared" si="99"/>
        <v>0.11</v>
      </c>
      <c r="X699">
        <f t="shared" si="100"/>
        <v>0.84599999999999997</v>
      </c>
      <c r="Y699">
        <v>180.4427704</v>
      </c>
      <c r="Z699">
        <v>1</v>
      </c>
      <c r="AA699">
        <v>140316</v>
      </c>
      <c r="AB699">
        <v>49638</v>
      </c>
      <c r="AC699">
        <v>9.1283894000000004E-2</v>
      </c>
      <c r="AD699">
        <v>0.60339869999999995</v>
      </c>
      <c r="AF699">
        <v>15.86818182</v>
      </c>
      <c r="AG699">
        <v>5.1999999999999998E-2</v>
      </c>
      <c r="AH699">
        <v>2.1999999999999999E-2</v>
      </c>
      <c r="AI699">
        <v>0.86299999999999999</v>
      </c>
      <c r="AJ699">
        <v>1.858333333</v>
      </c>
      <c r="AK699">
        <v>10.28609442</v>
      </c>
      <c r="AL699">
        <v>4.3999999999999997E-2</v>
      </c>
      <c r="AM699">
        <v>0.11</v>
      </c>
      <c r="AN699">
        <v>0.84599999999999997</v>
      </c>
    </row>
    <row r="700" spans="1:40">
      <c r="A700">
        <v>2768</v>
      </c>
      <c r="B700" t="s">
        <v>700</v>
      </c>
      <c r="C700" t="s">
        <v>687</v>
      </c>
      <c r="D700" t="s">
        <v>688</v>
      </c>
      <c r="E700">
        <v>338</v>
      </c>
      <c r="F700">
        <v>576</v>
      </c>
      <c r="G700">
        <v>65.024581479999995</v>
      </c>
      <c r="H700">
        <v>1925</v>
      </c>
      <c r="I700">
        <v>0.101648216</v>
      </c>
      <c r="J700">
        <v>2501</v>
      </c>
      <c r="K700">
        <v>24604.465270000001</v>
      </c>
      <c r="L700">
        <v>0.78500000000000003</v>
      </c>
      <c r="M700">
        <v>0.85064074199999995</v>
      </c>
      <c r="N700">
        <v>0</v>
      </c>
      <c r="O700" t="s">
        <v>613</v>
      </c>
      <c r="P700">
        <f t="shared" si="92"/>
        <v>14.702951390000001</v>
      </c>
      <c r="Q700">
        <f t="shared" si="93"/>
        <v>4.2999999999999997E-2</v>
      </c>
      <c r="R700">
        <f t="shared" si="94"/>
        <v>0.02</v>
      </c>
      <c r="S700">
        <f t="shared" si="95"/>
        <v>0.78500000000000003</v>
      </c>
      <c r="T700">
        <f t="shared" si="96"/>
        <v>2.710888889</v>
      </c>
      <c r="U700">
        <f t="shared" si="97"/>
        <v>7.7576988160000004</v>
      </c>
      <c r="V700">
        <f t="shared" si="98"/>
        <v>4.9000000000000002E-2</v>
      </c>
      <c r="W700">
        <f t="shared" si="99"/>
        <v>0.11700000000000001</v>
      </c>
      <c r="X700">
        <f t="shared" si="100"/>
        <v>0.78700000000000003</v>
      </c>
      <c r="Y700">
        <v>141.17898400000001</v>
      </c>
      <c r="Z700">
        <v>0</v>
      </c>
      <c r="AA700">
        <v>15503</v>
      </c>
      <c r="AB700">
        <v>7551</v>
      </c>
      <c r="AC700">
        <v>4.9459042000000002E-2</v>
      </c>
      <c r="AD700">
        <v>0.76960973700000002</v>
      </c>
      <c r="AF700">
        <v>14.702951390000001</v>
      </c>
      <c r="AG700">
        <v>4.2999999999999997E-2</v>
      </c>
      <c r="AH700">
        <v>0.02</v>
      </c>
      <c r="AI700">
        <v>0.78500000000000003</v>
      </c>
      <c r="AJ700">
        <v>2.710888889</v>
      </c>
      <c r="AK700">
        <v>7.7576988160000004</v>
      </c>
      <c r="AL700">
        <v>4.9000000000000002E-2</v>
      </c>
      <c r="AM700">
        <v>0.11700000000000001</v>
      </c>
      <c r="AN700">
        <v>0.78700000000000003</v>
      </c>
    </row>
    <row r="701" spans="1:40">
      <c r="A701">
        <v>2769</v>
      </c>
      <c r="B701" t="s">
        <v>686</v>
      </c>
      <c r="C701" t="s">
        <v>687</v>
      </c>
      <c r="D701" t="s">
        <v>688</v>
      </c>
      <c r="E701">
        <v>498</v>
      </c>
      <c r="F701">
        <v>1059</v>
      </c>
      <c r="G701">
        <v>10.35411525</v>
      </c>
      <c r="H701">
        <v>10</v>
      </c>
      <c r="I701">
        <v>1.6188536999999999E-2</v>
      </c>
      <c r="J701">
        <v>1069</v>
      </c>
      <c r="K701">
        <v>66034.379759999996</v>
      </c>
      <c r="L701">
        <v>0.41</v>
      </c>
      <c r="M701">
        <v>1.9685039000000001E-2</v>
      </c>
      <c r="N701">
        <v>1</v>
      </c>
      <c r="O701" t="s">
        <v>606</v>
      </c>
      <c r="P701">
        <f t="shared" si="92"/>
        <v>6.220166667</v>
      </c>
      <c r="Q701">
        <f t="shared" si="93"/>
        <v>0.15</v>
      </c>
      <c r="R701">
        <f t="shared" si="94"/>
        <v>6.2E-2</v>
      </c>
      <c r="S701">
        <f t="shared" si="95"/>
        <v>0.41</v>
      </c>
      <c r="T701">
        <f t="shared" si="96"/>
        <v>2.133846154</v>
      </c>
      <c r="U701">
        <f t="shared" si="97"/>
        <v>5.034294118</v>
      </c>
      <c r="V701">
        <f t="shared" si="98"/>
        <v>9.4E-2</v>
      </c>
      <c r="W701">
        <f t="shared" si="99"/>
        <v>0.252</v>
      </c>
      <c r="X701">
        <f t="shared" si="100"/>
        <v>0.47199999999999998</v>
      </c>
      <c r="Y701">
        <v>382.83453150000003</v>
      </c>
      <c r="Z701">
        <v>1</v>
      </c>
      <c r="AA701">
        <v>140316</v>
      </c>
      <c r="AB701">
        <v>49638</v>
      </c>
      <c r="AC701">
        <v>9.1283894000000004E-2</v>
      </c>
      <c r="AD701">
        <v>0.60339869999999995</v>
      </c>
      <c r="AF701">
        <v>6.220166667</v>
      </c>
      <c r="AG701">
        <v>0.15</v>
      </c>
      <c r="AH701">
        <v>6.2E-2</v>
      </c>
      <c r="AI701">
        <v>0.41</v>
      </c>
      <c r="AJ701">
        <v>2.133846154</v>
      </c>
      <c r="AK701">
        <v>5.034294118</v>
      </c>
      <c r="AL701">
        <v>9.4E-2</v>
      </c>
      <c r="AM701">
        <v>0.252</v>
      </c>
      <c r="AN701">
        <v>0.47199999999999998</v>
      </c>
    </row>
    <row r="702" spans="1:40">
      <c r="A702">
        <v>2770</v>
      </c>
      <c r="B702" t="s">
        <v>686</v>
      </c>
      <c r="C702" t="s">
        <v>687</v>
      </c>
      <c r="D702" t="s">
        <v>688</v>
      </c>
      <c r="E702">
        <v>233</v>
      </c>
      <c r="F702">
        <v>508</v>
      </c>
      <c r="G702">
        <v>10.5911027</v>
      </c>
      <c r="H702">
        <v>958</v>
      </c>
      <c r="I702">
        <v>1.6554533E-2</v>
      </c>
      <c r="J702">
        <v>1466</v>
      </c>
      <c r="K702">
        <v>88555.805229999998</v>
      </c>
      <c r="L702">
        <v>0.57199999999999995</v>
      </c>
      <c r="M702">
        <v>0.80436607900000001</v>
      </c>
      <c r="N702">
        <v>1</v>
      </c>
      <c r="O702" t="s">
        <v>606</v>
      </c>
      <c r="P702">
        <f t="shared" si="92"/>
        <v>14.81557971</v>
      </c>
      <c r="Q702">
        <f t="shared" si="93"/>
        <v>9.5000000000000001E-2</v>
      </c>
      <c r="R702">
        <f t="shared" si="94"/>
        <v>4.7E-2</v>
      </c>
      <c r="S702">
        <f t="shared" si="95"/>
        <v>0.57199999999999995</v>
      </c>
      <c r="T702">
        <f t="shared" si="96"/>
        <v>1.6327083330000001</v>
      </c>
      <c r="U702">
        <f t="shared" si="97"/>
        <v>8.5121874999999996</v>
      </c>
      <c r="V702">
        <f t="shared" si="98"/>
        <v>7.5999999999999998E-2</v>
      </c>
      <c r="W702">
        <f t="shared" si="99"/>
        <v>0.19</v>
      </c>
      <c r="X702">
        <f t="shared" si="100"/>
        <v>0.58199999999999996</v>
      </c>
      <c r="Y702">
        <v>201.2496558</v>
      </c>
      <c r="Z702">
        <v>1</v>
      </c>
      <c r="AA702">
        <v>140316</v>
      </c>
      <c r="AB702">
        <v>49638</v>
      </c>
      <c r="AC702">
        <v>9.1283894000000004E-2</v>
      </c>
      <c r="AD702">
        <v>0.60339869999999995</v>
      </c>
      <c r="AF702">
        <v>14.81557971</v>
      </c>
      <c r="AG702">
        <v>9.5000000000000001E-2</v>
      </c>
      <c r="AH702">
        <v>4.7E-2</v>
      </c>
      <c r="AI702">
        <v>0.57199999999999995</v>
      </c>
      <c r="AJ702">
        <v>1.6327083330000001</v>
      </c>
      <c r="AK702">
        <v>8.5121874999999996</v>
      </c>
      <c r="AL702">
        <v>7.5999999999999998E-2</v>
      </c>
      <c r="AM702">
        <v>0.19</v>
      </c>
      <c r="AN702">
        <v>0.58199999999999996</v>
      </c>
    </row>
    <row r="703" spans="1:40">
      <c r="A703">
        <v>2771</v>
      </c>
      <c r="B703" t="s">
        <v>686</v>
      </c>
      <c r="C703" t="s">
        <v>687</v>
      </c>
      <c r="D703" t="s">
        <v>688</v>
      </c>
      <c r="E703">
        <v>494</v>
      </c>
      <c r="F703">
        <v>1179</v>
      </c>
      <c r="G703">
        <v>9.2941121940000002</v>
      </c>
      <c r="H703">
        <v>152</v>
      </c>
      <c r="I703">
        <v>1.4528861000000001E-2</v>
      </c>
      <c r="J703">
        <v>1331</v>
      </c>
      <c r="K703">
        <v>91610.760129999995</v>
      </c>
      <c r="L703">
        <v>0.45200000000000001</v>
      </c>
      <c r="M703">
        <v>0.235294118</v>
      </c>
      <c r="N703">
        <v>1</v>
      </c>
      <c r="O703" t="s">
        <v>606</v>
      </c>
      <c r="P703">
        <f t="shared" si="92"/>
        <v>9.2090384620000005</v>
      </c>
      <c r="Q703">
        <f t="shared" si="93"/>
        <v>0.20300000000000001</v>
      </c>
      <c r="R703">
        <f t="shared" si="94"/>
        <v>3.4000000000000002E-2</v>
      </c>
      <c r="S703">
        <f t="shared" si="95"/>
        <v>0.45200000000000001</v>
      </c>
      <c r="T703">
        <f t="shared" si="96"/>
        <v>1.825</v>
      </c>
      <c r="U703">
        <f t="shared" si="97"/>
        <v>5.1223598819999996</v>
      </c>
      <c r="V703">
        <f t="shared" si="98"/>
        <v>9.2999999999999999E-2</v>
      </c>
      <c r="W703">
        <f t="shared" si="99"/>
        <v>0.33300000000000002</v>
      </c>
      <c r="X703">
        <f t="shared" si="100"/>
        <v>0.34699999999999998</v>
      </c>
      <c r="Y703">
        <v>201.0568165</v>
      </c>
      <c r="Z703">
        <v>1</v>
      </c>
      <c r="AA703">
        <v>140316</v>
      </c>
      <c r="AB703">
        <v>49638</v>
      </c>
      <c r="AC703">
        <v>9.1283894000000004E-2</v>
      </c>
      <c r="AD703">
        <v>0.60339869999999995</v>
      </c>
      <c r="AF703">
        <v>9.2090384620000005</v>
      </c>
      <c r="AG703">
        <v>0.20300000000000001</v>
      </c>
      <c r="AH703">
        <v>3.4000000000000002E-2</v>
      </c>
      <c r="AI703">
        <v>0.45200000000000001</v>
      </c>
      <c r="AJ703">
        <v>1.825</v>
      </c>
      <c r="AK703">
        <v>5.1223598819999996</v>
      </c>
      <c r="AL703">
        <v>9.2999999999999999E-2</v>
      </c>
      <c r="AM703">
        <v>0.33300000000000002</v>
      </c>
      <c r="AN703">
        <v>0.34699999999999998</v>
      </c>
    </row>
    <row r="704" spans="1:40">
      <c r="A704">
        <v>2772</v>
      </c>
      <c r="B704" t="s">
        <v>686</v>
      </c>
      <c r="C704" t="s">
        <v>687</v>
      </c>
      <c r="D704" t="s">
        <v>688</v>
      </c>
      <c r="E704">
        <v>322</v>
      </c>
      <c r="F704">
        <v>1914</v>
      </c>
      <c r="G704">
        <v>10.13729659</v>
      </c>
      <c r="H704">
        <v>224</v>
      </c>
      <c r="I704">
        <v>1.5844532000000001E-2</v>
      </c>
      <c r="J704">
        <v>2138</v>
      </c>
      <c r="K704">
        <v>134936.14069999999</v>
      </c>
      <c r="L704">
        <v>0.374</v>
      </c>
      <c r="M704">
        <v>0.41025641000000002</v>
      </c>
      <c r="N704">
        <v>1</v>
      </c>
      <c r="O704" t="s">
        <v>606</v>
      </c>
      <c r="P704">
        <f t="shared" si="92"/>
        <v>9.9152702700000006</v>
      </c>
      <c r="Q704">
        <f t="shared" si="93"/>
        <v>0.19600000000000001</v>
      </c>
      <c r="R704">
        <f t="shared" si="94"/>
        <v>5.2999999999999999E-2</v>
      </c>
      <c r="S704">
        <f t="shared" si="95"/>
        <v>0.374</v>
      </c>
      <c r="T704">
        <f t="shared" si="96"/>
        <v>1.524516129</v>
      </c>
      <c r="U704">
        <f t="shared" si="97"/>
        <v>4.9770960190000002</v>
      </c>
      <c r="V704">
        <f t="shared" si="98"/>
        <v>0.11700000000000001</v>
      </c>
      <c r="W704">
        <f t="shared" si="99"/>
        <v>0.34300000000000003</v>
      </c>
      <c r="X704">
        <f t="shared" si="100"/>
        <v>0.29799999999999999</v>
      </c>
      <c r="Y704">
        <v>43.443309579999998</v>
      </c>
      <c r="Z704">
        <v>1</v>
      </c>
      <c r="AA704">
        <v>140316</v>
      </c>
      <c r="AB704">
        <v>49638</v>
      </c>
      <c r="AC704">
        <v>9.1283894000000004E-2</v>
      </c>
      <c r="AD704">
        <v>0.60339869999999995</v>
      </c>
      <c r="AF704">
        <v>9.9152702700000006</v>
      </c>
      <c r="AG704">
        <v>0.19600000000000001</v>
      </c>
      <c r="AH704">
        <v>5.2999999999999999E-2</v>
      </c>
      <c r="AI704">
        <v>0.374</v>
      </c>
      <c r="AJ704">
        <v>1.524516129</v>
      </c>
      <c r="AK704">
        <v>4.9770960190000002</v>
      </c>
      <c r="AL704">
        <v>0.11700000000000001</v>
      </c>
      <c r="AM704">
        <v>0.34300000000000003</v>
      </c>
      <c r="AN704">
        <v>0.29799999999999999</v>
      </c>
    </row>
    <row r="705" spans="1:40">
      <c r="A705">
        <v>2773</v>
      </c>
      <c r="B705" t="s">
        <v>686</v>
      </c>
      <c r="C705" t="s">
        <v>687</v>
      </c>
      <c r="D705" t="s">
        <v>688</v>
      </c>
      <c r="E705">
        <v>221</v>
      </c>
      <c r="F705">
        <v>610</v>
      </c>
      <c r="G705">
        <v>20.913527259999999</v>
      </c>
      <c r="H705">
        <v>371</v>
      </c>
      <c r="I705">
        <v>3.2692495000000002E-2</v>
      </c>
      <c r="J705">
        <v>981</v>
      </c>
      <c r="K705">
        <v>30006.886900000001</v>
      </c>
      <c r="L705">
        <v>0.58299999999999996</v>
      </c>
      <c r="M705">
        <v>0.62668918900000004</v>
      </c>
      <c r="N705">
        <v>0</v>
      </c>
      <c r="O705" t="s">
        <v>606</v>
      </c>
      <c r="P705">
        <f t="shared" si="92"/>
        <v>10.45830189</v>
      </c>
      <c r="Q705">
        <f t="shared" si="93"/>
        <v>9.1999999999999998E-2</v>
      </c>
      <c r="R705">
        <f t="shared" si="94"/>
        <v>3.5000000000000003E-2</v>
      </c>
      <c r="S705">
        <f t="shared" si="95"/>
        <v>0.58299999999999996</v>
      </c>
      <c r="T705">
        <f t="shared" si="96"/>
        <v>1.4474285710000001</v>
      </c>
      <c r="U705">
        <f t="shared" si="97"/>
        <v>5.7169855600000004</v>
      </c>
      <c r="V705">
        <f t="shared" si="98"/>
        <v>0.13900000000000001</v>
      </c>
      <c r="W705">
        <f t="shared" si="99"/>
        <v>0.22600000000000001</v>
      </c>
      <c r="X705">
        <f t="shared" si="100"/>
        <v>0.46100000000000002</v>
      </c>
      <c r="Y705">
        <v>180.48087079999999</v>
      </c>
      <c r="Z705">
        <v>1</v>
      </c>
      <c r="AA705">
        <v>140316</v>
      </c>
      <c r="AB705">
        <v>49638</v>
      </c>
      <c r="AC705">
        <v>9.1283894000000004E-2</v>
      </c>
      <c r="AD705">
        <v>0.60339869999999995</v>
      </c>
      <c r="AF705">
        <v>10.45830189</v>
      </c>
      <c r="AG705">
        <v>9.1999999999999998E-2</v>
      </c>
      <c r="AH705">
        <v>3.5000000000000003E-2</v>
      </c>
      <c r="AI705">
        <v>0.58299999999999996</v>
      </c>
      <c r="AJ705">
        <v>1.4474285710000001</v>
      </c>
      <c r="AK705">
        <v>5.7169855600000004</v>
      </c>
      <c r="AL705">
        <v>0.13900000000000001</v>
      </c>
      <c r="AM705">
        <v>0.22600000000000001</v>
      </c>
      <c r="AN705">
        <v>0.46100000000000002</v>
      </c>
    </row>
    <row r="706" spans="1:40">
      <c r="A706">
        <v>2774</v>
      </c>
      <c r="B706" t="s">
        <v>686</v>
      </c>
      <c r="C706" t="s">
        <v>687</v>
      </c>
      <c r="D706" t="s">
        <v>688</v>
      </c>
      <c r="E706">
        <v>247</v>
      </c>
      <c r="F706">
        <v>574</v>
      </c>
      <c r="G706">
        <v>20.451761579999999</v>
      </c>
      <c r="H706">
        <v>195</v>
      </c>
      <c r="I706">
        <v>3.1970593999999998E-2</v>
      </c>
      <c r="J706">
        <v>769</v>
      </c>
      <c r="K706">
        <v>24053.35353</v>
      </c>
      <c r="L706">
        <v>0.65700000000000003</v>
      </c>
      <c r="M706">
        <v>0.44117647100000001</v>
      </c>
      <c r="N706">
        <v>1</v>
      </c>
      <c r="O706" t="s">
        <v>606</v>
      </c>
      <c r="P706">
        <f t="shared" si="92"/>
        <v>6.6420895519999998</v>
      </c>
      <c r="Q706">
        <f t="shared" si="93"/>
        <v>6.3E-2</v>
      </c>
      <c r="R706">
        <f t="shared" si="94"/>
        <v>4.7E-2</v>
      </c>
      <c r="S706">
        <f t="shared" si="95"/>
        <v>0.65700000000000003</v>
      </c>
      <c r="T706">
        <f t="shared" si="96"/>
        <v>1.7158620689999999</v>
      </c>
      <c r="U706">
        <f t="shared" si="97"/>
        <v>5.6850131929999996</v>
      </c>
      <c r="V706">
        <f t="shared" si="98"/>
        <v>6.8000000000000005E-2</v>
      </c>
      <c r="W706">
        <f t="shared" si="99"/>
        <v>0.22</v>
      </c>
      <c r="X706">
        <f t="shared" si="100"/>
        <v>0.50800000000000001</v>
      </c>
      <c r="Y706">
        <v>282.46320020000002</v>
      </c>
      <c r="Z706">
        <v>1</v>
      </c>
      <c r="AA706">
        <v>140316</v>
      </c>
      <c r="AB706">
        <v>49638</v>
      </c>
      <c r="AC706">
        <v>9.1283894000000004E-2</v>
      </c>
      <c r="AD706">
        <v>0.60339869999999995</v>
      </c>
      <c r="AF706">
        <v>6.6420895519999998</v>
      </c>
      <c r="AG706">
        <v>6.3E-2</v>
      </c>
      <c r="AH706">
        <v>4.7E-2</v>
      </c>
      <c r="AI706">
        <v>0.65700000000000003</v>
      </c>
      <c r="AJ706">
        <v>1.7158620689999999</v>
      </c>
      <c r="AK706">
        <v>5.6850131929999996</v>
      </c>
      <c r="AL706">
        <v>6.8000000000000005E-2</v>
      </c>
      <c r="AM706">
        <v>0.22</v>
      </c>
      <c r="AN706">
        <v>0.50800000000000001</v>
      </c>
    </row>
    <row r="707" spans="1:40">
      <c r="A707">
        <v>2775</v>
      </c>
      <c r="B707" t="s">
        <v>686</v>
      </c>
      <c r="C707" t="s">
        <v>687</v>
      </c>
      <c r="D707" t="s">
        <v>688</v>
      </c>
      <c r="E707">
        <v>65</v>
      </c>
      <c r="F707">
        <v>199</v>
      </c>
      <c r="G707">
        <v>6.2437390439999998</v>
      </c>
      <c r="H707">
        <v>74</v>
      </c>
      <c r="I707">
        <v>9.7612940000000002E-3</v>
      </c>
      <c r="J707">
        <v>273</v>
      </c>
      <c r="K707">
        <v>27967.603480000002</v>
      </c>
      <c r="L707">
        <v>0.71199999999999997</v>
      </c>
      <c r="M707">
        <v>0.53237410100000004</v>
      </c>
      <c r="N707">
        <v>1</v>
      </c>
      <c r="O707" t="s">
        <v>606</v>
      </c>
      <c r="P707">
        <f t="shared" si="92"/>
        <v>9.2654545450000008</v>
      </c>
      <c r="Q707">
        <f t="shared" si="93"/>
        <v>9.0999999999999998E-2</v>
      </c>
      <c r="R707">
        <f t="shared" si="94"/>
        <v>5.0999999999999997E-2</v>
      </c>
      <c r="S707">
        <f t="shared" si="95"/>
        <v>0.71199999999999997</v>
      </c>
      <c r="T707">
        <f t="shared" si="96"/>
        <v>1.863</v>
      </c>
      <c r="U707">
        <f t="shared" si="97"/>
        <v>6.2588888889999996</v>
      </c>
      <c r="V707">
        <f t="shared" si="98"/>
        <v>0.20699999999999999</v>
      </c>
      <c r="W707">
        <f t="shared" si="99"/>
        <v>0.27600000000000002</v>
      </c>
      <c r="X707">
        <f t="shared" si="100"/>
        <v>0.379</v>
      </c>
      <c r="Y707">
        <v>211.05252060000001</v>
      </c>
      <c r="Z707">
        <v>1</v>
      </c>
      <c r="AA707">
        <v>140316</v>
      </c>
      <c r="AB707">
        <v>49638</v>
      </c>
      <c r="AC707">
        <v>9.1283894000000004E-2</v>
      </c>
      <c r="AD707">
        <v>0.60339869999999995</v>
      </c>
      <c r="AF707">
        <v>9.2654545450000008</v>
      </c>
      <c r="AG707">
        <v>9.0999999999999998E-2</v>
      </c>
      <c r="AH707">
        <v>5.0999999999999997E-2</v>
      </c>
      <c r="AI707">
        <v>0.71199999999999997</v>
      </c>
      <c r="AJ707">
        <v>1.863</v>
      </c>
      <c r="AK707">
        <v>6.2588888889999996</v>
      </c>
      <c r="AL707">
        <v>0.20699999999999999</v>
      </c>
      <c r="AM707">
        <v>0.27600000000000002</v>
      </c>
      <c r="AN707">
        <v>0.379</v>
      </c>
    </row>
    <row r="708" spans="1:40">
      <c r="A708">
        <v>2776</v>
      </c>
      <c r="B708" t="s">
        <v>686</v>
      </c>
      <c r="C708" t="s">
        <v>687</v>
      </c>
      <c r="D708" t="s">
        <v>688</v>
      </c>
      <c r="E708">
        <v>145</v>
      </c>
      <c r="F708">
        <v>314</v>
      </c>
      <c r="G708">
        <v>10.138827060000001</v>
      </c>
      <c r="H708">
        <v>140</v>
      </c>
      <c r="I708">
        <v>1.5848429000000001E-2</v>
      </c>
      <c r="J708">
        <v>454</v>
      </c>
      <c r="K708">
        <v>28646.372459999999</v>
      </c>
      <c r="L708">
        <v>0.71899999999999997</v>
      </c>
      <c r="M708">
        <v>0.49122807000000002</v>
      </c>
      <c r="N708">
        <v>1</v>
      </c>
      <c r="O708" t="s">
        <v>606</v>
      </c>
      <c r="P708">
        <f t="shared" si="92"/>
        <v>11.974523810000001</v>
      </c>
      <c r="Q708">
        <f t="shared" si="93"/>
        <v>5.6000000000000001E-2</v>
      </c>
      <c r="R708">
        <f t="shared" si="94"/>
        <v>3.4000000000000002E-2</v>
      </c>
      <c r="S708">
        <f t="shared" si="95"/>
        <v>0.71899999999999997</v>
      </c>
      <c r="T708">
        <f t="shared" si="96"/>
        <v>1.68625</v>
      </c>
      <c r="U708">
        <f t="shared" si="97"/>
        <v>6.3012539179999996</v>
      </c>
      <c r="V708">
        <f t="shared" si="98"/>
        <v>8.5999999999999993E-2</v>
      </c>
      <c r="W708">
        <f t="shared" si="99"/>
        <v>0.17100000000000001</v>
      </c>
      <c r="X708">
        <f t="shared" si="100"/>
        <v>0.6</v>
      </c>
      <c r="Y708">
        <v>211.28246920000001</v>
      </c>
      <c r="Z708">
        <v>1</v>
      </c>
      <c r="AA708">
        <v>140316</v>
      </c>
      <c r="AB708">
        <v>49638</v>
      </c>
      <c r="AC708">
        <v>9.1283894000000004E-2</v>
      </c>
      <c r="AD708">
        <v>0.60339869999999995</v>
      </c>
      <c r="AF708">
        <v>11.974523810000001</v>
      </c>
      <c r="AG708">
        <v>5.6000000000000001E-2</v>
      </c>
      <c r="AH708">
        <v>3.4000000000000002E-2</v>
      </c>
      <c r="AI708">
        <v>0.71899999999999997</v>
      </c>
      <c r="AJ708">
        <v>1.68625</v>
      </c>
      <c r="AK708">
        <v>6.3012539179999996</v>
      </c>
      <c r="AL708">
        <v>8.5999999999999993E-2</v>
      </c>
      <c r="AM708">
        <v>0.17100000000000001</v>
      </c>
      <c r="AN708">
        <v>0.6</v>
      </c>
    </row>
    <row r="709" spans="1:40">
      <c r="A709">
        <v>2777</v>
      </c>
      <c r="B709" t="s">
        <v>686</v>
      </c>
      <c r="C709" t="s">
        <v>687</v>
      </c>
      <c r="D709" t="s">
        <v>688</v>
      </c>
      <c r="E709">
        <v>167</v>
      </c>
      <c r="F709">
        <v>353</v>
      </c>
      <c r="G709">
        <v>10.46460748</v>
      </c>
      <c r="H709">
        <v>109</v>
      </c>
      <c r="I709">
        <v>1.6358061E-2</v>
      </c>
      <c r="J709">
        <v>462</v>
      </c>
      <c r="K709">
        <v>28242.956180000001</v>
      </c>
      <c r="L709">
        <v>0.69799999999999995</v>
      </c>
      <c r="M709">
        <v>0.39492753600000002</v>
      </c>
      <c r="N709">
        <v>1</v>
      </c>
      <c r="O709" t="s">
        <v>606</v>
      </c>
      <c r="P709">
        <f t="shared" si="92"/>
        <v>11.723225810000001</v>
      </c>
      <c r="Q709">
        <f t="shared" si="93"/>
        <v>0.104</v>
      </c>
      <c r="R709">
        <f t="shared" si="94"/>
        <v>4.0659259259259235E-2</v>
      </c>
      <c r="S709">
        <f t="shared" si="95"/>
        <v>0.69799999999999995</v>
      </c>
      <c r="T709">
        <f t="shared" si="96"/>
        <v>1.9264575557555557</v>
      </c>
      <c r="U709">
        <f t="shared" si="97"/>
        <v>5.4313242009999998</v>
      </c>
      <c r="V709">
        <f t="shared" si="98"/>
        <v>8.2500000000000018E-2</v>
      </c>
      <c r="W709">
        <f t="shared" si="99"/>
        <v>0.27500000000000002</v>
      </c>
      <c r="X709">
        <f t="shared" si="100"/>
        <v>0.60799999999999998</v>
      </c>
      <c r="Y709">
        <v>211.04638990000001</v>
      </c>
      <c r="Z709">
        <v>1</v>
      </c>
      <c r="AA709">
        <v>140316</v>
      </c>
      <c r="AB709">
        <v>49638</v>
      </c>
      <c r="AC709">
        <v>9.1283894000000004E-2</v>
      </c>
      <c r="AD709">
        <v>0.60339869999999995</v>
      </c>
      <c r="AF709">
        <v>11.723225810000001</v>
      </c>
      <c r="AG709">
        <v>0.104</v>
      </c>
      <c r="AH709">
        <v>0</v>
      </c>
      <c r="AI709">
        <v>0.69799999999999995</v>
      </c>
      <c r="AK709">
        <v>5.4313242009999998</v>
      </c>
      <c r="AL709">
        <v>0</v>
      </c>
      <c r="AM709">
        <v>0.27500000000000002</v>
      </c>
      <c r="AN709">
        <v>0.60799999999999998</v>
      </c>
    </row>
    <row r="710" spans="1:40">
      <c r="A710">
        <v>2778</v>
      </c>
      <c r="B710" t="s">
        <v>686</v>
      </c>
      <c r="C710" t="s">
        <v>687</v>
      </c>
      <c r="D710" t="s">
        <v>688</v>
      </c>
      <c r="E710">
        <v>221</v>
      </c>
      <c r="F710">
        <v>515</v>
      </c>
      <c r="G710">
        <v>22.61179915</v>
      </c>
      <c r="H710">
        <v>106</v>
      </c>
      <c r="I710">
        <v>3.5345660000000001E-2</v>
      </c>
      <c r="J710">
        <v>621</v>
      </c>
      <c r="K710">
        <v>17569.34232</v>
      </c>
      <c r="L710">
        <v>0.72799999999999998</v>
      </c>
      <c r="M710">
        <v>0.32415902099999999</v>
      </c>
      <c r="N710">
        <v>1</v>
      </c>
      <c r="O710" t="s">
        <v>606</v>
      </c>
      <c r="P710">
        <f t="shared" si="92"/>
        <v>5.5926666669999996</v>
      </c>
      <c r="Q710">
        <f t="shared" si="93"/>
        <v>7.4999999999999997E-2</v>
      </c>
      <c r="R710">
        <f t="shared" si="94"/>
        <v>2.7E-2</v>
      </c>
      <c r="S710">
        <f t="shared" si="95"/>
        <v>0.72799999999999998</v>
      </c>
      <c r="T710">
        <f t="shared" si="96"/>
        <v>1.8616666669999999</v>
      </c>
      <c r="U710">
        <f t="shared" si="97"/>
        <v>4.5049514559999997</v>
      </c>
      <c r="V710">
        <f t="shared" si="98"/>
        <v>4.2000000000000003E-2</v>
      </c>
      <c r="W710">
        <f t="shared" si="99"/>
        <v>0.19400000000000001</v>
      </c>
      <c r="X710">
        <f t="shared" si="100"/>
        <v>0.625</v>
      </c>
      <c r="Y710">
        <v>202.65532970000001</v>
      </c>
      <c r="Z710">
        <v>1</v>
      </c>
      <c r="AA710">
        <v>140316</v>
      </c>
      <c r="AB710">
        <v>49638</v>
      </c>
      <c r="AC710">
        <v>9.1283894000000004E-2</v>
      </c>
      <c r="AD710">
        <v>0.60339869999999995</v>
      </c>
      <c r="AF710">
        <v>5.5926666669999996</v>
      </c>
      <c r="AG710">
        <v>7.4999999999999997E-2</v>
      </c>
      <c r="AH710">
        <v>2.7E-2</v>
      </c>
      <c r="AI710">
        <v>0.72799999999999998</v>
      </c>
      <c r="AJ710">
        <v>1.8616666669999999</v>
      </c>
      <c r="AK710">
        <v>4.5049514559999997</v>
      </c>
      <c r="AL710">
        <v>4.2000000000000003E-2</v>
      </c>
      <c r="AM710">
        <v>0.19400000000000001</v>
      </c>
      <c r="AN710">
        <v>0.625</v>
      </c>
    </row>
    <row r="711" spans="1:40">
      <c r="A711">
        <v>2779</v>
      </c>
      <c r="B711" t="s">
        <v>686</v>
      </c>
      <c r="C711" t="s">
        <v>687</v>
      </c>
      <c r="D711" t="s">
        <v>688</v>
      </c>
      <c r="E711">
        <v>108</v>
      </c>
      <c r="F711">
        <v>297</v>
      </c>
      <c r="G711">
        <v>13.781618720000001</v>
      </c>
      <c r="H711">
        <v>52</v>
      </c>
      <c r="I711">
        <v>2.1541134999999999E-2</v>
      </c>
      <c r="J711">
        <v>349</v>
      </c>
      <c r="K711">
        <v>16201.56041</v>
      </c>
      <c r="L711">
        <v>0.70599999999999996</v>
      </c>
      <c r="M711">
        <v>0.32500000000000001</v>
      </c>
      <c r="N711">
        <v>1</v>
      </c>
      <c r="O711" t="s">
        <v>606</v>
      </c>
      <c r="P711">
        <f t="shared" si="92"/>
        <v>5.34</v>
      </c>
      <c r="Q711">
        <f t="shared" si="93"/>
        <v>0.122</v>
      </c>
      <c r="R711">
        <f t="shared" si="94"/>
        <v>3.3000000000000002E-2</v>
      </c>
      <c r="S711">
        <f t="shared" si="95"/>
        <v>0.70599999999999996</v>
      </c>
      <c r="T711">
        <f t="shared" si="96"/>
        <v>1.586666667</v>
      </c>
      <c r="U711">
        <f t="shared" si="97"/>
        <v>4.2916535429999998</v>
      </c>
      <c r="V711">
        <f t="shared" si="98"/>
        <v>8.3000000000000004E-2</v>
      </c>
      <c r="W711">
        <f t="shared" si="99"/>
        <v>0.16700000000000001</v>
      </c>
      <c r="X711">
        <f t="shared" si="100"/>
        <v>0.66700000000000004</v>
      </c>
      <c r="Y711">
        <v>172.86419710000001</v>
      </c>
      <c r="Z711">
        <v>1</v>
      </c>
      <c r="AA711">
        <v>140316</v>
      </c>
      <c r="AB711">
        <v>49638</v>
      </c>
      <c r="AC711">
        <v>9.1283894000000004E-2</v>
      </c>
      <c r="AD711">
        <v>0.60339869999999995</v>
      </c>
      <c r="AF711">
        <v>5.34</v>
      </c>
      <c r="AG711">
        <v>0.122</v>
      </c>
      <c r="AH711">
        <v>3.3000000000000002E-2</v>
      </c>
      <c r="AI711">
        <v>0.70599999999999996</v>
      </c>
      <c r="AJ711">
        <v>1.586666667</v>
      </c>
      <c r="AK711">
        <v>4.2916535429999998</v>
      </c>
      <c r="AL711">
        <v>8.3000000000000004E-2</v>
      </c>
      <c r="AM711">
        <v>0.16700000000000001</v>
      </c>
      <c r="AN711">
        <v>0.66700000000000004</v>
      </c>
    </row>
    <row r="712" spans="1:40">
      <c r="A712">
        <v>2780</v>
      </c>
      <c r="B712" t="s">
        <v>686</v>
      </c>
      <c r="C712" t="s">
        <v>687</v>
      </c>
      <c r="D712" t="s">
        <v>688</v>
      </c>
      <c r="E712">
        <v>224</v>
      </c>
      <c r="F712">
        <v>497</v>
      </c>
      <c r="G712">
        <v>16.203333109999999</v>
      </c>
      <c r="H712">
        <v>44</v>
      </c>
      <c r="I712">
        <v>2.5328954000000001E-2</v>
      </c>
      <c r="J712">
        <v>541</v>
      </c>
      <c r="K712">
        <v>21358.955450000001</v>
      </c>
      <c r="L712">
        <v>0.58199999999999996</v>
      </c>
      <c r="M712">
        <v>0.16417910399999999</v>
      </c>
      <c r="N712">
        <v>1</v>
      </c>
      <c r="O712" t="s">
        <v>606</v>
      </c>
      <c r="P712">
        <f t="shared" si="92"/>
        <v>7.278333333</v>
      </c>
      <c r="Q712">
        <f t="shared" si="93"/>
        <v>0.104</v>
      </c>
      <c r="R712">
        <f t="shared" si="94"/>
        <v>7.4999999999999997E-2</v>
      </c>
      <c r="S712">
        <f t="shared" si="95"/>
        <v>0.58199999999999996</v>
      </c>
      <c r="T712">
        <f t="shared" si="96"/>
        <v>1.630416667</v>
      </c>
      <c r="U712">
        <f t="shared" si="97"/>
        <v>5.7281005589999996</v>
      </c>
      <c r="V712">
        <f t="shared" si="98"/>
        <v>0.22500000000000001</v>
      </c>
      <c r="W712">
        <f t="shared" si="99"/>
        <v>0.19700000000000001</v>
      </c>
      <c r="X712">
        <f t="shared" si="100"/>
        <v>0.42299999999999999</v>
      </c>
      <c r="Y712">
        <v>216.8718643</v>
      </c>
      <c r="Z712">
        <v>1</v>
      </c>
      <c r="AA712">
        <v>140316</v>
      </c>
      <c r="AB712">
        <v>49638</v>
      </c>
      <c r="AC712">
        <v>9.1283894000000004E-2</v>
      </c>
      <c r="AD712">
        <v>0.60339869999999995</v>
      </c>
      <c r="AF712">
        <v>7.278333333</v>
      </c>
      <c r="AG712">
        <v>0.104</v>
      </c>
      <c r="AH712">
        <v>7.4999999999999997E-2</v>
      </c>
      <c r="AI712">
        <v>0.58199999999999996</v>
      </c>
      <c r="AJ712">
        <v>1.630416667</v>
      </c>
      <c r="AK712">
        <v>5.7281005589999996</v>
      </c>
      <c r="AL712">
        <v>0.22500000000000001</v>
      </c>
      <c r="AM712">
        <v>0.19700000000000001</v>
      </c>
      <c r="AN712">
        <v>0.42299999999999999</v>
      </c>
    </row>
    <row r="713" spans="1:40">
      <c r="A713">
        <v>2781</v>
      </c>
      <c r="B713" t="s">
        <v>686</v>
      </c>
      <c r="C713" t="s">
        <v>687</v>
      </c>
      <c r="D713" t="s">
        <v>688</v>
      </c>
      <c r="E713">
        <v>106</v>
      </c>
      <c r="F713">
        <v>276</v>
      </c>
      <c r="G713">
        <v>12.0747731</v>
      </c>
      <c r="H713">
        <v>109</v>
      </c>
      <c r="I713">
        <v>1.8876255000000002E-2</v>
      </c>
      <c r="J713">
        <v>385</v>
      </c>
      <c r="K713">
        <v>20395.994859999999</v>
      </c>
      <c r="L713">
        <v>0.65800000000000003</v>
      </c>
      <c r="M713">
        <v>0.50697674400000003</v>
      </c>
      <c r="N713">
        <v>1</v>
      </c>
      <c r="O713" t="s">
        <v>613</v>
      </c>
      <c r="P713">
        <f t="shared" si="92"/>
        <v>10.94618182</v>
      </c>
      <c r="Q713">
        <f t="shared" si="93"/>
        <v>0.13300000000000001</v>
      </c>
      <c r="R713">
        <f t="shared" si="94"/>
        <v>1.4999999999999999E-2</v>
      </c>
      <c r="S713">
        <f t="shared" si="95"/>
        <v>0.65800000000000003</v>
      </c>
      <c r="T713">
        <f t="shared" si="96"/>
        <v>2.57</v>
      </c>
      <c r="U713">
        <f t="shared" si="97"/>
        <v>6.5883464570000001</v>
      </c>
      <c r="V713">
        <f t="shared" si="98"/>
        <v>4.2000000000000003E-2</v>
      </c>
      <c r="W713">
        <f t="shared" si="99"/>
        <v>0.26300000000000001</v>
      </c>
      <c r="X713">
        <f t="shared" si="100"/>
        <v>0.57899999999999996</v>
      </c>
      <c r="Y713">
        <v>239.14498309999999</v>
      </c>
      <c r="Z713">
        <v>1</v>
      </c>
      <c r="AA713">
        <v>140316</v>
      </c>
      <c r="AB713">
        <v>49638</v>
      </c>
      <c r="AC713">
        <v>9.1283894000000004E-2</v>
      </c>
      <c r="AD713">
        <v>0.60339869999999995</v>
      </c>
      <c r="AF713">
        <v>10.94618182</v>
      </c>
      <c r="AG713">
        <v>0.13300000000000001</v>
      </c>
      <c r="AH713">
        <v>1.4999999999999999E-2</v>
      </c>
      <c r="AI713">
        <v>0.65800000000000003</v>
      </c>
      <c r="AJ713">
        <v>2.57</v>
      </c>
      <c r="AK713">
        <v>6.5883464570000001</v>
      </c>
      <c r="AL713">
        <v>4.2000000000000003E-2</v>
      </c>
      <c r="AM713">
        <v>0.26300000000000001</v>
      </c>
      <c r="AN713">
        <v>0.57899999999999996</v>
      </c>
    </row>
    <row r="714" spans="1:40">
      <c r="A714">
        <v>2782</v>
      </c>
      <c r="B714" t="s">
        <v>686</v>
      </c>
      <c r="C714" t="s">
        <v>687</v>
      </c>
      <c r="D714" t="s">
        <v>688</v>
      </c>
      <c r="E714">
        <v>59</v>
      </c>
      <c r="F714">
        <v>244</v>
      </c>
      <c r="G714">
        <v>8.8084219079999997</v>
      </c>
      <c r="H714">
        <v>160</v>
      </c>
      <c r="I714">
        <v>1.3772292E-2</v>
      </c>
      <c r="J714">
        <v>404</v>
      </c>
      <c r="K714">
        <v>29334.260409999999</v>
      </c>
      <c r="L714">
        <v>0.72</v>
      </c>
      <c r="M714">
        <v>0.73059360699999998</v>
      </c>
      <c r="N714">
        <v>1</v>
      </c>
      <c r="O714" t="s">
        <v>613</v>
      </c>
      <c r="P714">
        <f t="shared" si="92"/>
        <v>11.23705882</v>
      </c>
      <c r="Q714">
        <f t="shared" si="93"/>
        <v>9.6000000000000002E-2</v>
      </c>
      <c r="R714">
        <f t="shared" si="94"/>
        <v>1.9E-2</v>
      </c>
      <c r="S714">
        <f t="shared" si="95"/>
        <v>0.72</v>
      </c>
      <c r="T714">
        <f t="shared" si="96"/>
        <v>2.6433333330000002</v>
      </c>
      <c r="U714">
        <f t="shared" si="97"/>
        <v>5.0977184470000001</v>
      </c>
      <c r="V714">
        <f t="shared" si="98"/>
        <v>0.125</v>
      </c>
      <c r="W714">
        <f t="shared" si="99"/>
        <v>0.188</v>
      </c>
      <c r="X714">
        <f t="shared" si="100"/>
        <v>0.53100000000000003</v>
      </c>
      <c r="Y714">
        <v>229.80626319999999</v>
      </c>
      <c r="Z714">
        <v>1</v>
      </c>
      <c r="AA714">
        <v>140316</v>
      </c>
      <c r="AB714">
        <v>49638</v>
      </c>
      <c r="AC714">
        <v>9.1283894000000004E-2</v>
      </c>
      <c r="AD714">
        <v>0.60339869999999995</v>
      </c>
      <c r="AF714">
        <v>11.23705882</v>
      </c>
      <c r="AG714">
        <v>9.6000000000000002E-2</v>
      </c>
      <c r="AH714">
        <v>1.9E-2</v>
      </c>
      <c r="AI714">
        <v>0.72</v>
      </c>
      <c r="AJ714">
        <v>2.6433333330000002</v>
      </c>
      <c r="AK714">
        <v>5.0977184470000001</v>
      </c>
      <c r="AL714">
        <v>0.125</v>
      </c>
      <c r="AM714">
        <v>0.188</v>
      </c>
      <c r="AN714">
        <v>0.53100000000000003</v>
      </c>
    </row>
    <row r="715" spans="1:40">
      <c r="A715">
        <v>2783</v>
      </c>
      <c r="B715" t="s">
        <v>689</v>
      </c>
      <c r="C715" t="s">
        <v>687</v>
      </c>
      <c r="D715" t="s">
        <v>688</v>
      </c>
      <c r="E715">
        <v>84</v>
      </c>
      <c r="F715">
        <v>214</v>
      </c>
      <c r="G715">
        <v>18.8480384</v>
      </c>
      <c r="H715">
        <v>311</v>
      </c>
      <c r="I715">
        <v>2.9460996E-2</v>
      </c>
      <c r="J715">
        <v>525</v>
      </c>
      <c r="K715">
        <v>17820.171460000001</v>
      </c>
      <c r="L715">
        <v>0.78700000000000003</v>
      </c>
      <c r="M715">
        <v>0.787341772</v>
      </c>
      <c r="N715">
        <v>0</v>
      </c>
      <c r="O715" t="s">
        <v>613</v>
      </c>
      <c r="P715">
        <f t="shared" si="92"/>
        <v>10.368703699999999</v>
      </c>
      <c r="Q715">
        <f t="shared" si="93"/>
        <v>1.7000000000000001E-2</v>
      </c>
      <c r="R715">
        <f t="shared" si="94"/>
        <v>5.5E-2</v>
      </c>
      <c r="S715">
        <f t="shared" si="95"/>
        <v>0.78700000000000003</v>
      </c>
      <c r="T715">
        <f t="shared" si="96"/>
        <v>2.1455000000000002</v>
      </c>
      <c r="U715">
        <f t="shared" si="97"/>
        <v>6.3163898920000001</v>
      </c>
      <c r="V715">
        <f t="shared" si="98"/>
        <v>0.14299999999999999</v>
      </c>
      <c r="W715">
        <f t="shared" si="99"/>
        <v>4.2999999999999997E-2</v>
      </c>
      <c r="X715">
        <f t="shared" si="100"/>
        <v>0.77100000000000002</v>
      </c>
      <c r="Y715">
        <v>225.0740792</v>
      </c>
      <c r="Z715">
        <v>0</v>
      </c>
      <c r="AA715">
        <v>454184</v>
      </c>
      <c r="AB715">
        <v>170596</v>
      </c>
      <c r="AC715">
        <v>6.5715274000000004E-2</v>
      </c>
      <c r="AD715">
        <v>0.72549415100000003</v>
      </c>
      <c r="AF715">
        <v>10.368703699999999</v>
      </c>
      <c r="AG715">
        <v>1.7000000000000001E-2</v>
      </c>
      <c r="AH715">
        <v>5.5E-2</v>
      </c>
      <c r="AI715">
        <v>0.78700000000000003</v>
      </c>
      <c r="AJ715">
        <v>2.1455000000000002</v>
      </c>
      <c r="AK715">
        <v>6.3163898920000001</v>
      </c>
      <c r="AL715">
        <v>0.14299999999999999</v>
      </c>
      <c r="AM715">
        <v>4.2999999999999997E-2</v>
      </c>
      <c r="AN715">
        <v>0.77100000000000002</v>
      </c>
    </row>
    <row r="716" spans="1:40">
      <c r="A716">
        <v>2784</v>
      </c>
      <c r="B716" t="s">
        <v>689</v>
      </c>
      <c r="C716" t="s">
        <v>687</v>
      </c>
      <c r="D716" t="s">
        <v>688</v>
      </c>
      <c r="E716">
        <v>73</v>
      </c>
      <c r="F716">
        <v>183</v>
      </c>
      <c r="G716">
        <v>9.7851906280000005</v>
      </c>
      <c r="H716">
        <v>55</v>
      </c>
      <c r="I716">
        <v>1.5295873E-2</v>
      </c>
      <c r="J716">
        <v>238</v>
      </c>
      <c r="K716">
        <v>15559.752619999999</v>
      </c>
      <c r="L716">
        <v>0.73899999999999999</v>
      </c>
      <c r="M716">
        <v>0.4296875</v>
      </c>
      <c r="N716">
        <v>0</v>
      </c>
      <c r="O716" t="s">
        <v>613</v>
      </c>
      <c r="P716">
        <f t="shared" ref="P716:P779" si="101">IF(OR(IFERROR(AF716=0,TRUE),ISERROR(AF716)),AVERAGEIFS(AF:AF,$B:$B,$B716,AF:AF,"&gt;0"),AF716)</f>
        <v>3.9352</v>
      </c>
      <c r="Q716">
        <f t="shared" ref="Q716:Q779" si="102">IF(OR(IFERROR(AG716=0,TRUE),ISERROR(AG716)),AVERAGEIFS(AG:AG,$B:$B,$B716,AG:AG,"&gt;0"),AG716)</f>
        <v>4.4999999999999998E-2</v>
      </c>
      <c r="R716">
        <f t="shared" ref="R716:R779" si="103">IF(OR(IFERROR(AH716=0,TRUE),ISERROR(AH716)),AVERAGEIFS(AH:AH,$B:$B,$B716,AH:AH,"&gt;0"),AH716)</f>
        <v>6.8000000000000005E-2</v>
      </c>
      <c r="S716">
        <f t="shared" ref="S716:S779" si="104">IF(OR(IFERROR(AI716=0,TRUE),ISERROR(AI716)),AVERAGEIFS(AI:AI,$B:$B,$B716,AI:AI,"&gt;0"),AI716)</f>
        <v>0.73899999999999999</v>
      </c>
      <c r="T716">
        <f t="shared" ref="T716:T779" si="105">IF(OR(IFERROR(AJ716=0,TRUE),ISERROR(AJ716)),AVERAGEIFS(AJ:AJ,$B:$B,$B716,AJ:AJ,"&gt;0"),AJ716)</f>
        <v>1.850833333</v>
      </c>
      <c r="U716">
        <f t="shared" ref="U716:U779" si="106">IF(OR(IFERROR(AK716=0,TRUE),ISERROR(AK716)),AVERAGEIFS(AK:AK,$B:$B,$B716,AK:AK,"&gt;0"),AK716)</f>
        <v>4.3169047620000001</v>
      </c>
      <c r="V716">
        <f t="shared" ref="V716:V779" si="107">IF(OR(IFERROR(AL716=0,TRUE),ISERROR(AL716)),AVERAGEIFS(AL:AL,$B:$B,$B716,AL:AL,"&gt;0"),AL716)</f>
        <v>3.1E-2</v>
      </c>
      <c r="W716">
        <f t="shared" ref="W716:W779" si="108">IF(OR(IFERROR(AM716=0,TRUE),ISERROR(AM716)),AVERAGEIFS(AM:AM,$B:$B,$B716,AM:AM,"&gt;0"),AM716)</f>
        <v>0.125</v>
      </c>
      <c r="X716">
        <f t="shared" ref="X716:X779" si="109">IF(OR(IFERROR(AN716=0,TRUE),ISERROR(AN716)),AVERAGEIFS(AN:AN,$B:$B,$B716,AN:AN,"&gt;0"),AN716)</f>
        <v>0.78100000000000003</v>
      </c>
      <c r="Y716">
        <v>185.78514860000001</v>
      </c>
      <c r="Z716">
        <v>0</v>
      </c>
      <c r="AA716">
        <v>454184</v>
      </c>
      <c r="AB716">
        <v>170596</v>
      </c>
      <c r="AC716">
        <v>6.5715274000000004E-2</v>
      </c>
      <c r="AD716">
        <v>0.72549415100000003</v>
      </c>
      <c r="AF716">
        <v>3.9352</v>
      </c>
      <c r="AG716">
        <v>4.4999999999999998E-2</v>
      </c>
      <c r="AH716">
        <v>6.8000000000000005E-2</v>
      </c>
      <c r="AI716">
        <v>0.73899999999999999</v>
      </c>
      <c r="AJ716">
        <v>1.850833333</v>
      </c>
      <c r="AK716">
        <v>4.3169047620000001</v>
      </c>
      <c r="AL716">
        <v>3.1E-2</v>
      </c>
      <c r="AM716">
        <v>0.125</v>
      </c>
      <c r="AN716">
        <v>0.78100000000000003</v>
      </c>
    </row>
    <row r="717" spans="1:40">
      <c r="A717">
        <v>2785</v>
      </c>
      <c r="B717" t="s">
        <v>689</v>
      </c>
      <c r="C717" t="s">
        <v>687</v>
      </c>
      <c r="D717" t="s">
        <v>688</v>
      </c>
      <c r="E717">
        <v>95</v>
      </c>
      <c r="F717">
        <v>240</v>
      </c>
      <c r="G717">
        <v>15.837608579999999</v>
      </c>
      <c r="H717">
        <v>442</v>
      </c>
      <c r="I717">
        <v>2.4762358000000002E-2</v>
      </c>
      <c r="J717">
        <v>682</v>
      </c>
      <c r="K717">
        <v>27541.80357</v>
      </c>
      <c r="L717">
        <v>0.78400000000000003</v>
      </c>
      <c r="M717">
        <v>0.823091248</v>
      </c>
      <c r="N717">
        <v>0</v>
      </c>
      <c r="O717" t="s">
        <v>613</v>
      </c>
      <c r="P717">
        <f t="shared" si="101"/>
        <v>8.970434783</v>
      </c>
      <c r="Q717">
        <f t="shared" si="102"/>
        <v>6.9000000000000006E-2</v>
      </c>
      <c r="R717">
        <f t="shared" si="103"/>
        <v>1.9E-2</v>
      </c>
      <c r="S717">
        <f t="shared" si="104"/>
        <v>0.78400000000000003</v>
      </c>
      <c r="T717">
        <f t="shared" si="105"/>
        <v>2.1633333330000002</v>
      </c>
      <c r="U717">
        <f t="shared" si="106"/>
        <v>7.3150104819999999</v>
      </c>
      <c r="V717">
        <f t="shared" si="107"/>
        <v>3.9E-2</v>
      </c>
      <c r="W717">
        <f t="shared" si="108"/>
        <v>0.18</v>
      </c>
      <c r="X717">
        <f t="shared" si="109"/>
        <v>0.71899999999999997</v>
      </c>
      <c r="Y717">
        <v>161.2296877</v>
      </c>
      <c r="Z717">
        <v>0</v>
      </c>
      <c r="AA717">
        <v>454184</v>
      </c>
      <c r="AB717">
        <v>170596</v>
      </c>
      <c r="AC717">
        <v>6.5715274000000004E-2</v>
      </c>
      <c r="AD717">
        <v>0.72549415100000003</v>
      </c>
      <c r="AF717">
        <v>8.970434783</v>
      </c>
      <c r="AG717">
        <v>6.9000000000000006E-2</v>
      </c>
      <c r="AH717">
        <v>1.9E-2</v>
      </c>
      <c r="AI717">
        <v>0.78400000000000003</v>
      </c>
      <c r="AJ717">
        <v>2.1633333330000002</v>
      </c>
      <c r="AK717">
        <v>7.3150104819999999</v>
      </c>
      <c r="AL717">
        <v>3.9E-2</v>
      </c>
      <c r="AM717">
        <v>0.18</v>
      </c>
      <c r="AN717">
        <v>0.71899999999999997</v>
      </c>
    </row>
    <row r="718" spans="1:40">
      <c r="A718">
        <v>2786</v>
      </c>
      <c r="B718" t="s">
        <v>689</v>
      </c>
      <c r="C718" t="s">
        <v>687</v>
      </c>
      <c r="D718" t="s">
        <v>688</v>
      </c>
      <c r="E718">
        <v>281</v>
      </c>
      <c r="F718">
        <v>623</v>
      </c>
      <c r="G718">
        <v>33.103291939999998</v>
      </c>
      <c r="H718">
        <v>1372</v>
      </c>
      <c r="I718">
        <v>5.1741718999999999E-2</v>
      </c>
      <c r="J718">
        <v>1995</v>
      </c>
      <c r="K718">
        <v>38556.894489999999</v>
      </c>
      <c r="L718">
        <v>0.75800000000000001</v>
      </c>
      <c r="M718">
        <v>0.83000605000000005</v>
      </c>
      <c r="N718">
        <v>1</v>
      </c>
      <c r="O718" t="s">
        <v>606</v>
      </c>
      <c r="P718">
        <f t="shared" si="101"/>
        <v>14.12827465</v>
      </c>
      <c r="Q718">
        <f t="shared" si="102"/>
        <v>0.06</v>
      </c>
      <c r="R718">
        <f t="shared" si="103"/>
        <v>4.1000000000000002E-2</v>
      </c>
      <c r="S718">
        <f t="shared" si="104"/>
        <v>0.75800000000000001</v>
      </c>
      <c r="T718">
        <f t="shared" si="105"/>
        <v>2.1916666669999998</v>
      </c>
      <c r="U718">
        <f t="shared" si="106"/>
        <v>8.4898799310000008</v>
      </c>
      <c r="V718">
        <f t="shared" si="107"/>
        <v>9.0999999999999998E-2</v>
      </c>
      <c r="W718">
        <f t="shared" si="108"/>
        <v>0.122</v>
      </c>
      <c r="X718">
        <f t="shared" si="109"/>
        <v>0.71899999999999997</v>
      </c>
      <c r="Y718">
        <v>188.38729459999999</v>
      </c>
      <c r="Z718">
        <v>0</v>
      </c>
      <c r="AA718">
        <v>454184</v>
      </c>
      <c r="AB718">
        <v>170596</v>
      </c>
      <c r="AC718">
        <v>6.5715274000000004E-2</v>
      </c>
      <c r="AD718">
        <v>0.72549415100000003</v>
      </c>
      <c r="AF718">
        <v>14.12827465</v>
      </c>
      <c r="AG718">
        <v>0.06</v>
      </c>
      <c r="AH718">
        <v>4.1000000000000002E-2</v>
      </c>
      <c r="AI718">
        <v>0.75800000000000001</v>
      </c>
      <c r="AJ718">
        <v>2.1916666669999998</v>
      </c>
      <c r="AK718">
        <v>8.4898799310000008</v>
      </c>
      <c r="AL718">
        <v>9.0999999999999998E-2</v>
      </c>
      <c r="AM718">
        <v>0.122</v>
      </c>
      <c r="AN718">
        <v>0.71899999999999997</v>
      </c>
    </row>
    <row r="719" spans="1:40">
      <c r="A719">
        <v>2787</v>
      </c>
      <c r="B719" t="s">
        <v>689</v>
      </c>
      <c r="C719" t="s">
        <v>687</v>
      </c>
      <c r="D719" t="s">
        <v>688</v>
      </c>
      <c r="E719">
        <v>738</v>
      </c>
      <c r="F719">
        <v>1482</v>
      </c>
      <c r="G719">
        <v>68.746689029999999</v>
      </c>
      <c r="H719">
        <v>332</v>
      </c>
      <c r="I719">
        <v>0.107457967</v>
      </c>
      <c r="J719">
        <v>1814</v>
      </c>
      <c r="K719">
        <v>16881.01916</v>
      </c>
      <c r="L719">
        <v>0.73699999999999999</v>
      </c>
      <c r="M719">
        <v>0.31028037400000003</v>
      </c>
      <c r="N719">
        <v>1</v>
      </c>
      <c r="O719" t="s">
        <v>613</v>
      </c>
      <c r="P719">
        <f t="shared" si="101"/>
        <v>8.1754117649999998</v>
      </c>
      <c r="Q719">
        <f t="shared" si="102"/>
        <v>0.08</v>
      </c>
      <c r="R719">
        <f t="shared" si="103"/>
        <v>5.2999999999999999E-2</v>
      </c>
      <c r="S719">
        <f t="shared" si="104"/>
        <v>0.73699999999999999</v>
      </c>
      <c r="T719">
        <f t="shared" si="105"/>
        <v>2.3765714290000002</v>
      </c>
      <c r="U719">
        <f t="shared" si="106"/>
        <v>5.8565726680000001</v>
      </c>
      <c r="V719">
        <f t="shared" si="107"/>
        <v>0.12</v>
      </c>
      <c r="W719">
        <f t="shared" si="108"/>
        <v>0.254</v>
      </c>
      <c r="X719">
        <f t="shared" si="109"/>
        <v>0.58399999999999996</v>
      </c>
      <c r="Y719">
        <v>175.36361629999999</v>
      </c>
      <c r="Z719">
        <v>0</v>
      </c>
      <c r="AA719">
        <v>454184</v>
      </c>
      <c r="AB719">
        <v>170596</v>
      </c>
      <c r="AC719">
        <v>6.5715274000000004E-2</v>
      </c>
      <c r="AD719">
        <v>0.72549415100000003</v>
      </c>
      <c r="AF719">
        <v>8.1754117649999998</v>
      </c>
      <c r="AG719">
        <v>0.08</v>
      </c>
      <c r="AH719">
        <v>5.2999999999999999E-2</v>
      </c>
      <c r="AI719">
        <v>0.73699999999999999</v>
      </c>
      <c r="AJ719">
        <v>2.3765714290000002</v>
      </c>
      <c r="AK719">
        <v>5.8565726680000001</v>
      </c>
      <c r="AL719">
        <v>0.12</v>
      </c>
      <c r="AM719">
        <v>0.254</v>
      </c>
      <c r="AN719">
        <v>0.58399999999999996</v>
      </c>
    </row>
    <row r="720" spans="1:40">
      <c r="A720">
        <v>2788</v>
      </c>
      <c r="B720" t="s">
        <v>689</v>
      </c>
      <c r="C720" t="s">
        <v>687</v>
      </c>
      <c r="D720" t="s">
        <v>688</v>
      </c>
      <c r="E720">
        <v>209</v>
      </c>
      <c r="F720">
        <v>449</v>
      </c>
      <c r="G720">
        <v>14.58710937</v>
      </c>
      <c r="H720">
        <v>209</v>
      </c>
      <c r="I720">
        <v>2.2809736000000001E-2</v>
      </c>
      <c r="J720">
        <v>658</v>
      </c>
      <c r="K720">
        <v>28847.330809999999</v>
      </c>
      <c r="L720">
        <v>0.73199999999999998</v>
      </c>
      <c r="M720">
        <v>0.5</v>
      </c>
      <c r="N720">
        <v>1</v>
      </c>
      <c r="O720" t="s">
        <v>613</v>
      </c>
      <c r="P720">
        <f t="shared" si="101"/>
        <v>11.237619049999999</v>
      </c>
      <c r="Q720">
        <f t="shared" si="102"/>
        <v>4.9000000000000002E-2</v>
      </c>
      <c r="R720">
        <f t="shared" si="103"/>
        <v>6.0999999999999999E-2</v>
      </c>
      <c r="S720">
        <f t="shared" si="104"/>
        <v>0.73199999999999998</v>
      </c>
      <c r="T720">
        <f t="shared" si="105"/>
        <v>2.3046875</v>
      </c>
      <c r="U720">
        <f t="shared" si="106"/>
        <v>5.7757837839999997</v>
      </c>
      <c r="V720">
        <f t="shared" si="107"/>
        <v>0.126</v>
      </c>
      <c r="W720">
        <f t="shared" si="108"/>
        <v>0.14599999999999999</v>
      </c>
      <c r="X720">
        <f t="shared" si="109"/>
        <v>0.61199999999999999</v>
      </c>
      <c r="Y720">
        <v>210.9821805</v>
      </c>
      <c r="Z720">
        <v>0</v>
      </c>
      <c r="AA720">
        <v>454184</v>
      </c>
      <c r="AB720">
        <v>170596</v>
      </c>
      <c r="AC720">
        <v>6.5715274000000004E-2</v>
      </c>
      <c r="AD720">
        <v>0.72549415100000003</v>
      </c>
      <c r="AF720">
        <v>11.237619049999999</v>
      </c>
      <c r="AG720">
        <v>4.9000000000000002E-2</v>
      </c>
      <c r="AH720">
        <v>6.0999999999999999E-2</v>
      </c>
      <c r="AI720">
        <v>0.73199999999999998</v>
      </c>
      <c r="AJ720">
        <v>2.3046875</v>
      </c>
      <c r="AK720">
        <v>5.7757837839999997</v>
      </c>
      <c r="AL720">
        <v>0.126</v>
      </c>
      <c r="AM720">
        <v>0.14599999999999999</v>
      </c>
      <c r="AN720">
        <v>0.61199999999999999</v>
      </c>
    </row>
    <row r="721" spans="1:40">
      <c r="A721">
        <v>2789</v>
      </c>
      <c r="B721" t="s">
        <v>689</v>
      </c>
      <c r="C721" t="s">
        <v>687</v>
      </c>
      <c r="D721" t="s">
        <v>688</v>
      </c>
      <c r="E721">
        <v>103</v>
      </c>
      <c r="F721">
        <v>213</v>
      </c>
      <c r="G721">
        <v>14.78418623</v>
      </c>
      <c r="H721">
        <v>1583</v>
      </c>
      <c r="I721">
        <v>2.3106531999999999E-2</v>
      </c>
      <c r="J721">
        <v>1796</v>
      </c>
      <c r="K721">
        <v>77726.938859999995</v>
      </c>
      <c r="L721">
        <v>0.61599999999999999</v>
      </c>
      <c r="M721">
        <v>0.93890865999999995</v>
      </c>
      <c r="N721">
        <v>1</v>
      </c>
      <c r="O721" t="s">
        <v>606</v>
      </c>
      <c r="P721">
        <f t="shared" si="101"/>
        <v>13.51887324</v>
      </c>
      <c r="Q721">
        <f t="shared" si="102"/>
        <v>0.14499999999999999</v>
      </c>
      <c r="R721">
        <f t="shared" si="103"/>
        <v>4.1000000000000002E-2</v>
      </c>
      <c r="S721">
        <f t="shared" si="104"/>
        <v>0.61599999999999999</v>
      </c>
      <c r="T721">
        <f t="shared" si="105"/>
        <v>2.6741666670000002</v>
      </c>
      <c r="U721">
        <f t="shared" si="106"/>
        <v>8.2040661480000008</v>
      </c>
      <c r="V721">
        <f t="shared" si="107"/>
        <v>6.9000000000000006E-2</v>
      </c>
      <c r="W721">
        <f t="shared" si="108"/>
        <v>0.29699999999999999</v>
      </c>
      <c r="X721">
        <f t="shared" si="109"/>
        <v>0.57699999999999996</v>
      </c>
      <c r="Y721">
        <v>139.76267970000001</v>
      </c>
      <c r="Z721">
        <v>0</v>
      </c>
      <c r="AA721">
        <v>454184</v>
      </c>
      <c r="AB721">
        <v>170596</v>
      </c>
      <c r="AC721">
        <v>6.5715274000000004E-2</v>
      </c>
      <c r="AD721">
        <v>0.72549415100000003</v>
      </c>
      <c r="AF721">
        <v>13.51887324</v>
      </c>
      <c r="AG721">
        <v>0.14499999999999999</v>
      </c>
      <c r="AH721">
        <v>4.1000000000000002E-2</v>
      </c>
      <c r="AI721">
        <v>0.61599999999999999</v>
      </c>
      <c r="AJ721">
        <v>2.6741666670000002</v>
      </c>
      <c r="AK721">
        <v>8.2040661480000008</v>
      </c>
      <c r="AL721">
        <v>6.9000000000000006E-2</v>
      </c>
      <c r="AM721">
        <v>0.29699999999999999</v>
      </c>
      <c r="AN721">
        <v>0.57699999999999996</v>
      </c>
    </row>
    <row r="722" spans="1:40">
      <c r="A722">
        <v>2790</v>
      </c>
      <c r="B722" t="s">
        <v>689</v>
      </c>
      <c r="C722" t="s">
        <v>687</v>
      </c>
      <c r="D722" t="s">
        <v>688</v>
      </c>
      <c r="E722">
        <v>250</v>
      </c>
      <c r="F722">
        <v>649</v>
      </c>
      <c r="G722">
        <v>27.202442550000001</v>
      </c>
      <c r="H722">
        <v>454</v>
      </c>
      <c r="I722">
        <v>4.2518282999999997E-2</v>
      </c>
      <c r="J722">
        <v>1103</v>
      </c>
      <c r="K722">
        <v>25941.781330000002</v>
      </c>
      <c r="L722">
        <v>0.7</v>
      </c>
      <c r="M722">
        <v>0.64488636399999999</v>
      </c>
      <c r="N722">
        <v>1</v>
      </c>
      <c r="O722" t="s">
        <v>613</v>
      </c>
      <c r="P722">
        <f t="shared" si="101"/>
        <v>11.53896552</v>
      </c>
      <c r="Q722">
        <f t="shared" si="102"/>
        <v>0.09</v>
      </c>
      <c r="R722">
        <f t="shared" si="103"/>
        <v>1.9E-2</v>
      </c>
      <c r="S722">
        <f t="shared" si="104"/>
        <v>0.7</v>
      </c>
      <c r="T722">
        <f t="shared" si="105"/>
        <v>1.4283333330000001</v>
      </c>
      <c r="U722">
        <f t="shared" si="106"/>
        <v>7.8814385150000001</v>
      </c>
      <c r="V722">
        <f t="shared" si="107"/>
        <v>3.4000000000000002E-2</v>
      </c>
      <c r="W722">
        <f t="shared" si="108"/>
        <v>0.188</v>
      </c>
      <c r="X722">
        <f t="shared" si="109"/>
        <v>0.74399999999999999</v>
      </c>
      <c r="Y722">
        <v>216.25822009999999</v>
      </c>
      <c r="Z722">
        <v>0</v>
      </c>
      <c r="AA722">
        <v>454184</v>
      </c>
      <c r="AB722">
        <v>170596</v>
      </c>
      <c r="AC722">
        <v>6.5715274000000004E-2</v>
      </c>
      <c r="AD722">
        <v>0.72549415100000003</v>
      </c>
      <c r="AF722">
        <v>11.53896552</v>
      </c>
      <c r="AG722">
        <v>0.09</v>
      </c>
      <c r="AH722">
        <v>1.9E-2</v>
      </c>
      <c r="AI722">
        <v>0.7</v>
      </c>
      <c r="AJ722">
        <v>1.4283333330000001</v>
      </c>
      <c r="AK722">
        <v>7.8814385150000001</v>
      </c>
      <c r="AL722">
        <v>3.4000000000000002E-2</v>
      </c>
      <c r="AM722">
        <v>0.188</v>
      </c>
      <c r="AN722">
        <v>0.74399999999999999</v>
      </c>
    </row>
    <row r="723" spans="1:40">
      <c r="A723">
        <v>2791</v>
      </c>
      <c r="B723" t="s">
        <v>689</v>
      </c>
      <c r="C723" t="s">
        <v>687</v>
      </c>
      <c r="D723" t="s">
        <v>688</v>
      </c>
      <c r="E723">
        <v>58</v>
      </c>
      <c r="F723">
        <v>163</v>
      </c>
      <c r="G723">
        <v>45.902361249999998</v>
      </c>
      <c r="H723">
        <v>0</v>
      </c>
      <c r="I723">
        <v>7.1754788999999999E-2</v>
      </c>
      <c r="J723">
        <v>163</v>
      </c>
      <c r="K723">
        <v>2271.6253820000002</v>
      </c>
      <c r="L723">
        <v>0.90200000000000002</v>
      </c>
      <c r="M723">
        <v>0</v>
      </c>
      <c r="N723">
        <v>0</v>
      </c>
      <c r="O723" t="s">
        <v>620</v>
      </c>
      <c r="P723">
        <f t="shared" si="101"/>
        <v>13.391500000000001</v>
      </c>
      <c r="Q723">
        <f t="shared" si="102"/>
        <v>2.4E-2</v>
      </c>
      <c r="R723">
        <f t="shared" si="103"/>
        <v>2.4E-2</v>
      </c>
      <c r="S723">
        <f t="shared" si="104"/>
        <v>0.90200000000000002</v>
      </c>
      <c r="T723">
        <f t="shared" si="105"/>
        <v>4.3449999999999998</v>
      </c>
      <c r="U723">
        <f t="shared" si="106"/>
        <v>6.9525675680000001</v>
      </c>
      <c r="V723">
        <f t="shared" si="107"/>
        <v>6.2414117647058849E-2</v>
      </c>
      <c r="W723">
        <f t="shared" si="108"/>
        <v>9.0999999999999998E-2</v>
      </c>
      <c r="X723">
        <f t="shared" si="109"/>
        <v>0.90900000000000003</v>
      </c>
      <c r="Y723">
        <v>88.731703190000005</v>
      </c>
      <c r="Z723">
        <v>0</v>
      </c>
      <c r="AA723">
        <v>454184</v>
      </c>
      <c r="AB723">
        <v>170596</v>
      </c>
      <c r="AC723">
        <v>6.5715274000000004E-2</v>
      </c>
      <c r="AD723">
        <v>0.72549415100000003</v>
      </c>
      <c r="AF723">
        <v>13.391500000000001</v>
      </c>
      <c r="AG723">
        <v>2.4E-2</v>
      </c>
      <c r="AH723">
        <v>2.4E-2</v>
      </c>
      <c r="AI723">
        <v>0.90200000000000002</v>
      </c>
      <c r="AJ723">
        <v>4.3449999999999998</v>
      </c>
      <c r="AK723">
        <v>6.9525675680000001</v>
      </c>
      <c r="AL723">
        <v>0</v>
      </c>
      <c r="AM723">
        <v>9.0999999999999998E-2</v>
      </c>
      <c r="AN723">
        <v>0.90900000000000003</v>
      </c>
    </row>
    <row r="724" spans="1:40">
      <c r="A724">
        <v>2792</v>
      </c>
      <c r="B724" t="s">
        <v>689</v>
      </c>
      <c r="C724" t="s">
        <v>687</v>
      </c>
      <c r="D724" t="s">
        <v>688</v>
      </c>
      <c r="E724">
        <v>300</v>
      </c>
      <c r="F724">
        <v>952</v>
      </c>
      <c r="G724">
        <v>46.529292419999997</v>
      </c>
      <c r="H724">
        <v>797</v>
      </c>
      <c r="I724">
        <v>7.2731708000000006E-2</v>
      </c>
      <c r="J724">
        <v>1749</v>
      </c>
      <c r="K724">
        <v>24047.283479999998</v>
      </c>
      <c r="L724">
        <v>0.79200000000000004</v>
      </c>
      <c r="M724">
        <v>0.72652689199999998</v>
      </c>
      <c r="N724">
        <v>1</v>
      </c>
      <c r="O724" t="s">
        <v>606</v>
      </c>
      <c r="P724">
        <f t="shared" si="101"/>
        <v>11.26743961</v>
      </c>
      <c r="Q724">
        <f t="shared" si="102"/>
        <v>5.5E-2</v>
      </c>
      <c r="R724">
        <f t="shared" si="103"/>
        <v>1.4999999999999999E-2</v>
      </c>
      <c r="S724">
        <f t="shared" si="104"/>
        <v>0.79200000000000004</v>
      </c>
      <c r="T724">
        <f t="shared" si="105"/>
        <v>2.3518181820000001</v>
      </c>
      <c r="U724">
        <f t="shared" si="106"/>
        <v>6.467767695</v>
      </c>
      <c r="V724">
        <f t="shared" si="107"/>
        <v>3.5999999999999997E-2</v>
      </c>
      <c r="W724">
        <f t="shared" si="108"/>
        <v>0.14299999999999999</v>
      </c>
      <c r="X724">
        <f t="shared" si="109"/>
        <v>0.73899999999999999</v>
      </c>
      <c r="Y724">
        <v>229.2067792</v>
      </c>
      <c r="Z724">
        <v>0</v>
      </c>
      <c r="AA724">
        <v>454184</v>
      </c>
      <c r="AB724">
        <v>170596</v>
      </c>
      <c r="AC724">
        <v>6.5715274000000004E-2</v>
      </c>
      <c r="AD724">
        <v>0.72549415100000003</v>
      </c>
      <c r="AF724">
        <v>11.26743961</v>
      </c>
      <c r="AG724">
        <v>5.5E-2</v>
      </c>
      <c r="AH724">
        <v>1.4999999999999999E-2</v>
      </c>
      <c r="AI724">
        <v>0.79200000000000004</v>
      </c>
      <c r="AJ724">
        <v>2.3518181820000001</v>
      </c>
      <c r="AK724">
        <v>6.467767695</v>
      </c>
      <c r="AL724">
        <v>3.5999999999999997E-2</v>
      </c>
      <c r="AM724">
        <v>0.14299999999999999</v>
      </c>
      <c r="AN724">
        <v>0.73899999999999999</v>
      </c>
    </row>
    <row r="725" spans="1:40">
      <c r="A725">
        <v>2793</v>
      </c>
      <c r="B725" t="s">
        <v>690</v>
      </c>
      <c r="C725" t="s">
        <v>687</v>
      </c>
      <c r="D725" t="s">
        <v>688</v>
      </c>
      <c r="E725">
        <v>143</v>
      </c>
      <c r="F725">
        <v>403</v>
      </c>
      <c r="G725">
        <v>473.23535420000002</v>
      </c>
      <c r="H725">
        <v>0</v>
      </c>
      <c r="I725">
        <v>0.73971861100000003</v>
      </c>
      <c r="J725">
        <v>403</v>
      </c>
      <c r="K725">
        <v>544.80175840000004</v>
      </c>
      <c r="L725">
        <v>0.89200000000000002</v>
      </c>
      <c r="M725">
        <v>0</v>
      </c>
      <c r="N725">
        <v>0</v>
      </c>
      <c r="O725" t="s">
        <v>625</v>
      </c>
      <c r="P725">
        <f t="shared" si="101"/>
        <v>7.6547999999999998</v>
      </c>
      <c r="Q725">
        <f t="shared" si="102"/>
        <v>4.9000000000000002E-2</v>
      </c>
      <c r="R725">
        <f t="shared" si="103"/>
        <v>2.5072463768115939E-2</v>
      </c>
      <c r="S725">
        <f t="shared" si="104"/>
        <v>0.89200000000000002</v>
      </c>
      <c r="T725">
        <f t="shared" si="105"/>
        <v>2.4314517203768111</v>
      </c>
      <c r="U725">
        <f t="shared" si="106"/>
        <v>8.4207407409999995</v>
      </c>
      <c r="V725">
        <f t="shared" si="107"/>
        <v>5.034848484848483E-2</v>
      </c>
      <c r="W725">
        <f t="shared" si="108"/>
        <v>7.3999999999999996E-2</v>
      </c>
      <c r="X725">
        <f t="shared" si="109"/>
        <v>0.92600000000000005</v>
      </c>
      <c r="Y725">
        <v>117.4048068</v>
      </c>
      <c r="Z725">
        <v>0</v>
      </c>
      <c r="AA725">
        <v>82284</v>
      </c>
      <c r="AB725">
        <v>32030</v>
      </c>
      <c r="AC725">
        <v>4.7570397E-2</v>
      </c>
      <c r="AD725">
        <v>0.78974696300000002</v>
      </c>
      <c r="AF725">
        <v>7.6547999999999998</v>
      </c>
      <c r="AG725">
        <v>4.9000000000000002E-2</v>
      </c>
      <c r="AH725">
        <v>0</v>
      </c>
      <c r="AI725">
        <v>0.89200000000000002</v>
      </c>
      <c r="AK725">
        <v>8.4207407409999995</v>
      </c>
      <c r="AL725">
        <v>0</v>
      </c>
      <c r="AM725">
        <v>7.3999999999999996E-2</v>
      </c>
      <c r="AN725">
        <v>0.92600000000000005</v>
      </c>
    </row>
    <row r="726" spans="1:40">
      <c r="A726">
        <v>2794</v>
      </c>
      <c r="B726" t="s">
        <v>702</v>
      </c>
      <c r="C726" t="s">
        <v>696</v>
      </c>
      <c r="D726" t="s">
        <v>697</v>
      </c>
      <c r="E726">
        <v>196</v>
      </c>
      <c r="F726">
        <v>630</v>
      </c>
      <c r="G726">
        <v>56.374084500000002</v>
      </c>
      <c r="H726">
        <v>756</v>
      </c>
      <c r="I726">
        <v>8.8112918999999998E-2</v>
      </c>
      <c r="J726">
        <v>1386</v>
      </c>
      <c r="K726">
        <v>15729.81596</v>
      </c>
      <c r="L726">
        <v>0.81100000000000005</v>
      </c>
      <c r="M726">
        <v>0.79411764699999998</v>
      </c>
      <c r="N726">
        <v>1</v>
      </c>
      <c r="O726" t="s">
        <v>613</v>
      </c>
      <c r="P726">
        <f t="shared" si="101"/>
        <v>11.27333333</v>
      </c>
      <c r="Q726">
        <f t="shared" si="102"/>
        <v>5.7000000000000002E-2</v>
      </c>
      <c r="R726">
        <f t="shared" si="103"/>
        <v>4.0000000000000001E-3</v>
      </c>
      <c r="S726">
        <f t="shared" si="104"/>
        <v>0.81100000000000005</v>
      </c>
      <c r="T726">
        <f t="shared" si="105"/>
        <v>1.2383333329999999</v>
      </c>
      <c r="U726">
        <f t="shared" si="106"/>
        <v>6.4773892550000003</v>
      </c>
      <c r="V726">
        <f t="shared" si="107"/>
        <v>4.2301204819277106E-2</v>
      </c>
      <c r="W726">
        <f t="shared" si="108"/>
        <v>0.183</v>
      </c>
      <c r="X726">
        <f t="shared" si="109"/>
        <v>0.76100000000000001</v>
      </c>
      <c r="Y726">
        <v>98.526923339999996</v>
      </c>
      <c r="Z726">
        <v>0</v>
      </c>
      <c r="AA726">
        <v>90778</v>
      </c>
      <c r="AB726">
        <v>31662</v>
      </c>
      <c r="AC726">
        <v>3.1753482E-2</v>
      </c>
      <c r="AD726">
        <v>0.82960131100000001</v>
      </c>
      <c r="AF726">
        <v>11.27333333</v>
      </c>
      <c r="AG726">
        <v>5.7000000000000002E-2</v>
      </c>
      <c r="AH726">
        <v>4.0000000000000001E-3</v>
      </c>
      <c r="AI726">
        <v>0.81100000000000005</v>
      </c>
      <c r="AJ726">
        <v>1.2383333329999999</v>
      </c>
      <c r="AK726">
        <v>6.4773892550000003</v>
      </c>
      <c r="AL726">
        <v>0</v>
      </c>
      <c r="AM726">
        <v>0.183</v>
      </c>
      <c r="AN726">
        <v>0.76100000000000001</v>
      </c>
    </row>
    <row r="727" spans="1:40">
      <c r="A727">
        <v>2795</v>
      </c>
      <c r="B727" t="s">
        <v>702</v>
      </c>
      <c r="C727" t="s">
        <v>696</v>
      </c>
      <c r="D727" t="s">
        <v>697</v>
      </c>
      <c r="E727">
        <v>63</v>
      </c>
      <c r="F727">
        <v>205</v>
      </c>
      <c r="G727">
        <v>67.575053449999999</v>
      </c>
      <c r="H727">
        <v>849</v>
      </c>
      <c r="I727">
        <v>0.105633795</v>
      </c>
      <c r="J727">
        <v>1054</v>
      </c>
      <c r="K727">
        <v>9977.8674050000009</v>
      </c>
      <c r="L727">
        <v>0.90100000000000002</v>
      </c>
      <c r="M727">
        <v>0.93092105300000005</v>
      </c>
      <c r="N727">
        <v>0</v>
      </c>
      <c r="O727" t="s">
        <v>620</v>
      </c>
      <c r="P727">
        <f t="shared" si="101"/>
        <v>10.323185840000001</v>
      </c>
      <c r="Q727">
        <f t="shared" si="102"/>
        <v>1.0999999999999999E-2</v>
      </c>
      <c r="R727">
        <f t="shared" si="103"/>
        <v>8.9999999999999993E-3</v>
      </c>
      <c r="S727">
        <f t="shared" si="104"/>
        <v>0.90100000000000002</v>
      </c>
      <c r="T727">
        <f t="shared" si="105"/>
        <v>1.910833333</v>
      </c>
      <c r="U727">
        <f t="shared" si="106"/>
        <v>6.2698410039999999</v>
      </c>
      <c r="V727">
        <f t="shared" si="107"/>
        <v>1.4999999999999999E-2</v>
      </c>
      <c r="W727">
        <f t="shared" si="108"/>
        <v>5.2999999999999999E-2</v>
      </c>
      <c r="X727">
        <f t="shared" si="109"/>
        <v>0.85</v>
      </c>
      <c r="Y727">
        <v>82.49873092</v>
      </c>
      <c r="Z727">
        <v>0</v>
      </c>
      <c r="AA727">
        <v>90778</v>
      </c>
      <c r="AB727">
        <v>31662</v>
      </c>
      <c r="AC727">
        <v>3.1753482E-2</v>
      </c>
      <c r="AD727">
        <v>0.82960131100000001</v>
      </c>
      <c r="AF727">
        <v>10.323185840000001</v>
      </c>
      <c r="AG727">
        <v>1.0999999999999999E-2</v>
      </c>
      <c r="AH727">
        <v>8.9999999999999993E-3</v>
      </c>
      <c r="AI727">
        <v>0.90100000000000002</v>
      </c>
      <c r="AJ727">
        <v>1.910833333</v>
      </c>
      <c r="AK727">
        <v>6.2698410039999999</v>
      </c>
      <c r="AL727">
        <v>1.4999999999999999E-2</v>
      </c>
      <c r="AM727">
        <v>5.2999999999999999E-2</v>
      </c>
      <c r="AN727">
        <v>0.85</v>
      </c>
    </row>
    <row r="728" spans="1:40">
      <c r="A728">
        <v>2796</v>
      </c>
      <c r="B728" t="s">
        <v>702</v>
      </c>
      <c r="C728" t="s">
        <v>696</v>
      </c>
      <c r="D728" t="s">
        <v>697</v>
      </c>
      <c r="E728">
        <v>211</v>
      </c>
      <c r="F728">
        <v>1050</v>
      </c>
      <c r="G728">
        <v>44.33058801</v>
      </c>
      <c r="H728">
        <v>1461</v>
      </c>
      <c r="I728">
        <v>6.9294184999999994E-2</v>
      </c>
      <c r="J728">
        <v>2511</v>
      </c>
      <c r="K728">
        <v>36236.806879999996</v>
      </c>
      <c r="L728">
        <v>0.82899999999999996</v>
      </c>
      <c r="M728">
        <v>0.873803828</v>
      </c>
      <c r="N728">
        <v>1</v>
      </c>
      <c r="O728" t="s">
        <v>613</v>
      </c>
      <c r="P728">
        <f t="shared" si="101"/>
        <v>11.653</v>
      </c>
      <c r="Q728">
        <f t="shared" si="102"/>
        <v>3.7999999999999999E-2</v>
      </c>
      <c r="R728">
        <f t="shared" si="103"/>
        <v>1.4999999999999999E-2</v>
      </c>
      <c r="S728">
        <f t="shared" si="104"/>
        <v>0.82899999999999996</v>
      </c>
      <c r="T728">
        <f t="shared" si="105"/>
        <v>1.964038462</v>
      </c>
      <c r="U728">
        <f t="shared" si="106"/>
        <v>6.1694427239999996</v>
      </c>
      <c r="V728">
        <f t="shared" si="107"/>
        <v>3.2000000000000001E-2</v>
      </c>
      <c r="W728">
        <f t="shared" si="108"/>
        <v>0.13200000000000001</v>
      </c>
      <c r="X728">
        <f t="shared" si="109"/>
        <v>0.77600000000000002</v>
      </c>
      <c r="Y728">
        <v>263.22101659999998</v>
      </c>
      <c r="Z728">
        <v>0</v>
      </c>
      <c r="AA728">
        <v>90778</v>
      </c>
      <c r="AB728">
        <v>31662</v>
      </c>
      <c r="AC728">
        <v>3.1753482E-2</v>
      </c>
      <c r="AD728">
        <v>0.82960131100000001</v>
      </c>
      <c r="AF728">
        <v>11.653</v>
      </c>
      <c r="AG728">
        <v>3.7999999999999999E-2</v>
      </c>
      <c r="AH728">
        <v>1.4999999999999999E-2</v>
      </c>
      <c r="AI728">
        <v>0.82899999999999996</v>
      </c>
      <c r="AJ728">
        <v>1.964038462</v>
      </c>
      <c r="AK728">
        <v>6.1694427239999996</v>
      </c>
      <c r="AL728">
        <v>3.2000000000000001E-2</v>
      </c>
      <c r="AM728">
        <v>0.13200000000000001</v>
      </c>
      <c r="AN728">
        <v>0.77600000000000002</v>
      </c>
    </row>
    <row r="729" spans="1:40">
      <c r="A729">
        <v>2797</v>
      </c>
      <c r="B729" t="s">
        <v>705</v>
      </c>
      <c r="C729" t="s">
        <v>696</v>
      </c>
      <c r="D729" t="s">
        <v>697</v>
      </c>
      <c r="E729">
        <v>21</v>
      </c>
      <c r="F729">
        <v>49</v>
      </c>
      <c r="G729">
        <v>43.223756799999997</v>
      </c>
      <c r="H729">
        <v>659</v>
      </c>
      <c r="I729">
        <v>6.7555968999999993E-2</v>
      </c>
      <c r="J729">
        <v>708</v>
      </c>
      <c r="K729">
        <v>10480.19902</v>
      </c>
      <c r="L729">
        <v>0.877</v>
      </c>
      <c r="M729">
        <v>0.96911764700000003</v>
      </c>
      <c r="N729">
        <v>0</v>
      </c>
      <c r="O729" t="s">
        <v>613</v>
      </c>
      <c r="P729">
        <f t="shared" si="101"/>
        <v>10.979047619999999</v>
      </c>
      <c r="Q729">
        <f t="shared" si="102"/>
        <v>1.6E-2</v>
      </c>
      <c r="R729">
        <f t="shared" si="103"/>
        <v>1.7000000000000001E-2</v>
      </c>
      <c r="S729">
        <f t="shared" si="104"/>
        <v>0.877</v>
      </c>
      <c r="T729">
        <f t="shared" si="105"/>
        <v>2.2310526319999999</v>
      </c>
      <c r="U729">
        <f t="shared" si="106"/>
        <v>6.3459698490000003</v>
      </c>
      <c r="V729">
        <f t="shared" si="107"/>
        <v>5.8000000000000003E-2</v>
      </c>
      <c r="W729">
        <f t="shared" si="108"/>
        <v>9.6000000000000002E-2</v>
      </c>
      <c r="X729">
        <f t="shared" si="109"/>
        <v>0.80800000000000005</v>
      </c>
      <c r="Y729">
        <v>102.6269684</v>
      </c>
      <c r="Z729">
        <v>0</v>
      </c>
      <c r="AA729">
        <v>152832</v>
      </c>
      <c r="AB729">
        <v>45686</v>
      </c>
      <c r="AC729">
        <v>2.1596295000000001E-2</v>
      </c>
      <c r="AD729">
        <v>0.84212384500000004</v>
      </c>
      <c r="AF729">
        <v>10.979047619999999</v>
      </c>
      <c r="AG729">
        <v>1.6E-2</v>
      </c>
      <c r="AH729">
        <v>1.7000000000000001E-2</v>
      </c>
      <c r="AI729">
        <v>0.877</v>
      </c>
      <c r="AJ729">
        <v>2.2310526319999999</v>
      </c>
      <c r="AK729">
        <v>6.3459698490000003</v>
      </c>
      <c r="AL729">
        <v>5.8000000000000003E-2</v>
      </c>
      <c r="AM729">
        <v>9.6000000000000002E-2</v>
      </c>
      <c r="AN729">
        <v>0.80800000000000005</v>
      </c>
    </row>
    <row r="730" spans="1:40">
      <c r="A730">
        <v>2798</v>
      </c>
      <c r="B730" t="s">
        <v>695</v>
      </c>
      <c r="C730" t="s">
        <v>696</v>
      </c>
      <c r="D730" t="s">
        <v>697</v>
      </c>
      <c r="E730">
        <v>567</v>
      </c>
      <c r="F730">
        <v>1563</v>
      </c>
      <c r="G730">
        <v>66.703755009999995</v>
      </c>
      <c r="H730">
        <v>722</v>
      </c>
      <c r="I730">
        <v>0.10426352999999999</v>
      </c>
      <c r="J730">
        <v>2285</v>
      </c>
      <c r="K730">
        <v>21915.620930000001</v>
      </c>
      <c r="L730">
        <v>0.748</v>
      </c>
      <c r="M730">
        <v>0.56012412700000003</v>
      </c>
      <c r="N730">
        <v>0</v>
      </c>
      <c r="O730" t="s">
        <v>613</v>
      </c>
      <c r="P730">
        <f t="shared" si="101"/>
        <v>12.376681420000001</v>
      </c>
      <c r="Q730">
        <f t="shared" si="102"/>
        <v>3.3000000000000002E-2</v>
      </c>
      <c r="R730">
        <f t="shared" si="103"/>
        <v>3.1E-2</v>
      </c>
      <c r="S730">
        <f t="shared" si="104"/>
        <v>0.748</v>
      </c>
      <c r="T730">
        <f t="shared" si="105"/>
        <v>1.717017544</v>
      </c>
      <c r="U730">
        <f t="shared" si="106"/>
        <v>7.4313633010000002</v>
      </c>
      <c r="V730">
        <f t="shared" si="107"/>
        <v>4.1000000000000002E-2</v>
      </c>
      <c r="W730">
        <f t="shared" si="108"/>
        <v>0.153</v>
      </c>
      <c r="X730">
        <f t="shared" si="109"/>
        <v>0.72</v>
      </c>
      <c r="Y730">
        <v>64.243029879999995</v>
      </c>
      <c r="Z730">
        <v>0</v>
      </c>
      <c r="AA730">
        <v>62139</v>
      </c>
      <c r="AB730">
        <v>22178</v>
      </c>
      <c r="AC730">
        <v>2.5956119999999999E-2</v>
      </c>
      <c r="AD730">
        <v>0.81129361</v>
      </c>
      <c r="AF730">
        <v>12.376681420000001</v>
      </c>
      <c r="AG730">
        <v>3.3000000000000002E-2</v>
      </c>
      <c r="AH730">
        <v>3.1E-2</v>
      </c>
      <c r="AI730">
        <v>0.748</v>
      </c>
      <c r="AJ730">
        <v>1.717017544</v>
      </c>
      <c r="AK730">
        <v>7.4313633010000002</v>
      </c>
      <c r="AL730">
        <v>4.1000000000000002E-2</v>
      </c>
      <c r="AM730">
        <v>0.153</v>
      </c>
      <c r="AN730">
        <v>0.72</v>
      </c>
    </row>
    <row r="731" spans="1:40">
      <c r="A731">
        <v>2799</v>
      </c>
      <c r="B731" t="s">
        <v>695</v>
      </c>
      <c r="C731" t="s">
        <v>696</v>
      </c>
      <c r="D731" t="s">
        <v>697</v>
      </c>
      <c r="E731">
        <v>263</v>
      </c>
      <c r="F731">
        <v>723</v>
      </c>
      <c r="G731">
        <v>49.132711460000003</v>
      </c>
      <c r="H731">
        <v>190</v>
      </c>
      <c r="I731">
        <v>7.6797620999999996E-2</v>
      </c>
      <c r="J731">
        <v>913</v>
      </c>
      <c r="K731">
        <v>11888.389090000001</v>
      </c>
      <c r="L731">
        <v>0.82</v>
      </c>
      <c r="M731">
        <v>0.41942604900000002</v>
      </c>
      <c r="N731">
        <v>1</v>
      </c>
      <c r="O731" t="s">
        <v>620</v>
      </c>
      <c r="P731">
        <f t="shared" si="101"/>
        <v>12.86324675</v>
      </c>
      <c r="Q731">
        <f t="shared" si="102"/>
        <v>2.5000000000000001E-2</v>
      </c>
      <c r="R731">
        <f t="shared" si="103"/>
        <v>0.03</v>
      </c>
      <c r="S731">
        <f t="shared" si="104"/>
        <v>0.82</v>
      </c>
      <c r="T731">
        <f t="shared" si="105"/>
        <v>1.7477777779999999</v>
      </c>
      <c r="U731">
        <f t="shared" si="106"/>
        <v>6.9952431290000003</v>
      </c>
      <c r="V731">
        <f t="shared" si="107"/>
        <v>4.1000000000000002E-2</v>
      </c>
      <c r="W731">
        <f t="shared" si="108"/>
        <v>0.112</v>
      </c>
      <c r="X731">
        <f t="shared" si="109"/>
        <v>0.78600000000000003</v>
      </c>
      <c r="Y731">
        <v>80.323711270000004</v>
      </c>
      <c r="Z731">
        <v>0</v>
      </c>
      <c r="AA731">
        <v>62139</v>
      </c>
      <c r="AB731">
        <v>22178</v>
      </c>
      <c r="AC731">
        <v>2.5956119999999999E-2</v>
      </c>
      <c r="AD731">
        <v>0.81129361</v>
      </c>
      <c r="AF731">
        <v>12.86324675</v>
      </c>
      <c r="AG731">
        <v>2.5000000000000001E-2</v>
      </c>
      <c r="AH731">
        <v>0.03</v>
      </c>
      <c r="AI731">
        <v>0.82</v>
      </c>
      <c r="AJ731">
        <v>1.7477777779999999</v>
      </c>
      <c r="AK731">
        <v>6.9952431290000003</v>
      </c>
      <c r="AL731">
        <v>4.1000000000000002E-2</v>
      </c>
      <c r="AM731">
        <v>0.112</v>
      </c>
      <c r="AN731">
        <v>0.78600000000000003</v>
      </c>
    </row>
    <row r="732" spans="1:40">
      <c r="A732">
        <v>2800</v>
      </c>
      <c r="B732" t="s">
        <v>695</v>
      </c>
      <c r="C732" t="s">
        <v>696</v>
      </c>
      <c r="D732" t="s">
        <v>697</v>
      </c>
      <c r="E732">
        <v>93</v>
      </c>
      <c r="F732">
        <v>241</v>
      </c>
      <c r="G732">
        <v>28.086386780000002</v>
      </c>
      <c r="H732">
        <v>68</v>
      </c>
      <c r="I732">
        <v>4.3904858999999997E-2</v>
      </c>
      <c r="J732">
        <v>309</v>
      </c>
      <c r="K732">
        <v>7037.9453899999999</v>
      </c>
      <c r="L732">
        <v>0.85499999999999998</v>
      </c>
      <c r="M732">
        <v>0.42236024799999999</v>
      </c>
      <c r="N732">
        <v>1</v>
      </c>
      <c r="O732" t="s">
        <v>620</v>
      </c>
      <c r="P732">
        <f t="shared" si="101"/>
        <v>15.267200000000001</v>
      </c>
      <c r="Q732">
        <f t="shared" si="102"/>
        <v>3.5000000000000003E-2</v>
      </c>
      <c r="R732">
        <f t="shared" si="103"/>
        <v>2.5583333333333333E-2</v>
      </c>
      <c r="S732">
        <f t="shared" si="104"/>
        <v>0.85499999999999998</v>
      </c>
      <c r="T732">
        <f t="shared" si="105"/>
        <v>2.1049555554166663</v>
      </c>
      <c r="U732">
        <f t="shared" si="106"/>
        <v>7.2892727270000002</v>
      </c>
      <c r="V732">
        <f t="shared" si="107"/>
        <v>4.15609756097561E-2</v>
      </c>
      <c r="W732">
        <f t="shared" si="108"/>
        <v>0.19400000000000001</v>
      </c>
      <c r="X732">
        <f t="shared" si="109"/>
        <v>0.80600000000000005</v>
      </c>
      <c r="Y732">
        <v>110.53190979999999</v>
      </c>
      <c r="Z732">
        <v>0</v>
      </c>
      <c r="AA732">
        <v>62139</v>
      </c>
      <c r="AB732">
        <v>22178</v>
      </c>
      <c r="AC732">
        <v>2.5956119999999999E-2</v>
      </c>
      <c r="AD732">
        <v>0.81129361</v>
      </c>
      <c r="AF732">
        <v>15.267200000000001</v>
      </c>
      <c r="AG732">
        <v>3.5000000000000003E-2</v>
      </c>
      <c r="AH732">
        <v>0</v>
      </c>
      <c r="AI732">
        <v>0.85499999999999998</v>
      </c>
      <c r="AK732">
        <v>7.2892727270000002</v>
      </c>
      <c r="AL732">
        <v>0</v>
      </c>
      <c r="AM732">
        <v>0.19400000000000001</v>
      </c>
      <c r="AN732">
        <v>0.80600000000000005</v>
      </c>
    </row>
    <row r="733" spans="1:40">
      <c r="A733">
        <v>2801</v>
      </c>
      <c r="B733" t="s">
        <v>695</v>
      </c>
      <c r="C733" t="s">
        <v>696</v>
      </c>
      <c r="D733" t="s">
        <v>697</v>
      </c>
      <c r="E733">
        <v>199</v>
      </c>
      <c r="F733">
        <v>521</v>
      </c>
      <c r="G733">
        <v>38.914949479999997</v>
      </c>
      <c r="H733">
        <v>165</v>
      </c>
      <c r="I733">
        <v>6.0829912E-2</v>
      </c>
      <c r="J733">
        <v>686</v>
      </c>
      <c r="K733">
        <v>11277.346579999999</v>
      </c>
      <c r="L733">
        <v>0.81200000000000006</v>
      </c>
      <c r="M733">
        <v>0.45329670300000002</v>
      </c>
      <c r="N733">
        <v>1</v>
      </c>
      <c r="O733" t="s">
        <v>620</v>
      </c>
      <c r="P733">
        <f t="shared" si="101"/>
        <v>13.09901408</v>
      </c>
      <c r="Q733">
        <f t="shared" si="102"/>
        <v>3.6999999999999998E-2</v>
      </c>
      <c r="R733">
        <f t="shared" si="103"/>
        <v>3.5000000000000003E-2</v>
      </c>
      <c r="S733">
        <f t="shared" si="104"/>
        <v>0.81200000000000006</v>
      </c>
      <c r="T733">
        <f t="shared" si="105"/>
        <v>3.2316666669999998</v>
      </c>
      <c r="U733">
        <f t="shared" si="106"/>
        <v>7.6559657699999999</v>
      </c>
      <c r="V733">
        <f t="shared" si="107"/>
        <v>4.2000000000000003E-2</v>
      </c>
      <c r="W733">
        <f t="shared" si="108"/>
        <v>0.126</v>
      </c>
      <c r="X733">
        <f t="shared" si="109"/>
        <v>0.747</v>
      </c>
      <c r="Y733">
        <v>110.40766000000001</v>
      </c>
      <c r="Z733">
        <v>0</v>
      </c>
      <c r="AA733">
        <v>62139</v>
      </c>
      <c r="AB733">
        <v>22178</v>
      </c>
      <c r="AC733">
        <v>2.5956119999999999E-2</v>
      </c>
      <c r="AD733">
        <v>0.81129361</v>
      </c>
      <c r="AF733">
        <v>13.09901408</v>
      </c>
      <c r="AG733">
        <v>3.6999999999999998E-2</v>
      </c>
      <c r="AH733">
        <v>3.5000000000000003E-2</v>
      </c>
      <c r="AI733">
        <v>0.81200000000000006</v>
      </c>
      <c r="AJ733">
        <v>3.2316666669999998</v>
      </c>
      <c r="AK733">
        <v>7.6559657699999999</v>
      </c>
      <c r="AL733">
        <v>4.2000000000000003E-2</v>
      </c>
      <c r="AM733">
        <v>0.126</v>
      </c>
      <c r="AN733">
        <v>0.747</v>
      </c>
    </row>
    <row r="734" spans="1:40">
      <c r="A734">
        <v>2802</v>
      </c>
      <c r="B734" t="s">
        <v>698</v>
      </c>
      <c r="C734" t="s">
        <v>693</v>
      </c>
      <c r="D734" t="s">
        <v>694</v>
      </c>
      <c r="E734">
        <v>83</v>
      </c>
      <c r="F734">
        <v>249</v>
      </c>
      <c r="G734">
        <v>17.507966140000001</v>
      </c>
      <c r="H734">
        <v>0</v>
      </c>
      <c r="I734">
        <v>2.7362851000000001E-2</v>
      </c>
      <c r="J734">
        <v>249</v>
      </c>
      <c r="K734">
        <v>9099.9289509999999</v>
      </c>
      <c r="L734">
        <v>0.64</v>
      </c>
      <c r="M734">
        <v>0</v>
      </c>
      <c r="N734">
        <v>0</v>
      </c>
      <c r="O734" t="s">
        <v>620</v>
      </c>
      <c r="P734">
        <f t="shared" si="101"/>
        <v>19.943076919999999</v>
      </c>
      <c r="Q734">
        <f t="shared" si="102"/>
        <v>0.03</v>
      </c>
      <c r="R734">
        <f t="shared" si="103"/>
        <v>0.04</v>
      </c>
      <c r="S734">
        <f t="shared" si="104"/>
        <v>0.64</v>
      </c>
      <c r="T734">
        <f t="shared" si="105"/>
        <v>2.3149999999999999</v>
      </c>
      <c r="U734">
        <f t="shared" si="106"/>
        <v>7.4439062500000004</v>
      </c>
      <c r="V734">
        <f t="shared" si="107"/>
        <v>4.0705882352941189E-2</v>
      </c>
      <c r="W734">
        <f t="shared" si="108"/>
        <v>5.2166666666666632E-2</v>
      </c>
      <c r="X734">
        <f t="shared" si="109"/>
        <v>1</v>
      </c>
      <c r="Y734">
        <v>101.00181809999999</v>
      </c>
      <c r="Z734">
        <v>0</v>
      </c>
      <c r="AA734">
        <v>88250</v>
      </c>
      <c r="AB734">
        <v>31723</v>
      </c>
      <c r="AC734">
        <v>1.0795895999999999E-2</v>
      </c>
      <c r="AD734">
        <v>0.817760245</v>
      </c>
      <c r="AF734">
        <v>19.943076919999999</v>
      </c>
      <c r="AG734">
        <v>0.03</v>
      </c>
      <c r="AH734">
        <v>0.04</v>
      </c>
      <c r="AI734">
        <v>0.64</v>
      </c>
      <c r="AJ734">
        <v>2.3149999999999999</v>
      </c>
      <c r="AK734">
        <v>7.4439062500000004</v>
      </c>
      <c r="AL734">
        <v>0</v>
      </c>
      <c r="AM734">
        <v>0</v>
      </c>
      <c r="AN734">
        <v>1</v>
      </c>
    </row>
    <row r="735" spans="1:40">
      <c r="A735">
        <v>2803</v>
      </c>
      <c r="B735" t="s">
        <v>705</v>
      </c>
      <c r="C735" t="s">
        <v>696</v>
      </c>
      <c r="D735" t="s">
        <v>697</v>
      </c>
      <c r="E735">
        <v>202</v>
      </c>
      <c r="F735">
        <v>700</v>
      </c>
      <c r="G735">
        <v>56.919815550000003</v>
      </c>
      <c r="H735">
        <v>0</v>
      </c>
      <c r="I735">
        <v>8.8973503999999995E-2</v>
      </c>
      <c r="J735">
        <v>700</v>
      </c>
      <c r="K735">
        <v>7867.5107589999998</v>
      </c>
      <c r="L735">
        <v>0.82299999999999995</v>
      </c>
      <c r="M735">
        <v>0</v>
      </c>
      <c r="N735">
        <v>0</v>
      </c>
      <c r="O735" t="s">
        <v>620</v>
      </c>
      <c r="P735">
        <f t="shared" si="101"/>
        <v>10.676190480000001</v>
      </c>
      <c r="Q735">
        <f t="shared" si="102"/>
        <v>2.5000000000000001E-2</v>
      </c>
      <c r="R735">
        <f t="shared" si="103"/>
        <v>1.2999999999999999E-2</v>
      </c>
      <c r="S735">
        <f t="shared" si="104"/>
        <v>0.82299999999999995</v>
      </c>
      <c r="T735">
        <f t="shared" si="105"/>
        <v>2.7374999999999998</v>
      </c>
      <c r="U735">
        <f t="shared" si="106"/>
        <v>7.2207539680000004</v>
      </c>
      <c r="V735">
        <f t="shared" si="107"/>
        <v>5.2999999999999999E-2</v>
      </c>
      <c r="W735">
        <f t="shared" si="108"/>
        <v>0.107</v>
      </c>
      <c r="X735">
        <f t="shared" si="109"/>
        <v>0.84</v>
      </c>
      <c r="Y735">
        <v>108.00792079999999</v>
      </c>
      <c r="Z735">
        <v>0</v>
      </c>
      <c r="AA735">
        <v>152832</v>
      </c>
      <c r="AB735">
        <v>45686</v>
      </c>
      <c r="AC735">
        <v>2.1596295000000001E-2</v>
      </c>
      <c r="AD735">
        <v>0.84212384500000004</v>
      </c>
      <c r="AF735">
        <v>10.676190480000001</v>
      </c>
      <c r="AG735">
        <v>2.5000000000000001E-2</v>
      </c>
      <c r="AH735">
        <v>1.2999999999999999E-2</v>
      </c>
      <c r="AI735">
        <v>0.82299999999999995</v>
      </c>
      <c r="AJ735">
        <v>2.7374999999999998</v>
      </c>
      <c r="AK735">
        <v>7.2207539680000004</v>
      </c>
      <c r="AL735">
        <v>5.2999999999999999E-2</v>
      </c>
      <c r="AM735">
        <v>0.107</v>
      </c>
      <c r="AN735">
        <v>0.84</v>
      </c>
    </row>
    <row r="736" spans="1:40">
      <c r="A736">
        <v>2804</v>
      </c>
      <c r="B736" t="s">
        <v>683</v>
      </c>
      <c r="C736" t="s">
        <v>684</v>
      </c>
      <c r="D736" t="s">
        <v>685</v>
      </c>
      <c r="E736">
        <v>0</v>
      </c>
      <c r="F736">
        <v>385</v>
      </c>
      <c r="G736">
        <v>30.164597449999999</v>
      </c>
      <c r="H736">
        <v>109</v>
      </c>
      <c r="I736">
        <v>4.7147736000000003E-2</v>
      </c>
      <c r="J736">
        <v>494</v>
      </c>
      <c r="K736">
        <v>10477.703530000001</v>
      </c>
      <c r="L736">
        <v>0.89200000000000002</v>
      </c>
      <c r="M736" s="515">
        <v>1</v>
      </c>
      <c r="N736">
        <v>0</v>
      </c>
      <c r="O736" t="s">
        <v>620</v>
      </c>
      <c r="P736">
        <f t="shared" si="101"/>
        <v>14.18333333</v>
      </c>
      <c r="Q736">
        <f t="shared" si="102"/>
        <v>2.4425925925925924E-2</v>
      </c>
      <c r="R736">
        <f t="shared" si="103"/>
        <v>5.3999999999999999E-2</v>
      </c>
      <c r="S736">
        <f t="shared" si="104"/>
        <v>0.89200000000000002</v>
      </c>
      <c r="T736">
        <f t="shared" si="105"/>
        <v>1.7849999999999999</v>
      </c>
      <c r="U736">
        <f t="shared" si="106"/>
        <v>7.5657575760000002</v>
      </c>
      <c r="V736">
        <f t="shared" si="107"/>
        <v>3.4119999999999984E-2</v>
      </c>
      <c r="W736">
        <f t="shared" si="108"/>
        <v>7.91132075471698E-2</v>
      </c>
      <c r="X736">
        <f t="shared" si="109"/>
        <v>1</v>
      </c>
      <c r="Y736">
        <v>51.166792209999997</v>
      </c>
      <c r="Z736">
        <v>0</v>
      </c>
      <c r="AA736">
        <v>75370</v>
      </c>
      <c r="AB736">
        <v>21403</v>
      </c>
      <c r="AC736">
        <v>2.4597187E-2</v>
      </c>
      <c r="AD736">
        <v>0.84342094400000001</v>
      </c>
      <c r="AF736">
        <v>14.18333333</v>
      </c>
      <c r="AG736">
        <v>0</v>
      </c>
      <c r="AH736">
        <v>5.3999999999999999E-2</v>
      </c>
      <c r="AI736">
        <v>0.89200000000000002</v>
      </c>
      <c r="AJ736">
        <v>1.7849999999999999</v>
      </c>
      <c r="AK736">
        <v>7.5657575760000002</v>
      </c>
      <c r="AL736">
        <v>0</v>
      </c>
      <c r="AM736">
        <v>0</v>
      </c>
      <c r="AN736">
        <v>1</v>
      </c>
    </row>
    <row r="737" spans="1:40">
      <c r="A737">
        <v>2805</v>
      </c>
      <c r="B737" t="s">
        <v>683</v>
      </c>
      <c r="C737" t="s">
        <v>684</v>
      </c>
      <c r="D737" t="s">
        <v>685</v>
      </c>
      <c r="E737">
        <v>210</v>
      </c>
      <c r="F737">
        <v>664</v>
      </c>
      <c r="G737">
        <v>24.22750559</v>
      </c>
      <c r="H737">
        <v>3</v>
      </c>
      <c r="I737">
        <v>3.7868644E-2</v>
      </c>
      <c r="J737">
        <v>667</v>
      </c>
      <c r="K737">
        <v>17613.516869999999</v>
      </c>
      <c r="L737">
        <v>0.79100000000000004</v>
      </c>
      <c r="M737">
        <v>1.4084507E-2</v>
      </c>
      <c r="N737">
        <v>0</v>
      </c>
      <c r="O737" t="s">
        <v>620</v>
      </c>
      <c r="P737">
        <f t="shared" si="101"/>
        <v>13.59037736</v>
      </c>
      <c r="Q737">
        <f t="shared" si="102"/>
        <v>2.5999999999999999E-2</v>
      </c>
      <c r="R737">
        <f t="shared" si="103"/>
        <v>1.2999999999999999E-2</v>
      </c>
      <c r="S737">
        <f t="shared" si="104"/>
        <v>0.79100000000000004</v>
      </c>
      <c r="T737">
        <f t="shared" si="105"/>
        <v>2.0724999999999998</v>
      </c>
      <c r="U737">
        <f t="shared" si="106"/>
        <v>8.2108225109999999</v>
      </c>
      <c r="V737">
        <f t="shared" si="107"/>
        <v>3.3000000000000002E-2</v>
      </c>
      <c r="W737">
        <f t="shared" si="108"/>
        <v>0.05</v>
      </c>
      <c r="X737">
        <f t="shared" si="109"/>
        <v>0.88300000000000001</v>
      </c>
      <c r="Y737">
        <v>144.0121829</v>
      </c>
      <c r="Z737">
        <v>0</v>
      </c>
      <c r="AA737">
        <v>75370</v>
      </c>
      <c r="AB737">
        <v>21403</v>
      </c>
      <c r="AC737">
        <v>2.4597187E-2</v>
      </c>
      <c r="AD737">
        <v>0.84342094400000001</v>
      </c>
      <c r="AF737">
        <v>13.59037736</v>
      </c>
      <c r="AG737">
        <v>2.5999999999999999E-2</v>
      </c>
      <c r="AH737">
        <v>1.2999999999999999E-2</v>
      </c>
      <c r="AI737">
        <v>0.79100000000000004</v>
      </c>
      <c r="AJ737">
        <v>2.0724999999999998</v>
      </c>
      <c r="AK737">
        <v>8.2108225109999999</v>
      </c>
      <c r="AL737">
        <v>3.3000000000000002E-2</v>
      </c>
      <c r="AM737">
        <v>0.05</v>
      </c>
      <c r="AN737">
        <v>0.88300000000000001</v>
      </c>
    </row>
    <row r="738" spans="1:40">
      <c r="A738">
        <v>2806</v>
      </c>
      <c r="B738" t="s">
        <v>691</v>
      </c>
      <c r="C738" t="s">
        <v>684</v>
      </c>
      <c r="D738" t="s">
        <v>685</v>
      </c>
      <c r="E738">
        <v>0</v>
      </c>
      <c r="F738">
        <v>11</v>
      </c>
      <c r="G738">
        <v>17.481376269999998</v>
      </c>
      <c r="H738">
        <v>54</v>
      </c>
      <c r="I738">
        <v>2.7323586E-2</v>
      </c>
      <c r="J738">
        <v>65</v>
      </c>
      <c r="K738">
        <v>2378.8971179999999</v>
      </c>
      <c r="L738">
        <v>0.83699999999999997</v>
      </c>
      <c r="M738" s="515">
        <v>1</v>
      </c>
      <c r="N738">
        <v>0</v>
      </c>
      <c r="O738" t="s">
        <v>620</v>
      </c>
      <c r="P738">
        <f t="shared" si="101"/>
        <v>16.731999999999999</v>
      </c>
      <c r="Q738">
        <f t="shared" si="102"/>
        <v>0.02</v>
      </c>
      <c r="R738">
        <f t="shared" si="103"/>
        <v>1.8486033519553042E-2</v>
      </c>
      <c r="S738">
        <f t="shared" si="104"/>
        <v>0.83699999999999997</v>
      </c>
      <c r="T738">
        <f t="shared" si="105"/>
        <v>2.3004685426703912</v>
      </c>
      <c r="U738">
        <f t="shared" si="106"/>
        <v>7.7149999999999999</v>
      </c>
      <c r="V738">
        <f t="shared" si="107"/>
        <v>3.5151315789473656E-2</v>
      </c>
      <c r="W738">
        <f t="shared" si="108"/>
        <v>5.9146341463414652E-2</v>
      </c>
      <c r="X738">
        <f t="shared" si="109"/>
        <v>1</v>
      </c>
      <c r="Y738">
        <v>73.757409210000006</v>
      </c>
      <c r="Z738">
        <v>0</v>
      </c>
      <c r="AA738">
        <v>236250</v>
      </c>
      <c r="AB738">
        <v>76158</v>
      </c>
      <c r="AC738">
        <v>1.7652984E-2</v>
      </c>
      <c r="AD738">
        <v>0.84750225300000004</v>
      </c>
      <c r="AF738">
        <v>16.731999999999999</v>
      </c>
      <c r="AG738">
        <v>0.02</v>
      </c>
      <c r="AH738">
        <v>0</v>
      </c>
      <c r="AI738">
        <v>0.83699999999999997</v>
      </c>
      <c r="AK738">
        <v>7.7149999999999999</v>
      </c>
      <c r="AL738">
        <v>0</v>
      </c>
      <c r="AM738">
        <v>0</v>
      </c>
      <c r="AN738">
        <v>1</v>
      </c>
    </row>
    <row r="739" spans="1:40">
      <c r="A739">
        <v>2807</v>
      </c>
      <c r="B739" t="s">
        <v>683</v>
      </c>
      <c r="C739" t="s">
        <v>684</v>
      </c>
      <c r="D739" t="s">
        <v>685</v>
      </c>
      <c r="E739">
        <v>96</v>
      </c>
      <c r="F739">
        <v>365</v>
      </c>
      <c r="G739">
        <v>288.48897090000003</v>
      </c>
      <c r="H739">
        <v>0</v>
      </c>
      <c r="I739">
        <v>0.45092559799999998</v>
      </c>
      <c r="J739">
        <v>365</v>
      </c>
      <c r="K739">
        <v>809.44617389999996</v>
      </c>
      <c r="L739">
        <v>0.9</v>
      </c>
      <c r="M739">
        <v>0</v>
      </c>
      <c r="N739">
        <v>0</v>
      </c>
      <c r="O739" t="s">
        <v>620</v>
      </c>
      <c r="P739">
        <f t="shared" si="101"/>
        <v>15.85190476</v>
      </c>
      <c r="Q739">
        <f t="shared" si="102"/>
        <v>2.9000000000000001E-2</v>
      </c>
      <c r="R739">
        <f t="shared" si="103"/>
        <v>2.4E-2</v>
      </c>
      <c r="S739">
        <f t="shared" si="104"/>
        <v>0.9</v>
      </c>
      <c r="T739">
        <f t="shared" si="105"/>
        <v>4.0199999999999996</v>
      </c>
      <c r="U739">
        <f t="shared" si="106"/>
        <v>7.9766013070000001</v>
      </c>
      <c r="V739">
        <f t="shared" si="107"/>
        <v>0.13300000000000001</v>
      </c>
      <c r="W739">
        <f t="shared" si="108"/>
        <v>0.16700000000000001</v>
      </c>
      <c r="X739">
        <f t="shared" si="109"/>
        <v>0.7</v>
      </c>
      <c r="Y739">
        <v>59.780335170000001</v>
      </c>
      <c r="Z739">
        <v>0</v>
      </c>
      <c r="AA739">
        <v>75370</v>
      </c>
      <c r="AB739">
        <v>21403</v>
      </c>
      <c r="AC739">
        <v>2.4597187E-2</v>
      </c>
      <c r="AD739">
        <v>0.84342094400000001</v>
      </c>
      <c r="AF739">
        <v>15.85190476</v>
      </c>
      <c r="AG739">
        <v>2.9000000000000001E-2</v>
      </c>
      <c r="AH739">
        <v>2.4E-2</v>
      </c>
      <c r="AI739">
        <v>0.9</v>
      </c>
      <c r="AJ739">
        <v>4.0199999999999996</v>
      </c>
      <c r="AK739">
        <v>7.9766013070000001</v>
      </c>
      <c r="AL739">
        <v>0.13300000000000001</v>
      </c>
      <c r="AM739">
        <v>0.16700000000000001</v>
      </c>
      <c r="AN739">
        <v>0.7</v>
      </c>
    </row>
    <row r="740" spans="1:40">
      <c r="A740">
        <v>2808</v>
      </c>
      <c r="B740" t="s">
        <v>707</v>
      </c>
      <c r="C740" t="s">
        <v>693</v>
      </c>
      <c r="D740" t="s">
        <v>694</v>
      </c>
      <c r="E740">
        <v>4</v>
      </c>
      <c r="F740">
        <v>13</v>
      </c>
      <c r="G740">
        <v>3582.907099</v>
      </c>
      <c r="H740">
        <v>35</v>
      </c>
      <c r="I740" s="515">
        <v>5.6003672713691603</v>
      </c>
      <c r="J740">
        <v>48</v>
      </c>
      <c r="K740">
        <v>8.5708664579999994</v>
      </c>
      <c r="L740" s="515">
        <v>1</v>
      </c>
      <c r="M740">
        <v>0.89743589700000004</v>
      </c>
      <c r="N740">
        <v>0</v>
      </c>
      <c r="O740" t="s">
        <v>625</v>
      </c>
      <c r="P740">
        <f t="shared" si="101"/>
        <v>28.065000000000001</v>
      </c>
      <c r="Q740">
        <f t="shared" si="102"/>
        <v>2.0450000000000006E-2</v>
      </c>
      <c r="R740">
        <f t="shared" si="103"/>
        <v>7.2846153846153852E-2</v>
      </c>
      <c r="S740">
        <f t="shared" si="104"/>
        <v>1</v>
      </c>
      <c r="T740">
        <f t="shared" si="105"/>
        <v>2.2191326312692303</v>
      </c>
      <c r="U740">
        <f t="shared" si="106"/>
        <v>16.460999999999999</v>
      </c>
      <c r="V740">
        <f t="shared" si="107"/>
        <v>0.11835714285714286</v>
      </c>
      <c r="W740">
        <f t="shared" si="108"/>
        <v>8.5526315789473686E-2</v>
      </c>
      <c r="X740">
        <f t="shared" si="109"/>
        <v>1</v>
      </c>
      <c r="Y740">
        <v>1.622823291</v>
      </c>
      <c r="Z740">
        <v>0</v>
      </c>
      <c r="AA740">
        <v>21149</v>
      </c>
      <c r="AB740">
        <v>6968</v>
      </c>
      <c r="AC740">
        <v>1.6645858999999999E-2</v>
      </c>
      <c r="AD740">
        <v>0.89069218999999999</v>
      </c>
      <c r="AF740">
        <v>28.065000000000001</v>
      </c>
      <c r="AG740">
        <v>0</v>
      </c>
      <c r="AH740">
        <v>0</v>
      </c>
      <c r="AI740">
        <v>1</v>
      </c>
      <c r="AK740">
        <v>16.460999999999999</v>
      </c>
      <c r="AL740">
        <v>0</v>
      </c>
      <c r="AM740">
        <v>0</v>
      </c>
      <c r="AN740">
        <v>1</v>
      </c>
    </row>
    <row r="741" spans="1:40">
      <c r="A741">
        <v>2809</v>
      </c>
      <c r="B741" t="s">
        <v>691</v>
      </c>
      <c r="C741" t="s">
        <v>684</v>
      </c>
      <c r="D741" t="s">
        <v>685</v>
      </c>
      <c r="E741">
        <v>392</v>
      </c>
      <c r="F741">
        <v>1137</v>
      </c>
      <c r="G741">
        <v>65.802945019999996</v>
      </c>
      <c r="H741">
        <v>20</v>
      </c>
      <c r="I741">
        <v>0.10286339</v>
      </c>
      <c r="J741">
        <v>1157</v>
      </c>
      <c r="K741">
        <v>11247.927960000001</v>
      </c>
      <c r="L741">
        <v>0.84499999999999997</v>
      </c>
      <c r="M741">
        <v>4.8543689000000001E-2</v>
      </c>
      <c r="N741">
        <v>0</v>
      </c>
      <c r="O741" t="s">
        <v>620</v>
      </c>
      <c r="P741">
        <f t="shared" si="101"/>
        <v>14.59821429</v>
      </c>
      <c r="Q741">
        <f t="shared" si="102"/>
        <v>2.1999999999999999E-2</v>
      </c>
      <c r="R741">
        <f t="shared" si="103"/>
        <v>8.0000000000000002E-3</v>
      </c>
      <c r="S741">
        <f t="shared" si="104"/>
        <v>0.84499999999999997</v>
      </c>
      <c r="T741">
        <f t="shared" si="105"/>
        <v>2.88</v>
      </c>
      <c r="U741">
        <f t="shared" si="106"/>
        <v>7.0747894740000001</v>
      </c>
      <c r="V741">
        <f t="shared" si="107"/>
        <v>3.5151315789473656E-2</v>
      </c>
      <c r="W741">
        <f t="shared" si="108"/>
        <v>0.111</v>
      </c>
      <c r="X741">
        <f t="shared" si="109"/>
        <v>0.84799999999999998</v>
      </c>
      <c r="Y741">
        <v>127.75896760000001</v>
      </c>
      <c r="Z741">
        <v>0</v>
      </c>
      <c r="AA741">
        <v>236250</v>
      </c>
      <c r="AB741">
        <v>76158</v>
      </c>
      <c r="AC741">
        <v>1.7652984E-2</v>
      </c>
      <c r="AD741">
        <v>0.84750225300000004</v>
      </c>
      <c r="AF741">
        <v>14.59821429</v>
      </c>
      <c r="AG741">
        <v>2.1999999999999999E-2</v>
      </c>
      <c r="AH741">
        <v>8.0000000000000002E-3</v>
      </c>
      <c r="AI741">
        <v>0.84499999999999997</v>
      </c>
      <c r="AJ741">
        <v>2.88</v>
      </c>
      <c r="AK741">
        <v>7.0747894740000001</v>
      </c>
      <c r="AL741">
        <v>0</v>
      </c>
      <c r="AM741">
        <v>0.111</v>
      </c>
      <c r="AN741">
        <v>0.84799999999999998</v>
      </c>
    </row>
    <row r="742" spans="1:40">
      <c r="A742">
        <v>2810</v>
      </c>
      <c r="B742" t="s">
        <v>691</v>
      </c>
      <c r="C742" t="s">
        <v>684</v>
      </c>
      <c r="D742" t="s">
        <v>685</v>
      </c>
      <c r="E742">
        <v>69</v>
      </c>
      <c r="F742">
        <v>200</v>
      </c>
      <c r="G742">
        <v>50.027250670000001</v>
      </c>
      <c r="H742">
        <v>399</v>
      </c>
      <c r="I742">
        <v>7.8192930999999993E-2</v>
      </c>
      <c r="J742">
        <v>599</v>
      </c>
      <c r="K742">
        <v>7660.539033</v>
      </c>
      <c r="L742">
        <v>0.89200000000000002</v>
      </c>
      <c r="M742">
        <v>0.85256410299999996</v>
      </c>
      <c r="N742">
        <v>0</v>
      </c>
      <c r="O742" t="s">
        <v>620</v>
      </c>
      <c r="P742">
        <f t="shared" si="101"/>
        <v>13.73578947</v>
      </c>
      <c r="Q742">
        <f t="shared" si="102"/>
        <v>1.0999999999999999E-2</v>
      </c>
      <c r="R742">
        <f t="shared" si="103"/>
        <v>2.3E-2</v>
      </c>
      <c r="S742">
        <f t="shared" si="104"/>
        <v>0.89200000000000002</v>
      </c>
      <c r="T742">
        <f t="shared" si="105"/>
        <v>2.948</v>
      </c>
      <c r="U742">
        <f t="shared" si="106"/>
        <v>7.8299492390000003</v>
      </c>
      <c r="V742">
        <f t="shared" si="107"/>
        <v>4.4999999999999998E-2</v>
      </c>
      <c r="W742">
        <f t="shared" si="108"/>
        <v>5.6000000000000001E-2</v>
      </c>
      <c r="X742">
        <f t="shared" si="109"/>
        <v>0.85399999999999998</v>
      </c>
      <c r="Y742">
        <v>139.3550012</v>
      </c>
      <c r="Z742">
        <v>0</v>
      </c>
      <c r="AA742">
        <v>236250</v>
      </c>
      <c r="AB742">
        <v>76158</v>
      </c>
      <c r="AC742">
        <v>1.7652984E-2</v>
      </c>
      <c r="AD742">
        <v>0.84750225300000004</v>
      </c>
      <c r="AF742">
        <v>13.73578947</v>
      </c>
      <c r="AG742">
        <v>1.0999999999999999E-2</v>
      </c>
      <c r="AH742">
        <v>2.3E-2</v>
      </c>
      <c r="AI742">
        <v>0.89200000000000002</v>
      </c>
      <c r="AJ742">
        <v>2.948</v>
      </c>
      <c r="AK742">
        <v>7.8299492390000003</v>
      </c>
      <c r="AL742">
        <v>4.4999999999999998E-2</v>
      </c>
      <c r="AM742">
        <v>5.6000000000000001E-2</v>
      </c>
      <c r="AN742">
        <v>0.85399999999999998</v>
      </c>
    </row>
    <row r="743" spans="1:40">
      <c r="A743">
        <v>2811</v>
      </c>
      <c r="B743" t="s">
        <v>691</v>
      </c>
      <c r="C743" t="s">
        <v>684</v>
      </c>
      <c r="D743" t="s">
        <v>685</v>
      </c>
      <c r="E743">
        <v>41</v>
      </c>
      <c r="F743">
        <v>112</v>
      </c>
      <c r="G743">
        <v>69.188831100000002</v>
      </c>
      <c r="H743">
        <v>868</v>
      </c>
      <c r="I743">
        <v>0.108149829</v>
      </c>
      <c r="J743">
        <v>980</v>
      </c>
      <c r="K743">
        <v>9061.5030009999991</v>
      </c>
      <c r="L743">
        <v>0.875</v>
      </c>
      <c r="M743">
        <v>0.95489548999999996</v>
      </c>
      <c r="N743">
        <v>1</v>
      </c>
      <c r="O743" t="s">
        <v>620</v>
      </c>
      <c r="P743">
        <f t="shared" si="101"/>
        <v>16.74973451</v>
      </c>
      <c r="Q743">
        <f t="shared" si="102"/>
        <v>5.7000000000000002E-2</v>
      </c>
      <c r="R743">
        <f t="shared" si="103"/>
        <v>1.2E-2</v>
      </c>
      <c r="S743">
        <f t="shared" si="104"/>
        <v>0.875</v>
      </c>
      <c r="T743">
        <f t="shared" si="105"/>
        <v>2.2687499999999998</v>
      </c>
      <c r="U743">
        <f t="shared" si="106"/>
        <v>9.8702346569999992</v>
      </c>
      <c r="V743">
        <f t="shared" si="107"/>
        <v>3.7999999999999999E-2</v>
      </c>
      <c r="W743">
        <f t="shared" si="108"/>
        <v>0.19900000000000001</v>
      </c>
      <c r="X743">
        <f t="shared" si="109"/>
        <v>0.72399999999999998</v>
      </c>
      <c r="Y743">
        <v>13.24273646</v>
      </c>
      <c r="Z743">
        <v>0</v>
      </c>
      <c r="AA743">
        <v>236250</v>
      </c>
      <c r="AB743">
        <v>76158</v>
      </c>
      <c r="AC743">
        <v>1.7652984E-2</v>
      </c>
      <c r="AD743">
        <v>0.84750225300000004</v>
      </c>
      <c r="AF743">
        <v>16.74973451</v>
      </c>
      <c r="AG743">
        <v>5.7000000000000002E-2</v>
      </c>
      <c r="AH743">
        <v>1.2E-2</v>
      </c>
      <c r="AI743">
        <v>0.875</v>
      </c>
      <c r="AJ743">
        <v>2.2687499999999998</v>
      </c>
      <c r="AK743">
        <v>9.8702346569999992</v>
      </c>
      <c r="AL743">
        <v>3.7999999999999999E-2</v>
      </c>
      <c r="AM743">
        <v>0.19900000000000001</v>
      </c>
      <c r="AN743">
        <v>0.72399999999999998</v>
      </c>
    </row>
    <row r="744" spans="1:40">
      <c r="A744">
        <v>2812</v>
      </c>
      <c r="B744" t="s">
        <v>691</v>
      </c>
      <c r="C744" t="s">
        <v>684</v>
      </c>
      <c r="D744" t="s">
        <v>685</v>
      </c>
      <c r="E744">
        <v>94</v>
      </c>
      <c r="F744">
        <v>299</v>
      </c>
      <c r="G744">
        <v>22.814573750000001</v>
      </c>
      <c r="H744">
        <v>292</v>
      </c>
      <c r="I744">
        <v>3.5661988999999998E-2</v>
      </c>
      <c r="J744">
        <v>591</v>
      </c>
      <c r="K744">
        <v>16572.266899999999</v>
      </c>
      <c r="L744">
        <v>0.81100000000000005</v>
      </c>
      <c r="M744">
        <v>0.75647668400000001</v>
      </c>
      <c r="N744">
        <v>0</v>
      </c>
      <c r="O744" t="s">
        <v>620</v>
      </c>
      <c r="P744">
        <f t="shared" si="101"/>
        <v>11.80115385</v>
      </c>
      <c r="Q744">
        <f t="shared" si="102"/>
        <v>1.0999999999999999E-2</v>
      </c>
      <c r="R744">
        <f t="shared" si="103"/>
        <v>2.5000000000000001E-2</v>
      </c>
      <c r="S744">
        <f t="shared" si="104"/>
        <v>0.81100000000000005</v>
      </c>
      <c r="T744">
        <f t="shared" si="105"/>
        <v>1.5707142860000001</v>
      </c>
      <c r="U744">
        <f t="shared" si="106"/>
        <v>7.2901818179999998</v>
      </c>
      <c r="V744">
        <f t="shared" si="107"/>
        <v>4.4999999999999998E-2</v>
      </c>
      <c r="W744">
        <f t="shared" si="108"/>
        <v>4.4999999999999998E-2</v>
      </c>
      <c r="X744">
        <f t="shared" si="109"/>
        <v>0.876</v>
      </c>
      <c r="Y744">
        <v>201.5511018</v>
      </c>
      <c r="Z744">
        <v>0</v>
      </c>
      <c r="AA744">
        <v>236250</v>
      </c>
      <c r="AB744">
        <v>76158</v>
      </c>
      <c r="AC744">
        <v>1.7652984E-2</v>
      </c>
      <c r="AD744">
        <v>0.84750225300000004</v>
      </c>
      <c r="AF744">
        <v>11.80115385</v>
      </c>
      <c r="AG744">
        <v>1.0999999999999999E-2</v>
      </c>
      <c r="AH744">
        <v>2.5000000000000001E-2</v>
      </c>
      <c r="AI744">
        <v>0.81100000000000005</v>
      </c>
      <c r="AJ744">
        <v>1.5707142860000001</v>
      </c>
      <c r="AK744">
        <v>7.2901818179999998</v>
      </c>
      <c r="AL744">
        <v>4.4999999999999998E-2</v>
      </c>
      <c r="AM744">
        <v>4.4999999999999998E-2</v>
      </c>
      <c r="AN744">
        <v>0.876</v>
      </c>
    </row>
    <row r="745" spans="1:40">
      <c r="A745">
        <v>2813</v>
      </c>
      <c r="B745" t="s">
        <v>691</v>
      </c>
      <c r="C745" t="s">
        <v>684</v>
      </c>
      <c r="D745" t="s">
        <v>685</v>
      </c>
      <c r="E745">
        <v>72</v>
      </c>
      <c r="F745">
        <v>153</v>
      </c>
      <c r="G745">
        <v>81.559025289999994</v>
      </c>
      <c r="H745">
        <v>841</v>
      </c>
      <c r="I745">
        <v>0.12747947700000001</v>
      </c>
      <c r="J745">
        <v>994</v>
      </c>
      <c r="K745">
        <v>7797.3335269999998</v>
      </c>
      <c r="L745">
        <v>0.90300000000000002</v>
      </c>
      <c r="M745">
        <v>0.92113910200000004</v>
      </c>
      <c r="N745">
        <v>0</v>
      </c>
      <c r="O745" t="s">
        <v>620</v>
      </c>
      <c r="P745">
        <f t="shared" si="101"/>
        <v>17.977288139999999</v>
      </c>
      <c r="Q745">
        <f t="shared" si="102"/>
        <v>0.01</v>
      </c>
      <c r="R745">
        <f t="shared" si="103"/>
        <v>1.2999999999999999E-2</v>
      </c>
      <c r="S745">
        <f t="shared" si="104"/>
        <v>0.90300000000000002</v>
      </c>
      <c r="T745">
        <f t="shared" si="105"/>
        <v>1.910833333</v>
      </c>
      <c r="U745">
        <f t="shared" si="106"/>
        <v>8.393121099</v>
      </c>
      <c r="V745">
        <f t="shared" si="107"/>
        <v>3.5151315789473656E-2</v>
      </c>
      <c r="W745">
        <f t="shared" si="108"/>
        <v>0.04</v>
      </c>
      <c r="X745">
        <f t="shared" si="109"/>
        <v>0.95199999999999996</v>
      </c>
      <c r="Y745">
        <v>41.2650826</v>
      </c>
      <c r="Z745">
        <v>0</v>
      </c>
      <c r="AA745">
        <v>236250</v>
      </c>
      <c r="AB745">
        <v>76158</v>
      </c>
      <c r="AC745">
        <v>1.7652984E-2</v>
      </c>
      <c r="AD745">
        <v>0.84750225300000004</v>
      </c>
      <c r="AF745">
        <v>17.977288139999999</v>
      </c>
      <c r="AG745">
        <v>0.01</v>
      </c>
      <c r="AH745">
        <v>1.2999999999999999E-2</v>
      </c>
      <c r="AI745">
        <v>0.90300000000000002</v>
      </c>
      <c r="AJ745">
        <v>1.910833333</v>
      </c>
      <c r="AK745">
        <v>8.393121099</v>
      </c>
      <c r="AL745">
        <v>0</v>
      </c>
      <c r="AM745">
        <v>0.04</v>
      </c>
      <c r="AN745">
        <v>0.95199999999999996</v>
      </c>
    </row>
    <row r="746" spans="1:40">
      <c r="A746">
        <v>2814</v>
      </c>
      <c r="B746" t="s">
        <v>691</v>
      </c>
      <c r="C746" t="s">
        <v>684</v>
      </c>
      <c r="D746" t="s">
        <v>685</v>
      </c>
      <c r="E746">
        <v>9</v>
      </c>
      <c r="F746">
        <v>32</v>
      </c>
      <c r="G746">
        <v>22.33772587</v>
      </c>
      <c r="H746">
        <v>12</v>
      </c>
      <c r="I746">
        <v>3.4911530000000003E-2</v>
      </c>
      <c r="J746">
        <v>44</v>
      </c>
      <c r="K746">
        <v>1260.328608</v>
      </c>
      <c r="L746">
        <v>0.82099999999999995</v>
      </c>
      <c r="M746">
        <v>0.571428571</v>
      </c>
      <c r="N746">
        <v>0</v>
      </c>
      <c r="O746" t="s">
        <v>620</v>
      </c>
      <c r="P746">
        <f t="shared" si="101"/>
        <v>14.85</v>
      </c>
      <c r="Q746">
        <f t="shared" si="102"/>
        <v>1.8070175438596476E-2</v>
      </c>
      <c r="R746">
        <f t="shared" si="103"/>
        <v>7.0999999999999994E-2</v>
      </c>
      <c r="S746">
        <f t="shared" si="104"/>
        <v>0.82099999999999995</v>
      </c>
      <c r="T746">
        <f t="shared" si="105"/>
        <v>2.395</v>
      </c>
      <c r="U746">
        <f t="shared" si="106"/>
        <v>12.942608699999999</v>
      </c>
      <c r="V746">
        <f t="shared" si="107"/>
        <v>0.5</v>
      </c>
      <c r="W746">
        <f t="shared" si="108"/>
        <v>5.9146341463414652E-2</v>
      </c>
      <c r="X746">
        <f t="shared" si="109"/>
        <v>0.5</v>
      </c>
      <c r="Y746">
        <v>166.2976774</v>
      </c>
      <c r="Z746">
        <v>0</v>
      </c>
      <c r="AA746">
        <v>236250</v>
      </c>
      <c r="AB746">
        <v>76158</v>
      </c>
      <c r="AC746">
        <v>1.7652984E-2</v>
      </c>
      <c r="AD746">
        <v>0.84750225300000004</v>
      </c>
      <c r="AF746">
        <v>14.85</v>
      </c>
      <c r="AG746">
        <v>0</v>
      </c>
      <c r="AH746">
        <v>7.0999999999999994E-2</v>
      </c>
      <c r="AI746">
        <v>0.82099999999999995</v>
      </c>
      <c r="AJ746">
        <v>2.395</v>
      </c>
      <c r="AK746">
        <v>12.942608699999999</v>
      </c>
      <c r="AL746">
        <v>0.5</v>
      </c>
      <c r="AM746">
        <v>0</v>
      </c>
      <c r="AN746">
        <v>0.5</v>
      </c>
    </row>
    <row r="747" spans="1:40">
      <c r="A747">
        <v>2815</v>
      </c>
      <c r="B747" t="s">
        <v>691</v>
      </c>
      <c r="C747" t="s">
        <v>684</v>
      </c>
      <c r="D747" t="s">
        <v>685</v>
      </c>
      <c r="E747">
        <v>13</v>
      </c>
      <c r="F747">
        <v>43</v>
      </c>
      <c r="G747">
        <v>12.349354699999999</v>
      </c>
      <c r="H747">
        <v>10</v>
      </c>
      <c r="I747">
        <v>1.9302336999999999E-2</v>
      </c>
      <c r="J747">
        <v>53</v>
      </c>
      <c r="K747">
        <v>2745.781508</v>
      </c>
      <c r="L747">
        <v>0.94199999999999995</v>
      </c>
      <c r="M747">
        <v>0.43478260899999999</v>
      </c>
      <c r="N747">
        <v>0</v>
      </c>
      <c r="O747" t="s">
        <v>620</v>
      </c>
      <c r="P747">
        <f t="shared" si="101"/>
        <v>17.760000000000002</v>
      </c>
      <c r="Q747">
        <f t="shared" si="102"/>
        <v>1.8070175438596476E-2</v>
      </c>
      <c r="R747">
        <f t="shared" si="103"/>
        <v>1.8486033519553042E-2</v>
      </c>
      <c r="S747">
        <f t="shared" si="104"/>
        <v>0.94199999999999995</v>
      </c>
      <c r="T747">
        <f t="shared" si="105"/>
        <v>2.3004685426703912</v>
      </c>
      <c r="U747">
        <f t="shared" si="106"/>
        <v>5.1634482759999996</v>
      </c>
      <c r="V747">
        <f t="shared" si="107"/>
        <v>3.5151315789473656E-2</v>
      </c>
      <c r="W747">
        <f t="shared" si="108"/>
        <v>5.9146341463414652E-2</v>
      </c>
      <c r="X747">
        <f t="shared" si="109"/>
        <v>1</v>
      </c>
      <c r="Y747">
        <v>75.784262780000006</v>
      </c>
      <c r="Z747">
        <v>0</v>
      </c>
      <c r="AA747">
        <v>236250</v>
      </c>
      <c r="AB747">
        <v>76158</v>
      </c>
      <c r="AC747">
        <v>1.7652984E-2</v>
      </c>
      <c r="AD747">
        <v>0.84750225300000004</v>
      </c>
      <c r="AF747">
        <v>17.760000000000002</v>
      </c>
      <c r="AG747">
        <v>0</v>
      </c>
      <c r="AH747">
        <v>0</v>
      </c>
      <c r="AI747">
        <v>0.94199999999999995</v>
      </c>
      <c r="AK747">
        <v>5.1634482759999996</v>
      </c>
      <c r="AL747">
        <v>0</v>
      </c>
      <c r="AM747">
        <v>0</v>
      </c>
      <c r="AN747">
        <v>1</v>
      </c>
    </row>
    <row r="748" spans="1:40">
      <c r="A748">
        <v>2816</v>
      </c>
      <c r="B748" t="s">
        <v>691</v>
      </c>
      <c r="C748" t="s">
        <v>684</v>
      </c>
      <c r="D748" t="s">
        <v>685</v>
      </c>
      <c r="E748">
        <v>244</v>
      </c>
      <c r="F748">
        <v>757</v>
      </c>
      <c r="G748">
        <v>36.315284570000003</v>
      </c>
      <c r="H748">
        <v>1082</v>
      </c>
      <c r="I748">
        <v>5.6758247999999997E-2</v>
      </c>
      <c r="J748">
        <v>1839</v>
      </c>
      <c r="K748">
        <v>32400.577270000002</v>
      </c>
      <c r="L748">
        <v>0.88600000000000001</v>
      </c>
      <c r="M748">
        <v>0.81598793400000003</v>
      </c>
      <c r="N748">
        <v>0</v>
      </c>
      <c r="O748" t="s">
        <v>620</v>
      </c>
      <c r="P748">
        <f t="shared" si="101"/>
        <v>14.86353488</v>
      </c>
      <c r="Q748">
        <f t="shared" si="102"/>
        <v>1.6E-2</v>
      </c>
      <c r="R748">
        <f t="shared" si="103"/>
        <v>2.5000000000000001E-2</v>
      </c>
      <c r="S748">
        <f t="shared" si="104"/>
        <v>0.88600000000000001</v>
      </c>
      <c r="T748">
        <f t="shared" si="105"/>
        <v>1.9873076919999999</v>
      </c>
      <c r="U748">
        <f t="shared" si="106"/>
        <v>9.4042745540000006</v>
      </c>
      <c r="V748">
        <f t="shared" si="107"/>
        <v>6.4000000000000001E-2</v>
      </c>
      <c r="W748">
        <f t="shared" si="108"/>
        <v>4.8000000000000001E-2</v>
      </c>
      <c r="X748">
        <f t="shared" si="109"/>
        <v>0.86299999999999999</v>
      </c>
      <c r="Y748">
        <v>14.10668059</v>
      </c>
      <c r="Z748">
        <v>0</v>
      </c>
      <c r="AA748">
        <v>236250</v>
      </c>
      <c r="AB748">
        <v>76158</v>
      </c>
      <c r="AC748">
        <v>1.7652984E-2</v>
      </c>
      <c r="AD748">
        <v>0.84750225300000004</v>
      </c>
      <c r="AF748">
        <v>14.86353488</v>
      </c>
      <c r="AG748">
        <v>1.6E-2</v>
      </c>
      <c r="AH748">
        <v>2.5000000000000001E-2</v>
      </c>
      <c r="AI748">
        <v>0.88600000000000001</v>
      </c>
      <c r="AJ748">
        <v>1.9873076919999999</v>
      </c>
      <c r="AK748">
        <v>9.4042745540000006</v>
      </c>
      <c r="AL748">
        <v>6.4000000000000001E-2</v>
      </c>
      <c r="AM748">
        <v>4.8000000000000001E-2</v>
      </c>
      <c r="AN748">
        <v>0.86299999999999999</v>
      </c>
    </row>
    <row r="749" spans="1:40">
      <c r="A749">
        <v>2817</v>
      </c>
      <c r="B749" t="s">
        <v>691</v>
      </c>
      <c r="C749" t="s">
        <v>684</v>
      </c>
      <c r="D749" t="s">
        <v>685</v>
      </c>
      <c r="E749">
        <v>16</v>
      </c>
      <c r="F749">
        <v>51</v>
      </c>
      <c r="G749">
        <v>28.01807767</v>
      </c>
      <c r="H749">
        <v>211</v>
      </c>
      <c r="I749">
        <v>4.3796594000000001E-2</v>
      </c>
      <c r="J749">
        <v>262</v>
      </c>
      <c r="K749">
        <v>5982.2003510000004</v>
      </c>
      <c r="L749">
        <v>0.94</v>
      </c>
      <c r="M749">
        <v>0.92951541900000001</v>
      </c>
      <c r="N749">
        <v>0</v>
      </c>
      <c r="O749" t="s">
        <v>620</v>
      </c>
      <c r="P749">
        <f t="shared" si="101"/>
        <v>15.68607143</v>
      </c>
      <c r="Q749">
        <f t="shared" si="102"/>
        <v>0.03</v>
      </c>
      <c r="R749">
        <f t="shared" si="103"/>
        <v>1.2E-2</v>
      </c>
      <c r="S749">
        <f t="shared" si="104"/>
        <v>0.94</v>
      </c>
      <c r="T749">
        <f t="shared" si="105"/>
        <v>6.415</v>
      </c>
      <c r="U749">
        <f t="shared" si="106"/>
        <v>10.550933329999999</v>
      </c>
      <c r="V749">
        <f t="shared" si="107"/>
        <v>3.2000000000000001E-2</v>
      </c>
      <c r="W749">
        <f t="shared" si="108"/>
        <v>7.9000000000000001E-2</v>
      </c>
      <c r="X749">
        <f t="shared" si="109"/>
        <v>0.88900000000000001</v>
      </c>
      <c r="Y749">
        <v>13.401865689999999</v>
      </c>
      <c r="Z749">
        <v>0</v>
      </c>
      <c r="AA749">
        <v>236250</v>
      </c>
      <c r="AB749">
        <v>76158</v>
      </c>
      <c r="AC749">
        <v>1.7652984E-2</v>
      </c>
      <c r="AD749">
        <v>0.84750225300000004</v>
      </c>
      <c r="AF749">
        <v>15.68607143</v>
      </c>
      <c r="AG749">
        <v>0.03</v>
      </c>
      <c r="AH749">
        <v>1.2E-2</v>
      </c>
      <c r="AI749">
        <v>0.94</v>
      </c>
      <c r="AJ749">
        <v>6.415</v>
      </c>
      <c r="AK749">
        <v>10.550933329999999</v>
      </c>
      <c r="AL749">
        <v>3.2000000000000001E-2</v>
      </c>
      <c r="AM749">
        <v>7.9000000000000001E-2</v>
      </c>
      <c r="AN749">
        <v>0.88900000000000001</v>
      </c>
    </row>
    <row r="750" spans="1:40">
      <c r="A750">
        <v>2818</v>
      </c>
      <c r="B750" t="s">
        <v>686</v>
      </c>
      <c r="C750" t="s">
        <v>687</v>
      </c>
      <c r="D750" t="s">
        <v>688</v>
      </c>
      <c r="E750">
        <v>394</v>
      </c>
      <c r="F750">
        <v>844</v>
      </c>
      <c r="G750">
        <v>40.257046299999999</v>
      </c>
      <c r="H750">
        <v>284</v>
      </c>
      <c r="I750">
        <v>6.2929141999999993E-2</v>
      </c>
      <c r="J750">
        <v>1128</v>
      </c>
      <c r="K750">
        <v>17924.922610000001</v>
      </c>
      <c r="L750">
        <v>0.63700000000000001</v>
      </c>
      <c r="M750">
        <v>0.41887905600000003</v>
      </c>
      <c r="N750">
        <v>0</v>
      </c>
      <c r="O750" t="s">
        <v>613</v>
      </c>
      <c r="P750">
        <f t="shared" si="101"/>
        <v>11.00415842</v>
      </c>
      <c r="Q750">
        <f t="shared" si="102"/>
        <v>5.1999999999999998E-2</v>
      </c>
      <c r="R750">
        <f t="shared" si="103"/>
        <v>0.04</v>
      </c>
      <c r="S750">
        <f t="shared" si="104"/>
        <v>0.63700000000000001</v>
      </c>
      <c r="T750">
        <f t="shared" si="105"/>
        <v>1.970769231</v>
      </c>
      <c r="U750">
        <f t="shared" si="106"/>
        <v>6.0773743920000003</v>
      </c>
      <c r="V750">
        <f t="shared" si="107"/>
        <v>0.13800000000000001</v>
      </c>
      <c r="W750">
        <f t="shared" si="108"/>
        <v>0.14399999999999999</v>
      </c>
      <c r="X750">
        <f t="shared" si="109"/>
        <v>0.60499999999999998</v>
      </c>
      <c r="Y750">
        <v>376.11556919999998</v>
      </c>
      <c r="Z750">
        <v>1</v>
      </c>
      <c r="AA750">
        <v>140316</v>
      </c>
      <c r="AB750">
        <v>49638</v>
      </c>
      <c r="AC750">
        <v>9.1283894000000004E-2</v>
      </c>
      <c r="AD750">
        <v>0.60339869999999995</v>
      </c>
      <c r="AF750">
        <v>11.00415842</v>
      </c>
      <c r="AG750">
        <v>5.1999999999999998E-2</v>
      </c>
      <c r="AH750">
        <v>0.04</v>
      </c>
      <c r="AI750">
        <v>0.63700000000000001</v>
      </c>
      <c r="AJ750">
        <v>1.970769231</v>
      </c>
      <c r="AK750">
        <v>6.0773743920000003</v>
      </c>
      <c r="AL750">
        <v>0.13800000000000001</v>
      </c>
      <c r="AM750">
        <v>0.14399999999999999</v>
      </c>
      <c r="AN750">
        <v>0.60499999999999998</v>
      </c>
    </row>
    <row r="751" spans="1:40">
      <c r="A751">
        <v>2819</v>
      </c>
      <c r="B751" t="s">
        <v>686</v>
      </c>
      <c r="C751" t="s">
        <v>687</v>
      </c>
      <c r="D751" t="s">
        <v>688</v>
      </c>
      <c r="E751">
        <v>155</v>
      </c>
      <c r="F751">
        <v>500</v>
      </c>
      <c r="G751">
        <v>35.200226370000003</v>
      </c>
      <c r="H751">
        <v>3151</v>
      </c>
      <c r="I751">
        <v>5.5026772000000002E-2</v>
      </c>
      <c r="J751">
        <v>3651</v>
      </c>
      <c r="K751">
        <v>66349.521649999995</v>
      </c>
      <c r="L751">
        <v>0.58899999999999997</v>
      </c>
      <c r="M751">
        <v>0.95311554700000001</v>
      </c>
      <c r="N751">
        <v>1</v>
      </c>
      <c r="O751" t="s">
        <v>606</v>
      </c>
      <c r="P751">
        <f t="shared" si="101"/>
        <v>14.212408959999999</v>
      </c>
      <c r="Q751">
        <f t="shared" si="102"/>
        <v>0.109</v>
      </c>
      <c r="R751">
        <f t="shared" si="103"/>
        <v>3.7999999999999999E-2</v>
      </c>
      <c r="S751">
        <f t="shared" si="104"/>
        <v>0.58899999999999997</v>
      </c>
      <c r="T751">
        <f t="shared" si="105"/>
        <v>1.8433974360000001</v>
      </c>
      <c r="U751">
        <f t="shared" si="106"/>
        <v>6.8904419890000002</v>
      </c>
      <c r="V751">
        <f t="shared" si="107"/>
        <v>0.08</v>
      </c>
      <c r="W751">
        <f t="shared" si="108"/>
        <v>0.254</v>
      </c>
      <c r="X751">
        <f t="shared" si="109"/>
        <v>0.52700000000000002</v>
      </c>
      <c r="Y751">
        <v>385.18820520000003</v>
      </c>
      <c r="Z751">
        <v>1</v>
      </c>
      <c r="AA751">
        <v>140316</v>
      </c>
      <c r="AB751">
        <v>49638</v>
      </c>
      <c r="AC751">
        <v>9.1283894000000004E-2</v>
      </c>
      <c r="AD751">
        <v>0.60339869999999995</v>
      </c>
      <c r="AF751">
        <v>14.212408959999999</v>
      </c>
      <c r="AG751">
        <v>0.109</v>
      </c>
      <c r="AH751">
        <v>3.7999999999999999E-2</v>
      </c>
      <c r="AI751">
        <v>0.58899999999999997</v>
      </c>
      <c r="AJ751">
        <v>1.8433974360000001</v>
      </c>
      <c r="AK751">
        <v>6.8904419890000002</v>
      </c>
      <c r="AL751">
        <v>0.08</v>
      </c>
      <c r="AM751">
        <v>0.254</v>
      </c>
      <c r="AN751">
        <v>0.52700000000000002</v>
      </c>
    </row>
    <row r="752" spans="1:40">
      <c r="A752">
        <v>2820</v>
      </c>
      <c r="B752" t="s">
        <v>689</v>
      </c>
      <c r="C752" t="s">
        <v>687</v>
      </c>
      <c r="D752" t="s">
        <v>688</v>
      </c>
      <c r="E752">
        <v>418</v>
      </c>
      <c r="F752">
        <v>1460</v>
      </c>
      <c r="G752">
        <v>179.93481550000001</v>
      </c>
      <c r="H752">
        <v>26</v>
      </c>
      <c r="I752">
        <v>0.28125825100000001</v>
      </c>
      <c r="J752">
        <v>1486</v>
      </c>
      <c r="K752">
        <v>5283.4005569999999</v>
      </c>
      <c r="L752">
        <v>0.752</v>
      </c>
      <c r="M752">
        <v>5.8558559000000003E-2</v>
      </c>
      <c r="N752">
        <v>0</v>
      </c>
      <c r="O752" t="s">
        <v>620</v>
      </c>
      <c r="P752">
        <f t="shared" si="101"/>
        <v>11.93821138</v>
      </c>
      <c r="Q752">
        <f t="shared" si="102"/>
        <v>4.3999999999999997E-2</v>
      </c>
      <c r="R752">
        <f t="shared" si="103"/>
        <v>2.4E-2</v>
      </c>
      <c r="S752">
        <f t="shared" si="104"/>
        <v>0.752</v>
      </c>
      <c r="T752">
        <f t="shared" si="105"/>
        <v>1.3354999999999999</v>
      </c>
      <c r="U752">
        <f t="shared" si="106"/>
        <v>6.5016039279999998</v>
      </c>
      <c r="V752">
        <f t="shared" si="107"/>
        <v>2.5999999999999999E-2</v>
      </c>
      <c r="W752">
        <f t="shared" si="108"/>
        <v>0.16700000000000001</v>
      </c>
      <c r="X752">
        <f t="shared" si="109"/>
        <v>0.78800000000000003</v>
      </c>
      <c r="Y752">
        <v>216.078036</v>
      </c>
      <c r="Z752">
        <v>0</v>
      </c>
      <c r="AA752">
        <v>454184</v>
      </c>
      <c r="AB752">
        <v>170596</v>
      </c>
      <c r="AC752">
        <v>6.5715274000000004E-2</v>
      </c>
      <c r="AD752">
        <v>0.72549415100000003</v>
      </c>
      <c r="AF752">
        <v>11.93821138</v>
      </c>
      <c r="AG752">
        <v>4.3999999999999997E-2</v>
      </c>
      <c r="AH752">
        <v>2.4E-2</v>
      </c>
      <c r="AI752">
        <v>0.752</v>
      </c>
      <c r="AJ752">
        <v>1.3354999999999999</v>
      </c>
      <c r="AK752">
        <v>6.5016039279999998</v>
      </c>
      <c r="AL752">
        <v>2.5999999999999999E-2</v>
      </c>
      <c r="AM752">
        <v>0.16700000000000001</v>
      </c>
      <c r="AN752">
        <v>0.78800000000000003</v>
      </c>
    </row>
    <row r="753" spans="1:40">
      <c r="A753">
        <v>2821</v>
      </c>
      <c r="B753" t="s">
        <v>689</v>
      </c>
      <c r="C753" t="s">
        <v>687</v>
      </c>
      <c r="D753" t="s">
        <v>688</v>
      </c>
      <c r="E753">
        <v>229</v>
      </c>
      <c r="F753">
        <v>870</v>
      </c>
      <c r="G753">
        <v>28.659828520000001</v>
      </c>
      <c r="H753">
        <v>9</v>
      </c>
      <c r="I753">
        <v>4.4792404000000001E-2</v>
      </c>
      <c r="J753">
        <v>879</v>
      </c>
      <c r="K753">
        <v>19623.863010000001</v>
      </c>
      <c r="L753">
        <v>0.73199999999999998</v>
      </c>
      <c r="M753">
        <v>3.7815125999999998E-2</v>
      </c>
      <c r="N753">
        <v>0</v>
      </c>
      <c r="O753" t="s">
        <v>613</v>
      </c>
      <c r="P753">
        <f t="shared" si="101"/>
        <v>12.86355556</v>
      </c>
      <c r="Q753">
        <f t="shared" si="102"/>
        <v>6.7000000000000004E-2</v>
      </c>
      <c r="R753">
        <f t="shared" si="103"/>
        <v>8.9999999999999993E-3</v>
      </c>
      <c r="S753">
        <f t="shared" si="104"/>
        <v>0.73199999999999998</v>
      </c>
      <c r="T753">
        <f t="shared" si="105"/>
        <v>2.0950000000000002</v>
      </c>
      <c r="U753">
        <f t="shared" si="106"/>
        <v>5.7577627119999999</v>
      </c>
      <c r="V753">
        <f t="shared" si="107"/>
        <v>6.2414117647058849E-2</v>
      </c>
      <c r="W753">
        <f t="shared" si="108"/>
        <v>0.2</v>
      </c>
      <c r="X753">
        <f t="shared" si="109"/>
        <v>0.75</v>
      </c>
      <c r="Y753">
        <v>171.05410620000001</v>
      </c>
      <c r="Z753">
        <v>0</v>
      </c>
      <c r="AA753">
        <v>454184</v>
      </c>
      <c r="AB753">
        <v>170596</v>
      </c>
      <c r="AC753">
        <v>6.5715274000000004E-2</v>
      </c>
      <c r="AD753">
        <v>0.72549415100000003</v>
      </c>
      <c r="AF753">
        <v>12.86355556</v>
      </c>
      <c r="AG753">
        <v>6.7000000000000004E-2</v>
      </c>
      <c r="AH753">
        <v>8.9999999999999993E-3</v>
      </c>
      <c r="AI753">
        <v>0.73199999999999998</v>
      </c>
      <c r="AJ753">
        <v>2.0950000000000002</v>
      </c>
      <c r="AK753">
        <v>5.7577627119999999</v>
      </c>
      <c r="AL753">
        <v>0</v>
      </c>
      <c r="AM753">
        <v>0.2</v>
      </c>
      <c r="AN753">
        <v>0.75</v>
      </c>
    </row>
    <row r="754" spans="1:40">
      <c r="A754">
        <v>2822</v>
      </c>
      <c r="B754" t="s">
        <v>689</v>
      </c>
      <c r="C754" t="s">
        <v>687</v>
      </c>
      <c r="D754" t="s">
        <v>688</v>
      </c>
      <c r="E754">
        <v>227</v>
      </c>
      <c r="F754">
        <v>549</v>
      </c>
      <c r="G754">
        <v>24.545292750000002</v>
      </c>
      <c r="H754">
        <v>86</v>
      </c>
      <c r="I754">
        <v>3.8368402000000003E-2</v>
      </c>
      <c r="J754">
        <v>635</v>
      </c>
      <c r="K754">
        <v>16550.076809999999</v>
      </c>
      <c r="L754">
        <v>0.77800000000000002</v>
      </c>
      <c r="M754">
        <v>0.274760383</v>
      </c>
      <c r="N754">
        <v>0</v>
      </c>
      <c r="O754" t="s">
        <v>613</v>
      </c>
      <c r="P754">
        <f t="shared" si="101"/>
        <v>7.8872093019999996</v>
      </c>
      <c r="Q754">
        <f t="shared" si="102"/>
        <v>3.1E-2</v>
      </c>
      <c r="R754">
        <f t="shared" si="103"/>
        <v>3.7999999999999999E-2</v>
      </c>
      <c r="S754">
        <f t="shared" si="104"/>
        <v>0.77800000000000002</v>
      </c>
      <c r="T754">
        <f t="shared" si="105"/>
        <v>2.32125</v>
      </c>
      <c r="U754">
        <f t="shared" si="106"/>
        <v>4.641809211</v>
      </c>
      <c r="V754">
        <f t="shared" si="107"/>
        <v>0.14499999999999999</v>
      </c>
      <c r="W754">
        <f t="shared" si="108"/>
        <v>0.13</v>
      </c>
      <c r="X754">
        <f t="shared" si="109"/>
        <v>0.623</v>
      </c>
      <c r="Y754">
        <v>177.5287768</v>
      </c>
      <c r="Z754">
        <v>0</v>
      </c>
      <c r="AA754">
        <v>454184</v>
      </c>
      <c r="AB754">
        <v>170596</v>
      </c>
      <c r="AC754">
        <v>6.5715274000000004E-2</v>
      </c>
      <c r="AD754">
        <v>0.72549415100000003</v>
      </c>
      <c r="AF754">
        <v>7.8872093019999996</v>
      </c>
      <c r="AG754">
        <v>3.1E-2</v>
      </c>
      <c r="AH754">
        <v>3.7999999999999999E-2</v>
      </c>
      <c r="AI754">
        <v>0.77800000000000002</v>
      </c>
      <c r="AJ754">
        <v>2.32125</v>
      </c>
      <c r="AK754">
        <v>4.641809211</v>
      </c>
      <c r="AL754">
        <v>0.14499999999999999</v>
      </c>
      <c r="AM754">
        <v>0.13</v>
      </c>
      <c r="AN754">
        <v>0.623</v>
      </c>
    </row>
    <row r="755" spans="1:40">
      <c r="A755">
        <v>2823</v>
      </c>
      <c r="B755" t="s">
        <v>689</v>
      </c>
      <c r="C755" t="s">
        <v>687</v>
      </c>
      <c r="D755" t="s">
        <v>688</v>
      </c>
      <c r="E755">
        <v>332</v>
      </c>
      <c r="F755">
        <v>833</v>
      </c>
      <c r="G755">
        <v>33.198329029999996</v>
      </c>
      <c r="H755">
        <v>139</v>
      </c>
      <c r="I755">
        <v>5.1893555000000001E-2</v>
      </c>
      <c r="J755">
        <v>972</v>
      </c>
      <c r="K755">
        <v>18730.649689999998</v>
      </c>
      <c r="L755">
        <v>0.66400000000000003</v>
      </c>
      <c r="M755">
        <v>0.295116773</v>
      </c>
      <c r="N755">
        <v>0</v>
      </c>
      <c r="O755" t="s">
        <v>613</v>
      </c>
      <c r="P755">
        <f t="shared" si="101"/>
        <v>15.649638550000001</v>
      </c>
      <c r="Q755">
        <f t="shared" si="102"/>
        <v>9.8000000000000004E-2</v>
      </c>
      <c r="R755">
        <f t="shared" si="103"/>
        <v>1.4999999999999999E-2</v>
      </c>
      <c r="S755">
        <f t="shared" si="104"/>
        <v>0.66400000000000003</v>
      </c>
      <c r="T755">
        <f t="shared" si="105"/>
        <v>1.9325000000000001</v>
      </c>
      <c r="U755">
        <f t="shared" si="106"/>
        <v>7.5879501390000001</v>
      </c>
      <c r="V755">
        <f t="shared" si="107"/>
        <v>0.03</v>
      </c>
      <c r="W755">
        <f t="shared" si="108"/>
        <v>0.23899999999999999</v>
      </c>
      <c r="X755">
        <f t="shared" si="109"/>
        <v>0.61899999999999999</v>
      </c>
      <c r="Y755">
        <v>86.696863949999994</v>
      </c>
      <c r="Z755">
        <v>0</v>
      </c>
      <c r="AA755">
        <v>454184</v>
      </c>
      <c r="AB755">
        <v>170596</v>
      </c>
      <c r="AC755">
        <v>6.5715274000000004E-2</v>
      </c>
      <c r="AD755">
        <v>0.72549415100000003</v>
      </c>
      <c r="AF755">
        <v>15.649638550000001</v>
      </c>
      <c r="AG755">
        <v>9.8000000000000004E-2</v>
      </c>
      <c r="AH755">
        <v>1.4999999999999999E-2</v>
      </c>
      <c r="AI755">
        <v>0.66400000000000003</v>
      </c>
      <c r="AJ755">
        <v>1.9325000000000001</v>
      </c>
      <c r="AK755">
        <v>7.5879501390000001</v>
      </c>
      <c r="AL755">
        <v>0.03</v>
      </c>
      <c r="AM755">
        <v>0.23899999999999999</v>
      </c>
      <c r="AN755">
        <v>0.61899999999999999</v>
      </c>
    </row>
    <row r="756" spans="1:40">
      <c r="A756">
        <v>2824</v>
      </c>
      <c r="B756" t="s">
        <v>689</v>
      </c>
      <c r="C756" t="s">
        <v>687</v>
      </c>
      <c r="D756" t="s">
        <v>688</v>
      </c>
      <c r="E756">
        <v>63</v>
      </c>
      <c r="F756">
        <v>166</v>
      </c>
      <c r="G756">
        <v>18.34526481</v>
      </c>
      <c r="H756">
        <v>368</v>
      </c>
      <c r="I756">
        <v>2.8676921000000001E-2</v>
      </c>
      <c r="J756">
        <v>534</v>
      </c>
      <c r="K756">
        <v>18621.24598</v>
      </c>
      <c r="L756">
        <v>0.67900000000000005</v>
      </c>
      <c r="M756">
        <v>0.85382830600000004</v>
      </c>
      <c r="N756">
        <v>1</v>
      </c>
      <c r="O756" t="s">
        <v>606</v>
      </c>
      <c r="P756">
        <f t="shared" si="101"/>
        <v>11.691190479999999</v>
      </c>
      <c r="Q756">
        <f t="shared" si="102"/>
        <v>0.10100000000000001</v>
      </c>
      <c r="R756">
        <f t="shared" si="103"/>
        <v>3.1352808988764011E-2</v>
      </c>
      <c r="S756">
        <f t="shared" si="104"/>
        <v>0.67900000000000005</v>
      </c>
      <c r="T756">
        <f t="shared" si="105"/>
        <v>2.2353522564471904</v>
      </c>
      <c r="U756">
        <f t="shared" si="106"/>
        <v>7.7730097090000001</v>
      </c>
      <c r="V756">
        <f t="shared" si="107"/>
        <v>6.2414117647058849E-2</v>
      </c>
      <c r="W756">
        <f t="shared" si="108"/>
        <v>0.19400000000000001</v>
      </c>
      <c r="X756">
        <f t="shared" si="109"/>
        <v>0.67700000000000005</v>
      </c>
      <c r="Y756">
        <v>114.0050153</v>
      </c>
      <c r="Z756">
        <v>0</v>
      </c>
      <c r="AA756">
        <v>454184</v>
      </c>
      <c r="AB756">
        <v>170596</v>
      </c>
      <c r="AC756">
        <v>6.5715274000000004E-2</v>
      </c>
      <c r="AD756">
        <v>0.72549415100000003</v>
      </c>
      <c r="AF756">
        <v>11.691190479999999</v>
      </c>
      <c r="AG756">
        <v>0.10100000000000001</v>
      </c>
      <c r="AH756">
        <v>0</v>
      </c>
      <c r="AI756">
        <v>0.67900000000000005</v>
      </c>
      <c r="AK756">
        <v>7.7730097090000001</v>
      </c>
      <c r="AL756">
        <v>0</v>
      </c>
      <c r="AM756">
        <v>0.19400000000000001</v>
      </c>
      <c r="AN756">
        <v>0.67700000000000005</v>
      </c>
    </row>
    <row r="757" spans="1:40">
      <c r="A757">
        <v>2825</v>
      </c>
      <c r="B757" t="s">
        <v>689</v>
      </c>
      <c r="C757" t="s">
        <v>687</v>
      </c>
      <c r="D757" t="s">
        <v>688</v>
      </c>
      <c r="E757">
        <v>304</v>
      </c>
      <c r="F757">
        <v>434</v>
      </c>
      <c r="G757">
        <v>15.380533</v>
      </c>
      <c r="H757">
        <v>4510</v>
      </c>
      <c r="I757">
        <v>2.4041758E-2</v>
      </c>
      <c r="J757">
        <v>4944</v>
      </c>
      <c r="K757">
        <v>205642.1997</v>
      </c>
      <c r="L757">
        <v>0.63100000000000001</v>
      </c>
      <c r="M757">
        <v>0.93685085199999996</v>
      </c>
      <c r="N757">
        <v>1</v>
      </c>
      <c r="O757" t="s">
        <v>606</v>
      </c>
      <c r="P757">
        <f t="shared" si="101"/>
        <v>14.06130909</v>
      </c>
      <c r="Q757">
        <f t="shared" si="102"/>
        <v>0.10299999999999999</v>
      </c>
      <c r="R757">
        <f t="shared" si="103"/>
        <v>3.4000000000000002E-2</v>
      </c>
      <c r="S757">
        <f t="shared" si="104"/>
        <v>0.63100000000000001</v>
      </c>
      <c r="T757">
        <f t="shared" si="105"/>
        <v>1.8237956200000001</v>
      </c>
      <c r="U757">
        <f t="shared" si="106"/>
        <v>7.7733279680000003</v>
      </c>
      <c r="V757">
        <f t="shared" si="107"/>
        <v>7.2999999999999995E-2</v>
      </c>
      <c r="W757">
        <f t="shared" si="108"/>
        <v>0.25900000000000001</v>
      </c>
      <c r="X757">
        <f t="shared" si="109"/>
        <v>0.59799999999999998</v>
      </c>
      <c r="Y757">
        <v>83.448111740000002</v>
      </c>
      <c r="Z757">
        <v>0</v>
      </c>
      <c r="AA757">
        <v>454184</v>
      </c>
      <c r="AB757">
        <v>170596</v>
      </c>
      <c r="AC757">
        <v>6.5715274000000004E-2</v>
      </c>
      <c r="AD757">
        <v>0.72549415100000003</v>
      </c>
      <c r="AF757">
        <v>14.06130909</v>
      </c>
      <c r="AG757">
        <v>0.10299999999999999</v>
      </c>
      <c r="AH757">
        <v>3.4000000000000002E-2</v>
      </c>
      <c r="AI757">
        <v>0.63100000000000001</v>
      </c>
      <c r="AJ757">
        <v>1.8237956200000001</v>
      </c>
      <c r="AK757">
        <v>7.7733279680000003</v>
      </c>
      <c r="AL757">
        <v>7.2999999999999995E-2</v>
      </c>
      <c r="AM757">
        <v>0.25900000000000001</v>
      </c>
      <c r="AN757">
        <v>0.59799999999999998</v>
      </c>
    </row>
    <row r="758" spans="1:40">
      <c r="A758">
        <v>2826</v>
      </c>
      <c r="B758" t="s">
        <v>698</v>
      </c>
      <c r="C758" t="s">
        <v>693</v>
      </c>
      <c r="D758" t="s">
        <v>694</v>
      </c>
      <c r="E758">
        <v>506</v>
      </c>
      <c r="F758">
        <v>1450</v>
      </c>
      <c r="G758">
        <v>92.671912939999999</v>
      </c>
      <c r="H758">
        <v>37</v>
      </c>
      <c r="I758">
        <v>0.144859657</v>
      </c>
      <c r="J758">
        <v>1487</v>
      </c>
      <c r="K758">
        <v>10265.107830000001</v>
      </c>
      <c r="L758">
        <v>0.73399999999999999</v>
      </c>
      <c r="M758">
        <v>6.8139962999999998E-2</v>
      </c>
      <c r="N758">
        <v>0</v>
      </c>
      <c r="O758" t="s">
        <v>620</v>
      </c>
      <c r="P758">
        <f t="shared" si="101"/>
        <v>17.83640625</v>
      </c>
      <c r="Q758">
        <f t="shared" si="102"/>
        <v>2.5000000000000001E-2</v>
      </c>
      <c r="R758">
        <f t="shared" si="103"/>
        <v>2.5000000000000001E-2</v>
      </c>
      <c r="S758">
        <f t="shared" si="104"/>
        <v>0.73399999999999999</v>
      </c>
      <c r="T758">
        <f t="shared" si="105"/>
        <v>1.8560000000000001</v>
      </c>
      <c r="U758">
        <f t="shared" si="106"/>
        <v>7.3278387650000001</v>
      </c>
      <c r="V758">
        <f t="shared" si="107"/>
        <v>1.4999999999999999E-2</v>
      </c>
      <c r="W758">
        <f t="shared" si="108"/>
        <v>5.0999999999999997E-2</v>
      </c>
      <c r="X758">
        <f t="shared" si="109"/>
        <v>0.93400000000000005</v>
      </c>
      <c r="Y758">
        <v>164.9286549</v>
      </c>
      <c r="Z758">
        <v>0</v>
      </c>
      <c r="AA758">
        <v>88250</v>
      </c>
      <c r="AB758">
        <v>31723</v>
      </c>
      <c r="AC758">
        <v>1.0795895999999999E-2</v>
      </c>
      <c r="AD758">
        <v>0.817760245</v>
      </c>
      <c r="AF758">
        <v>17.83640625</v>
      </c>
      <c r="AG758">
        <v>2.5000000000000001E-2</v>
      </c>
      <c r="AH758">
        <v>2.5000000000000001E-2</v>
      </c>
      <c r="AI758">
        <v>0.73399999999999999</v>
      </c>
      <c r="AJ758">
        <v>1.8560000000000001</v>
      </c>
      <c r="AK758">
        <v>7.3278387650000001</v>
      </c>
      <c r="AL758">
        <v>1.4999999999999999E-2</v>
      </c>
      <c r="AM758">
        <v>5.0999999999999997E-2</v>
      </c>
      <c r="AN758">
        <v>0.93400000000000005</v>
      </c>
    </row>
    <row r="759" spans="1:40">
      <c r="A759">
        <v>2827</v>
      </c>
      <c r="B759" t="s">
        <v>698</v>
      </c>
      <c r="C759" t="s">
        <v>693</v>
      </c>
      <c r="D759" t="s">
        <v>694</v>
      </c>
      <c r="E759">
        <v>420</v>
      </c>
      <c r="F759">
        <v>1030</v>
      </c>
      <c r="G759">
        <v>46.307939150000003</v>
      </c>
      <c r="H759">
        <v>18</v>
      </c>
      <c r="I759">
        <v>7.2384206000000006E-2</v>
      </c>
      <c r="J759">
        <v>1048</v>
      </c>
      <c r="K759">
        <v>14478.296549999999</v>
      </c>
      <c r="L759">
        <v>0.80500000000000005</v>
      </c>
      <c r="M759">
        <v>4.1095890000000003E-2</v>
      </c>
      <c r="N759">
        <v>0</v>
      </c>
      <c r="O759" t="s">
        <v>620</v>
      </c>
      <c r="P759">
        <f t="shared" si="101"/>
        <v>17.663043479999999</v>
      </c>
      <c r="Q759">
        <f t="shared" si="102"/>
        <v>7.0000000000000001E-3</v>
      </c>
      <c r="R759">
        <f t="shared" si="103"/>
        <v>8.9999999999999993E-3</v>
      </c>
      <c r="S759">
        <f t="shared" si="104"/>
        <v>0.80500000000000005</v>
      </c>
      <c r="T759">
        <f t="shared" si="105"/>
        <v>2.2124999999999999</v>
      </c>
      <c r="U759">
        <f t="shared" si="106"/>
        <v>7.9956047200000002</v>
      </c>
      <c r="V759">
        <f t="shared" si="107"/>
        <v>4.0705882352941189E-2</v>
      </c>
      <c r="W759">
        <f t="shared" si="108"/>
        <v>2.7E-2</v>
      </c>
      <c r="X759">
        <f t="shared" si="109"/>
        <v>0.92</v>
      </c>
      <c r="Y759">
        <v>137.97860879999999</v>
      </c>
      <c r="Z759">
        <v>0</v>
      </c>
      <c r="AA759">
        <v>88250</v>
      </c>
      <c r="AB759">
        <v>31723</v>
      </c>
      <c r="AC759">
        <v>1.0795895999999999E-2</v>
      </c>
      <c r="AD759">
        <v>0.817760245</v>
      </c>
      <c r="AF759">
        <v>17.663043479999999</v>
      </c>
      <c r="AG759">
        <v>7.0000000000000001E-3</v>
      </c>
      <c r="AH759">
        <v>8.9999999999999993E-3</v>
      </c>
      <c r="AI759">
        <v>0.80500000000000005</v>
      </c>
      <c r="AJ759">
        <v>2.2124999999999999</v>
      </c>
      <c r="AK759">
        <v>7.9956047200000002</v>
      </c>
      <c r="AL759">
        <v>0</v>
      </c>
      <c r="AM759">
        <v>2.7E-2</v>
      </c>
      <c r="AN759">
        <v>0.92</v>
      </c>
    </row>
    <row r="760" spans="1:40">
      <c r="A760">
        <v>2828</v>
      </c>
      <c r="B760" t="s">
        <v>698</v>
      </c>
      <c r="C760" t="s">
        <v>693</v>
      </c>
      <c r="D760" t="s">
        <v>694</v>
      </c>
      <c r="E760">
        <v>418</v>
      </c>
      <c r="F760">
        <v>1137</v>
      </c>
      <c r="G760">
        <v>96.100998200000006</v>
      </c>
      <c r="H760">
        <v>2</v>
      </c>
      <c r="I760">
        <v>0.15021764300000001</v>
      </c>
      <c r="J760">
        <v>1139</v>
      </c>
      <c r="K760">
        <v>7582.3317239999997</v>
      </c>
      <c r="L760">
        <v>0.82299999999999995</v>
      </c>
      <c r="M760">
        <v>4.7619050000000003E-3</v>
      </c>
      <c r="N760">
        <v>0</v>
      </c>
      <c r="O760" t="s">
        <v>625</v>
      </c>
      <c r="P760">
        <f t="shared" si="101"/>
        <v>17.526944440000001</v>
      </c>
      <c r="Q760">
        <f t="shared" si="102"/>
        <v>1.0999999999999999E-2</v>
      </c>
      <c r="R760">
        <f t="shared" si="103"/>
        <v>1.9E-2</v>
      </c>
      <c r="S760">
        <f t="shared" si="104"/>
        <v>0.82299999999999995</v>
      </c>
      <c r="T760">
        <f t="shared" si="105"/>
        <v>2.096666667</v>
      </c>
      <c r="U760">
        <f t="shared" si="106"/>
        <v>8.4451606429999995</v>
      </c>
      <c r="V760">
        <f t="shared" si="107"/>
        <v>3.4000000000000002E-2</v>
      </c>
      <c r="W760">
        <f t="shared" si="108"/>
        <v>4.2999999999999997E-2</v>
      </c>
      <c r="X760">
        <f t="shared" si="109"/>
        <v>0.92300000000000004</v>
      </c>
      <c r="Y760">
        <v>167.37791340000001</v>
      </c>
      <c r="Z760">
        <v>0</v>
      </c>
      <c r="AA760">
        <v>88250</v>
      </c>
      <c r="AB760">
        <v>31723</v>
      </c>
      <c r="AC760">
        <v>1.0795895999999999E-2</v>
      </c>
      <c r="AD760">
        <v>0.817760245</v>
      </c>
      <c r="AF760">
        <v>17.526944440000001</v>
      </c>
      <c r="AG760">
        <v>1.0999999999999999E-2</v>
      </c>
      <c r="AH760">
        <v>1.9E-2</v>
      </c>
      <c r="AI760">
        <v>0.82299999999999995</v>
      </c>
      <c r="AJ760">
        <v>2.096666667</v>
      </c>
      <c r="AK760">
        <v>8.4451606429999995</v>
      </c>
      <c r="AL760">
        <v>3.4000000000000002E-2</v>
      </c>
      <c r="AM760">
        <v>4.2999999999999997E-2</v>
      </c>
      <c r="AN760">
        <v>0.92300000000000004</v>
      </c>
    </row>
    <row r="761" spans="1:40">
      <c r="A761">
        <v>2829</v>
      </c>
      <c r="B761" t="s">
        <v>698</v>
      </c>
      <c r="C761" t="s">
        <v>693</v>
      </c>
      <c r="D761" t="s">
        <v>694</v>
      </c>
      <c r="E761">
        <v>446</v>
      </c>
      <c r="F761">
        <v>1277</v>
      </c>
      <c r="G761">
        <v>146.8221514</v>
      </c>
      <c r="H761">
        <v>3</v>
      </c>
      <c r="I761">
        <v>0.22949591499999999</v>
      </c>
      <c r="J761">
        <v>1280</v>
      </c>
      <c r="K761">
        <v>5577.4413240000003</v>
      </c>
      <c r="L761">
        <v>0.83699999999999997</v>
      </c>
      <c r="M761">
        <v>6.6815140000000004E-3</v>
      </c>
      <c r="N761">
        <v>0</v>
      </c>
      <c r="O761" t="s">
        <v>625</v>
      </c>
      <c r="P761">
        <f t="shared" si="101"/>
        <v>19.222752289999999</v>
      </c>
      <c r="Q761">
        <f t="shared" si="102"/>
        <v>6.0000000000000001E-3</v>
      </c>
      <c r="R761">
        <f t="shared" si="103"/>
        <v>2.9000000000000001E-2</v>
      </c>
      <c r="S761">
        <f t="shared" si="104"/>
        <v>0.83699999999999997</v>
      </c>
      <c r="T761">
        <f t="shared" si="105"/>
        <v>2.0649999999999999</v>
      </c>
      <c r="U761">
        <f t="shared" si="106"/>
        <v>7.9866606500000001</v>
      </c>
      <c r="V761">
        <f t="shared" si="107"/>
        <v>3.4000000000000002E-2</v>
      </c>
      <c r="W761">
        <f t="shared" si="108"/>
        <v>3.4000000000000002E-2</v>
      </c>
      <c r="X761">
        <f t="shared" si="109"/>
        <v>0.93200000000000005</v>
      </c>
      <c r="Y761">
        <v>110.0378233</v>
      </c>
      <c r="Z761">
        <v>0</v>
      </c>
      <c r="AA761">
        <v>88250</v>
      </c>
      <c r="AB761">
        <v>31723</v>
      </c>
      <c r="AC761">
        <v>1.0795895999999999E-2</v>
      </c>
      <c r="AD761">
        <v>0.817760245</v>
      </c>
      <c r="AF761">
        <v>19.222752289999999</v>
      </c>
      <c r="AG761">
        <v>6.0000000000000001E-3</v>
      </c>
      <c r="AH761">
        <v>2.9000000000000001E-2</v>
      </c>
      <c r="AI761">
        <v>0.83699999999999997</v>
      </c>
      <c r="AJ761">
        <v>2.0649999999999999</v>
      </c>
      <c r="AK761">
        <v>7.9866606500000001</v>
      </c>
      <c r="AL761">
        <v>3.4000000000000002E-2</v>
      </c>
      <c r="AM761">
        <v>3.4000000000000002E-2</v>
      </c>
      <c r="AN761">
        <v>0.93200000000000005</v>
      </c>
    </row>
    <row r="762" spans="1:40">
      <c r="A762">
        <v>2830</v>
      </c>
      <c r="B762" t="s">
        <v>686</v>
      </c>
      <c r="C762" t="s">
        <v>687</v>
      </c>
      <c r="D762" t="s">
        <v>688</v>
      </c>
      <c r="E762">
        <v>154</v>
      </c>
      <c r="F762">
        <v>449</v>
      </c>
      <c r="G762">
        <v>109.2460387</v>
      </c>
      <c r="H762">
        <v>2382</v>
      </c>
      <c r="I762">
        <v>0.17077314399999999</v>
      </c>
      <c r="J762">
        <v>2831</v>
      </c>
      <c r="K762">
        <v>16577.548050000001</v>
      </c>
      <c r="L762">
        <v>0.84599999999999997</v>
      </c>
      <c r="M762">
        <v>0.93927444800000004</v>
      </c>
      <c r="N762">
        <v>0</v>
      </c>
      <c r="O762" t="s">
        <v>613</v>
      </c>
      <c r="P762">
        <f t="shared" si="101"/>
        <v>13.733692810000001</v>
      </c>
      <c r="Q762">
        <f t="shared" si="102"/>
        <v>4.1000000000000002E-2</v>
      </c>
      <c r="R762">
        <f t="shared" si="103"/>
        <v>1.2999999999999999E-2</v>
      </c>
      <c r="S762">
        <f t="shared" si="104"/>
        <v>0.84599999999999997</v>
      </c>
      <c r="T762">
        <f t="shared" si="105"/>
        <v>2.5288888890000001</v>
      </c>
      <c r="U762">
        <f t="shared" si="106"/>
        <v>7.902748538</v>
      </c>
      <c r="V762">
        <f t="shared" si="107"/>
        <v>2.1000000000000001E-2</v>
      </c>
      <c r="W762">
        <f t="shared" si="108"/>
        <v>0.111</v>
      </c>
      <c r="X762">
        <f t="shared" si="109"/>
        <v>0.81200000000000006</v>
      </c>
      <c r="Y762">
        <v>141.5567144</v>
      </c>
      <c r="Z762">
        <v>1</v>
      </c>
      <c r="AA762">
        <v>140316</v>
      </c>
      <c r="AB762">
        <v>49638</v>
      </c>
      <c r="AC762">
        <v>9.1283894000000004E-2</v>
      </c>
      <c r="AD762">
        <v>0.60339869999999995</v>
      </c>
      <c r="AF762">
        <v>13.733692810000001</v>
      </c>
      <c r="AG762">
        <v>4.1000000000000002E-2</v>
      </c>
      <c r="AH762">
        <v>1.2999999999999999E-2</v>
      </c>
      <c r="AI762">
        <v>0.84599999999999997</v>
      </c>
      <c r="AJ762">
        <v>2.5288888890000001</v>
      </c>
      <c r="AK762">
        <v>7.902748538</v>
      </c>
      <c r="AL762">
        <v>2.1000000000000001E-2</v>
      </c>
      <c r="AM762">
        <v>0.111</v>
      </c>
      <c r="AN762">
        <v>0.81200000000000006</v>
      </c>
    </row>
    <row r="763" spans="1:40">
      <c r="A763">
        <v>2831</v>
      </c>
      <c r="B763" t="s">
        <v>686</v>
      </c>
      <c r="C763" t="s">
        <v>687</v>
      </c>
      <c r="D763" t="s">
        <v>688</v>
      </c>
      <c r="E763">
        <v>386</v>
      </c>
      <c r="F763">
        <v>814</v>
      </c>
      <c r="G763">
        <v>11.438713760000001</v>
      </c>
      <c r="H763">
        <v>244</v>
      </c>
      <c r="I763">
        <v>1.7881392999999999E-2</v>
      </c>
      <c r="J763">
        <v>1058</v>
      </c>
      <c r="K763">
        <v>59167.649859999998</v>
      </c>
      <c r="L763">
        <v>0.505</v>
      </c>
      <c r="M763">
        <v>0.387301587</v>
      </c>
      <c r="N763">
        <v>1</v>
      </c>
      <c r="O763" t="s">
        <v>606</v>
      </c>
      <c r="P763">
        <f t="shared" si="101"/>
        <v>10.568103450000001</v>
      </c>
      <c r="Q763">
        <f t="shared" si="102"/>
        <v>0.122</v>
      </c>
      <c r="R763">
        <f t="shared" si="103"/>
        <v>5.0999999999999997E-2</v>
      </c>
      <c r="S763">
        <f t="shared" si="104"/>
        <v>0.505</v>
      </c>
      <c r="T763">
        <f t="shared" si="105"/>
        <v>1.7729999999999999</v>
      </c>
      <c r="U763">
        <f t="shared" si="106"/>
        <v>6.1870890410000001</v>
      </c>
      <c r="V763">
        <f t="shared" si="107"/>
        <v>0.11</v>
      </c>
      <c r="W763">
        <f t="shared" si="108"/>
        <v>0.27400000000000002</v>
      </c>
      <c r="X763">
        <f t="shared" si="109"/>
        <v>0.39700000000000002</v>
      </c>
      <c r="Y763">
        <v>201.42916</v>
      </c>
      <c r="Z763">
        <v>1</v>
      </c>
      <c r="AA763">
        <v>140316</v>
      </c>
      <c r="AB763">
        <v>49638</v>
      </c>
      <c r="AC763">
        <v>9.1283894000000004E-2</v>
      </c>
      <c r="AD763">
        <v>0.60339869999999995</v>
      </c>
      <c r="AF763">
        <v>10.568103450000001</v>
      </c>
      <c r="AG763">
        <v>0.122</v>
      </c>
      <c r="AH763">
        <v>5.0999999999999997E-2</v>
      </c>
      <c r="AI763">
        <v>0.505</v>
      </c>
      <c r="AJ763">
        <v>1.7729999999999999</v>
      </c>
      <c r="AK763">
        <v>6.1870890410000001</v>
      </c>
      <c r="AL763">
        <v>0.11</v>
      </c>
      <c r="AM763">
        <v>0.27400000000000002</v>
      </c>
      <c r="AN763">
        <v>0.39700000000000002</v>
      </c>
    </row>
    <row r="764" spans="1:40">
      <c r="A764">
        <v>2832</v>
      </c>
      <c r="B764" t="s">
        <v>700</v>
      </c>
      <c r="C764" t="s">
        <v>687</v>
      </c>
      <c r="D764" t="s">
        <v>688</v>
      </c>
      <c r="E764">
        <v>496</v>
      </c>
      <c r="F764">
        <v>496</v>
      </c>
      <c r="G764">
        <v>43.338126209999999</v>
      </c>
      <c r="H764">
        <v>2174</v>
      </c>
      <c r="I764">
        <v>6.7748815000000004E-2</v>
      </c>
      <c r="J764">
        <v>2670</v>
      </c>
      <c r="K764">
        <v>39410.283409999996</v>
      </c>
      <c r="L764">
        <v>0.82499999999999996</v>
      </c>
      <c r="M764">
        <v>0.81423221000000001</v>
      </c>
      <c r="N764">
        <v>0</v>
      </c>
      <c r="O764" t="s">
        <v>613</v>
      </c>
      <c r="P764">
        <f t="shared" si="101"/>
        <v>13.682245610000001</v>
      </c>
      <c r="Q764">
        <f t="shared" si="102"/>
        <v>2.8000000000000001E-2</v>
      </c>
      <c r="R764">
        <f t="shared" si="103"/>
        <v>2.1000000000000001E-2</v>
      </c>
      <c r="S764">
        <f t="shared" si="104"/>
        <v>0.82499999999999996</v>
      </c>
      <c r="T764">
        <f t="shared" si="105"/>
        <v>2.8563888890000002</v>
      </c>
      <c r="U764">
        <f t="shared" si="106"/>
        <v>7.8416956679999998</v>
      </c>
      <c r="V764">
        <f t="shared" si="107"/>
        <v>7.0000000000000007E-2</v>
      </c>
      <c r="W764">
        <f t="shared" si="108"/>
        <v>8.6999999999999994E-2</v>
      </c>
      <c r="X764">
        <f t="shared" si="109"/>
        <v>0.82799999999999996</v>
      </c>
      <c r="Y764">
        <v>155.55260150000001</v>
      </c>
      <c r="Z764">
        <v>0</v>
      </c>
      <c r="AA764">
        <v>15503</v>
      </c>
      <c r="AB764">
        <v>7551</v>
      </c>
      <c r="AC764">
        <v>4.9459042000000002E-2</v>
      </c>
      <c r="AD764">
        <v>0.76960973700000002</v>
      </c>
      <c r="AF764">
        <v>13.682245610000001</v>
      </c>
      <c r="AG764">
        <v>2.8000000000000001E-2</v>
      </c>
      <c r="AH764">
        <v>2.1000000000000001E-2</v>
      </c>
      <c r="AI764">
        <v>0.82499999999999996</v>
      </c>
      <c r="AJ764">
        <v>2.8563888890000002</v>
      </c>
      <c r="AK764">
        <v>7.8416956679999998</v>
      </c>
      <c r="AL764">
        <v>7.0000000000000007E-2</v>
      </c>
      <c r="AM764">
        <v>8.6999999999999994E-2</v>
      </c>
      <c r="AN764">
        <v>0.82799999999999996</v>
      </c>
    </row>
    <row r="765" spans="1:40">
      <c r="A765">
        <v>2833</v>
      </c>
      <c r="B765" t="s">
        <v>689</v>
      </c>
      <c r="C765" t="s">
        <v>687</v>
      </c>
      <c r="D765" t="s">
        <v>688</v>
      </c>
      <c r="E765">
        <v>0</v>
      </c>
      <c r="F765">
        <v>10</v>
      </c>
      <c r="G765">
        <v>275.73188449999998</v>
      </c>
      <c r="H765">
        <v>1021</v>
      </c>
      <c r="I765">
        <v>0.43101255900000002</v>
      </c>
      <c r="J765">
        <v>1031</v>
      </c>
      <c r="K765">
        <v>2392.041667</v>
      </c>
      <c r="L765">
        <v>0.92700000000000005</v>
      </c>
      <c r="M765" s="515">
        <v>1</v>
      </c>
      <c r="N765">
        <v>0</v>
      </c>
      <c r="O765" t="s">
        <v>620</v>
      </c>
      <c r="P765">
        <f t="shared" si="101"/>
        <v>16.934666669999999</v>
      </c>
      <c r="Q765">
        <f t="shared" si="102"/>
        <v>6.0302483069977368E-2</v>
      </c>
      <c r="R765">
        <f t="shared" si="103"/>
        <v>3.9E-2</v>
      </c>
      <c r="S765">
        <f t="shared" si="104"/>
        <v>0.92700000000000005</v>
      </c>
      <c r="T765">
        <f t="shared" si="105"/>
        <v>3.6018750000000002</v>
      </c>
      <c r="U765">
        <f t="shared" si="106"/>
        <v>13.387918920000001</v>
      </c>
      <c r="V765">
        <f t="shared" si="107"/>
        <v>0.04</v>
      </c>
      <c r="W765">
        <f t="shared" si="108"/>
        <v>0.17334782608695659</v>
      </c>
      <c r="X765">
        <f t="shared" si="109"/>
        <v>0.94799999999999995</v>
      </c>
      <c r="Y765">
        <v>67.911994210000003</v>
      </c>
      <c r="Z765">
        <v>0</v>
      </c>
      <c r="AA765">
        <v>454184</v>
      </c>
      <c r="AB765">
        <v>170596</v>
      </c>
      <c r="AC765">
        <v>6.5715274000000004E-2</v>
      </c>
      <c r="AD765">
        <v>0.72549415100000003</v>
      </c>
      <c r="AF765">
        <v>16.934666669999999</v>
      </c>
      <c r="AG765">
        <v>0</v>
      </c>
      <c r="AH765">
        <v>3.9E-2</v>
      </c>
      <c r="AI765">
        <v>0.92700000000000005</v>
      </c>
      <c r="AJ765">
        <v>3.6018750000000002</v>
      </c>
      <c r="AK765">
        <v>13.387918920000001</v>
      </c>
      <c r="AL765">
        <v>0.04</v>
      </c>
      <c r="AM765">
        <v>0</v>
      </c>
      <c r="AN765">
        <v>0.94799999999999995</v>
      </c>
    </row>
    <row r="766" spans="1:40">
      <c r="A766">
        <v>2834</v>
      </c>
      <c r="B766" t="s">
        <v>689</v>
      </c>
      <c r="C766" t="s">
        <v>687</v>
      </c>
      <c r="D766" t="s">
        <v>688</v>
      </c>
      <c r="E766">
        <v>288</v>
      </c>
      <c r="F766">
        <v>1244</v>
      </c>
      <c r="G766">
        <v>71.599744749999999</v>
      </c>
      <c r="H766">
        <v>793</v>
      </c>
      <c r="I766">
        <v>0.111918742</v>
      </c>
      <c r="J766">
        <v>2037</v>
      </c>
      <c r="K766">
        <v>18200.70494</v>
      </c>
      <c r="L766">
        <v>0.74399999999999999</v>
      </c>
      <c r="M766">
        <v>0.73358001900000003</v>
      </c>
      <c r="N766">
        <v>0</v>
      </c>
      <c r="O766" t="s">
        <v>613</v>
      </c>
      <c r="P766">
        <f t="shared" si="101"/>
        <v>12.018823530000001</v>
      </c>
      <c r="Q766">
        <f t="shared" si="102"/>
        <v>0.13100000000000001</v>
      </c>
      <c r="R766">
        <f t="shared" si="103"/>
        <v>1.2999999999999999E-2</v>
      </c>
      <c r="S766">
        <f t="shared" si="104"/>
        <v>0.74399999999999999</v>
      </c>
      <c r="T766">
        <f t="shared" si="105"/>
        <v>2.9892307690000002</v>
      </c>
      <c r="U766">
        <f t="shared" si="106"/>
        <v>6.9881781380000003</v>
      </c>
      <c r="V766">
        <f t="shared" si="107"/>
        <v>0.03</v>
      </c>
      <c r="W766">
        <f t="shared" si="108"/>
        <v>0.35</v>
      </c>
      <c r="X766">
        <f t="shared" si="109"/>
        <v>0.60399999999999998</v>
      </c>
      <c r="Y766">
        <v>150.62052840000001</v>
      </c>
      <c r="Z766">
        <v>0</v>
      </c>
      <c r="AA766">
        <v>454184</v>
      </c>
      <c r="AB766">
        <v>170596</v>
      </c>
      <c r="AC766">
        <v>6.5715274000000004E-2</v>
      </c>
      <c r="AD766">
        <v>0.72549415100000003</v>
      </c>
      <c r="AF766">
        <v>12.018823530000001</v>
      </c>
      <c r="AG766">
        <v>0.13100000000000001</v>
      </c>
      <c r="AH766">
        <v>1.2999999999999999E-2</v>
      </c>
      <c r="AI766">
        <v>0.74399999999999999</v>
      </c>
      <c r="AJ766">
        <v>2.9892307690000002</v>
      </c>
      <c r="AK766">
        <v>6.9881781380000003</v>
      </c>
      <c r="AL766">
        <v>0.03</v>
      </c>
      <c r="AM766">
        <v>0.35</v>
      </c>
      <c r="AN766">
        <v>0.60399999999999998</v>
      </c>
    </row>
    <row r="767" spans="1:40">
      <c r="A767">
        <v>2835</v>
      </c>
      <c r="B767" t="s">
        <v>690</v>
      </c>
      <c r="C767" t="s">
        <v>687</v>
      </c>
      <c r="D767" t="s">
        <v>688</v>
      </c>
      <c r="E767">
        <v>385</v>
      </c>
      <c r="F767">
        <v>1034</v>
      </c>
      <c r="G767">
        <v>41.13121795</v>
      </c>
      <c r="H767">
        <v>115</v>
      </c>
      <c r="I767">
        <v>6.4292192999999997E-2</v>
      </c>
      <c r="J767">
        <v>1149</v>
      </c>
      <c r="K767">
        <v>17871.53224</v>
      </c>
      <c r="L767">
        <v>0.72799999999999998</v>
      </c>
      <c r="M767">
        <v>0.23</v>
      </c>
      <c r="N767">
        <v>0</v>
      </c>
      <c r="O767" t="s">
        <v>613</v>
      </c>
      <c r="P767">
        <f t="shared" si="101"/>
        <v>9.4726956520000005</v>
      </c>
      <c r="Q767">
        <f t="shared" si="102"/>
        <v>9.5000000000000001E-2</v>
      </c>
      <c r="R767">
        <f t="shared" si="103"/>
        <v>3.3000000000000002E-2</v>
      </c>
      <c r="S767">
        <f t="shared" si="104"/>
        <v>0.72799999999999998</v>
      </c>
      <c r="T767">
        <f t="shared" si="105"/>
        <v>2.5237500000000002</v>
      </c>
      <c r="U767">
        <f t="shared" si="106"/>
        <v>5.993064833</v>
      </c>
      <c r="V767">
        <f t="shared" si="107"/>
        <v>0.08</v>
      </c>
      <c r="W767">
        <f t="shared" si="108"/>
        <v>0.224</v>
      </c>
      <c r="X767">
        <f t="shared" si="109"/>
        <v>0.66100000000000003</v>
      </c>
      <c r="Y767">
        <v>232.73039410000001</v>
      </c>
      <c r="Z767">
        <v>0</v>
      </c>
      <c r="AA767">
        <v>82284</v>
      </c>
      <c r="AB767">
        <v>32030</v>
      </c>
      <c r="AC767">
        <v>4.7570397E-2</v>
      </c>
      <c r="AD767">
        <v>0.78974696300000002</v>
      </c>
      <c r="AF767">
        <v>9.4726956520000005</v>
      </c>
      <c r="AG767">
        <v>9.5000000000000001E-2</v>
      </c>
      <c r="AH767">
        <v>3.3000000000000002E-2</v>
      </c>
      <c r="AI767">
        <v>0.72799999999999998</v>
      </c>
      <c r="AJ767">
        <v>2.5237500000000002</v>
      </c>
      <c r="AK767">
        <v>5.993064833</v>
      </c>
      <c r="AL767">
        <v>0.08</v>
      </c>
      <c r="AM767">
        <v>0.224</v>
      </c>
      <c r="AN767">
        <v>0.66100000000000003</v>
      </c>
    </row>
    <row r="768" spans="1:40">
      <c r="A768">
        <v>2836</v>
      </c>
      <c r="B768" t="s">
        <v>689</v>
      </c>
      <c r="C768" t="s">
        <v>687</v>
      </c>
      <c r="D768" t="s">
        <v>688</v>
      </c>
      <c r="E768">
        <v>1095</v>
      </c>
      <c r="F768">
        <v>2457</v>
      </c>
      <c r="G768">
        <v>65.467288010000004</v>
      </c>
      <c r="H768">
        <v>953</v>
      </c>
      <c r="I768">
        <v>0.102335761</v>
      </c>
      <c r="J768">
        <v>3410</v>
      </c>
      <c r="K768">
        <v>33321.685080000003</v>
      </c>
      <c r="L768">
        <v>0.66800000000000004</v>
      </c>
      <c r="M768">
        <v>0.46533203099999998</v>
      </c>
      <c r="N768">
        <v>1</v>
      </c>
      <c r="O768" t="s">
        <v>606</v>
      </c>
      <c r="P768">
        <f t="shared" si="101"/>
        <v>10.533102039999999</v>
      </c>
      <c r="Q768">
        <f t="shared" si="102"/>
        <v>7.9000000000000001E-2</v>
      </c>
      <c r="R768">
        <f t="shared" si="103"/>
        <v>3.1E-2</v>
      </c>
      <c r="S768">
        <f t="shared" si="104"/>
        <v>0.66800000000000004</v>
      </c>
      <c r="T768">
        <f t="shared" si="105"/>
        <v>2.0870000000000002</v>
      </c>
      <c r="U768">
        <f t="shared" si="106"/>
        <v>5.8618047879999997</v>
      </c>
      <c r="V768">
        <f t="shared" si="107"/>
        <v>5.8000000000000003E-2</v>
      </c>
      <c r="W768">
        <f t="shared" si="108"/>
        <v>0.247</v>
      </c>
      <c r="X768">
        <f t="shared" si="109"/>
        <v>0.56499999999999995</v>
      </c>
      <c r="Y768">
        <v>244.056444</v>
      </c>
      <c r="Z768">
        <v>0</v>
      </c>
      <c r="AA768">
        <v>454184</v>
      </c>
      <c r="AB768">
        <v>170596</v>
      </c>
      <c r="AC768">
        <v>6.5715274000000004E-2</v>
      </c>
      <c r="AD768">
        <v>0.72549415100000003</v>
      </c>
      <c r="AF768">
        <v>10.533102039999999</v>
      </c>
      <c r="AG768">
        <v>7.9000000000000001E-2</v>
      </c>
      <c r="AH768">
        <v>3.1E-2</v>
      </c>
      <c r="AI768">
        <v>0.66800000000000004</v>
      </c>
      <c r="AJ768">
        <v>2.0870000000000002</v>
      </c>
      <c r="AK768">
        <v>5.8618047879999997</v>
      </c>
      <c r="AL768">
        <v>5.8000000000000003E-2</v>
      </c>
      <c r="AM768">
        <v>0.247</v>
      </c>
      <c r="AN768">
        <v>0.56499999999999995</v>
      </c>
    </row>
    <row r="769" spans="1:40">
      <c r="A769">
        <v>2837</v>
      </c>
      <c r="B769" t="s">
        <v>690</v>
      </c>
      <c r="C769" t="s">
        <v>687</v>
      </c>
      <c r="D769" t="s">
        <v>688</v>
      </c>
      <c r="E769">
        <v>765</v>
      </c>
      <c r="F769">
        <v>1915</v>
      </c>
      <c r="G769">
        <v>88.594035489999996</v>
      </c>
      <c r="H769">
        <v>43</v>
      </c>
      <c r="I769">
        <v>0.13848838299999999</v>
      </c>
      <c r="J769">
        <v>1958</v>
      </c>
      <c r="K769">
        <v>14138.37</v>
      </c>
      <c r="L769">
        <v>0.77400000000000002</v>
      </c>
      <c r="M769">
        <v>5.3217821999999998E-2</v>
      </c>
      <c r="N769">
        <v>0</v>
      </c>
      <c r="O769" t="s">
        <v>613</v>
      </c>
      <c r="P769">
        <f t="shared" si="101"/>
        <v>10.461282049999999</v>
      </c>
      <c r="Q769">
        <f t="shared" si="102"/>
        <v>5.7000000000000002E-2</v>
      </c>
      <c r="R769">
        <f t="shared" si="103"/>
        <v>3.6999999999999998E-2</v>
      </c>
      <c r="S769">
        <f t="shared" si="104"/>
        <v>0.77400000000000002</v>
      </c>
      <c r="T769">
        <f t="shared" si="105"/>
        <v>2.5202777780000001</v>
      </c>
      <c r="U769">
        <f t="shared" si="106"/>
        <v>6.6166170500000003</v>
      </c>
      <c r="V769">
        <f t="shared" si="107"/>
        <v>6.3E-2</v>
      </c>
      <c r="W769">
        <f t="shared" si="108"/>
        <v>0.16300000000000001</v>
      </c>
      <c r="X769">
        <f t="shared" si="109"/>
        <v>0.70599999999999996</v>
      </c>
      <c r="Y769">
        <v>192.6047605</v>
      </c>
      <c r="Z769">
        <v>0</v>
      </c>
      <c r="AA769">
        <v>82284</v>
      </c>
      <c r="AB769">
        <v>32030</v>
      </c>
      <c r="AC769">
        <v>4.7570397E-2</v>
      </c>
      <c r="AD769">
        <v>0.78974696300000002</v>
      </c>
      <c r="AF769">
        <v>10.461282049999999</v>
      </c>
      <c r="AG769">
        <v>5.7000000000000002E-2</v>
      </c>
      <c r="AH769">
        <v>3.6999999999999998E-2</v>
      </c>
      <c r="AI769">
        <v>0.77400000000000002</v>
      </c>
      <c r="AJ769">
        <v>2.5202777780000001</v>
      </c>
      <c r="AK769">
        <v>6.6166170500000003</v>
      </c>
      <c r="AL769">
        <v>6.3E-2</v>
      </c>
      <c r="AM769">
        <v>0.16300000000000001</v>
      </c>
      <c r="AN769">
        <v>0.70599999999999996</v>
      </c>
    </row>
    <row r="770" spans="1:40">
      <c r="A770">
        <v>2838</v>
      </c>
      <c r="B770" t="s">
        <v>689</v>
      </c>
      <c r="C770" t="s">
        <v>687</v>
      </c>
      <c r="D770" t="s">
        <v>688</v>
      </c>
      <c r="E770">
        <v>231</v>
      </c>
      <c r="F770">
        <v>907</v>
      </c>
      <c r="G770">
        <v>28.968174879999999</v>
      </c>
      <c r="H770">
        <v>280</v>
      </c>
      <c r="I770">
        <v>4.5281802000000003E-2</v>
      </c>
      <c r="J770">
        <v>1187</v>
      </c>
      <c r="K770">
        <v>26213.621090000001</v>
      </c>
      <c r="L770">
        <v>0.75600000000000001</v>
      </c>
      <c r="M770">
        <v>0.54794520499999999</v>
      </c>
      <c r="N770">
        <v>0</v>
      </c>
      <c r="O770" t="s">
        <v>613</v>
      </c>
      <c r="P770">
        <f t="shared" si="101"/>
        <v>13.44680556</v>
      </c>
      <c r="Q770">
        <f t="shared" si="102"/>
        <v>3.6999999999999998E-2</v>
      </c>
      <c r="R770">
        <f t="shared" si="103"/>
        <v>0.03</v>
      </c>
      <c r="S770">
        <f t="shared" si="104"/>
        <v>0.75600000000000001</v>
      </c>
      <c r="T770">
        <f t="shared" si="105"/>
        <v>2.121</v>
      </c>
      <c r="U770">
        <f t="shared" si="106"/>
        <v>6.3514794520000004</v>
      </c>
      <c r="V770">
        <f t="shared" si="107"/>
        <v>6.4000000000000001E-2</v>
      </c>
      <c r="W770">
        <f t="shared" si="108"/>
        <v>0.17</v>
      </c>
      <c r="X770">
        <f t="shared" si="109"/>
        <v>0.76600000000000001</v>
      </c>
      <c r="Y770">
        <v>112.733324</v>
      </c>
      <c r="Z770">
        <v>0</v>
      </c>
      <c r="AA770">
        <v>454184</v>
      </c>
      <c r="AB770">
        <v>170596</v>
      </c>
      <c r="AC770">
        <v>6.5715274000000004E-2</v>
      </c>
      <c r="AD770">
        <v>0.72549415100000003</v>
      </c>
      <c r="AF770">
        <v>13.44680556</v>
      </c>
      <c r="AG770">
        <v>3.6999999999999998E-2</v>
      </c>
      <c r="AH770">
        <v>0.03</v>
      </c>
      <c r="AI770">
        <v>0.75600000000000001</v>
      </c>
      <c r="AJ770">
        <v>2.121</v>
      </c>
      <c r="AK770">
        <v>6.3514794520000004</v>
      </c>
      <c r="AL770">
        <v>6.4000000000000001E-2</v>
      </c>
      <c r="AM770">
        <v>0.17</v>
      </c>
      <c r="AN770">
        <v>0.76600000000000001</v>
      </c>
    </row>
    <row r="771" spans="1:40">
      <c r="A771">
        <v>2839</v>
      </c>
      <c r="B771" t="s">
        <v>689</v>
      </c>
      <c r="C771" t="s">
        <v>687</v>
      </c>
      <c r="D771" t="s">
        <v>688</v>
      </c>
      <c r="E771">
        <v>165</v>
      </c>
      <c r="F771">
        <v>676</v>
      </c>
      <c r="G771">
        <v>19.367035250000001</v>
      </c>
      <c r="H771">
        <v>30</v>
      </c>
      <c r="I771">
        <v>3.0273544999999999E-2</v>
      </c>
      <c r="J771">
        <v>706</v>
      </c>
      <c r="K771">
        <v>23320.69138</v>
      </c>
      <c r="L771">
        <v>0.78</v>
      </c>
      <c r="M771">
        <v>0.15384615400000001</v>
      </c>
      <c r="N771">
        <v>0</v>
      </c>
      <c r="O771" t="s">
        <v>613</v>
      </c>
      <c r="P771">
        <f t="shared" si="101"/>
        <v>8.8074193550000004</v>
      </c>
      <c r="Q771">
        <f t="shared" si="102"/>
        <v>2.7E-2</v>
      </c>
      <c r="R771">
        <f t="shared" si="103"/>
        <v>1.6E-2</v>
      </c>
      <c r="S771">
        <f t="shared" si="104"/>
        <v>0.78</v>
      </c>
      <c r="T771">
        <f t="shared" si="105"/>
        <v>3.3250000000000002</v>
      </c>
      <c r="U771">
        <f t="shared" si="106"/>
        <v>5.825783972</v>
      </c>
      <c r="V771">
        <f t="shared" si="107"/>
        <v>6.2414117647058849E-2</v>
      </c>
      <c r="W771">
        <f t="shared" si="108"/>
        <v>6.0999999999999999E-2</v>
      </c>
      <c r="X771">
        <f t="shared" si="109"/>
        <v>0.93899999999999995</v>
      </c>
      <c r="Y771">
        <v>171.0807714</v>
      </c>
      <c r="Z771">
        <v>0</v>
      </c>
      <c r="AA771">
        <v>454184</v>
      </c>
      <c r="AB771">
        <v>170596</v>
      </c>
      <c r="AC771">
        <v>6.5715274000000004E-2</v>
      </c>
      <c r="AD771">
        <v>0.72549415100000003</v>
      </c>
      <c r="AF771">
        <v>8.8074193550000004</v>
      </c>
      <c r="AG771">
        <v>2.7E-2</v>
      </c>
      <c r="AH771">
        <v>1.6E-2</v>
      </c>
      <c r="AI771">
        <v>0.78</v>
      </c>
      <c r="AJ771">
        <v>3.3250000000000002</v>
      </c>
      <c r="AK771">
        <v>5.825783972</v>
      </c>
      <c r="AL771">
        <v>0</v>
      </c>
      <c r="AM771">
        <v>6.0999999999999999E-2</v>
      </c>
      <c r="AN771">
        <v>0.93899999999999995</v>
      </c>
    </row>
    <row r="772" spans="1:40">
      <c r="A772">
        <v>2840</v>
      </c>
      <c r="B772" t="s">
        <v>689</v>
      </c>
      <c r="C772" t="s">
        <v>687</v>
      </c>
      <c r="D772" t="s">
        <v>688</v>
      </c>
      <c r="E772">
        <v>225</v>
      </c>
      <c r="F772">
        <v>695</v>
      </c>
      <c r="G772">
        <v>35.318524119999999</v>
      </c>
      <c r="H772">
        <v>58</v>
      </c>
      <c r="I772">
        <v>5.5208656000000002E-2</v>
      </c>
      <c r="J772">
        <v>753</v>
      </c>
      <c r="K772">
        <v>13639.165569999999</v>
      </c>
      <c r="L772">
        <v>0.78900000000000003</v>
      </c>
      <c r="M772">
        <v>0.20494699599999999</v>
      </c>
      <c r="N772">
        <v>0</v>
      </c>
      <c r="O772" t="s">
        <v>613</v>
      </c>
      <c r="P772">
        <f t="shared" si="101"/>
        <v>15.118142860000001</v>
      </c>
      <c r="Q772">
        <f t="shared" si="102"/>
        <v>2.9000000000000001E-2</v>
      </c>
      <c r="R772">
        <f t="shared" si="103"/>
        <v>2.5000000000000001E-2</v>
      </c>
      <c r="S772">
        <f t="shared" si="104"/>
        <v>0.78900000000000003</v>
      </c>
      <c r="T772">
        <f t="shared" si="105"/>
        <v>2.8857142859999998</v>
      </c>
      <c r="U772">
        <f t="shared" si="106"/>
        <v>7.420761905</v>
      </c>
      <c r="V772">
        <f t="shared" si="107"/>
        <v>2.4E-2</v>
      </c>
      <c r="W772">
        <f t="shared" si="108"/>
        <v>0.13300000000000001</v>
      </c>
      <c r="X772">
        <f t="shared" si="109"/>
        <v>0.84299999999999997</v>
      </c>
      <c r="Y772">
        <v>175.36870949999999</v>
      </c>
      <c r="Z772">
        <v>0</v>
      </c>
      <c r="AA772">
        <v>454184</v>
      </c>
      <c r="AB772">
        <v>170596</v>
      </c>
      <c r="AC772">
        <v>6.5715274000000004E-2</v>
      </c>
      <c r="AD772">
        <v>0.72549415100000003</v>
      </c>
      <c r="AF772">
        <v>15.118142860000001</v>
      </c>
      <c r="AG772">
        <v>2.9000000000000001E-2</v>
      </c>
      <c r="AH772">
        <v>2.5000000000000001E-2</v>
      </c>
      <c r="AI772">
        <v>0.78900000000000003</v>
      </c>
      <c r="AJ772">
        <v>2.8857142859999998</v>
      </c>
      <c r="AK772">
        <v>7.420761905</v>
      </c>
      <c r="AL772">
        <v>2.4E-2</v>
      </c>
      <c r="AM772">
        <v>0.13300000000000001</v>
      </c>
      <c r="AN772">
        <v>0.84299999999999997</v>
      </c>
    </row>
    <row r="773" spans="1:40">
      <c r="A773">
        <v>2841</v>
      </c>
      <c r="B773" t="s">
        <v>698</v>
      </c>
      <c r="C773" t="s">
        <v>693</v>
      </c>
      <c r="D773" t="s">
        <v>694</v>
      </c>
      <c r="E773">
        <v>14</v>
      </c>
      <c r="F773">
        <v>263</v>
      </c>
      <c r="G773">
        <v>76.089133489999995</v>
      </c>
      <c r="H773">
        <v>175</v>
      </c>
      <c r="I773">
        <v>0.118938083</v>
      </c>
      <c r="J773">
        <v>438</v>
      </c>
      <c r="K773">
        <v>3682.5883600000002</v>
      </c>
      <c r="L773">
        <v>0.82899999999999996</v>
      </c>
      <c r="M773">
        <v>0.92592592600000001</v>
      </c>
      <c r="N773">
        <v>0</v>
      </c>
      <c r="O773" t="s">
        <v>620</v>
      </c>
      <c r="P773">
        <f t="shared" si="101"/>
        <v>16.302045450000001</v>
      </c>
      <c r="Q773">
        <f t="shared" si="102"/>
        <v>1.452380952380952E-2</v>
      </c>
      <c r="R773">
        <f t="shared" si="103"/>
        <v>2.3E-2</v>
      </c>
      <c r="S773">
        <f t="shared" si="104"/>
        <v>0.82899999999999996</v>
      </c>
      <c r="T773">
        <f t="shared" si="105"/>
        <v>1.779615385</v>
      </c>
      <c r="U773">
        <f t="shared" si="106"/>
        <v>4.9689045549999999</v>
      </c>
      <c r="V773">
        <f t="shared" si="107"/>
        <v>4.0705882352941189E-2</v>
      </c>
      <c r="W773">
        <f t="shared" si="108"/>
        <v>5.2166666666666632E-2</v>
      </c>
      <c r="X773">
        <f t="shared" si="109"/>
        <v>1</v>
      </c>
      <c r="Y773">
        <v>180.0334063</v>
      </c>
      <c r="Z773">
        <v>0</v>
      </c>
      <c r="AA773">
        <v>88250</v>
      </c>
      <c r="AB773">
        <v>31723</v>
      </c>
      <c r="AC773">
        <v>1.0795895999999999E-2</v>
      </c>
      <c r="AD773">
        <v>0.817760245</v>
      </c>
      <c r="AF773">
        <v>16.302045450000001</v>
      </c>
      <c r="AG773">
        <v>0</v>
      </c>
      <c r="AH773">
        <v>2.3E-2</v>
      </c>
      <c r="AI773">
        <v>0.82899999999999996</v>
      </c>
      <c r="AJ773">
        <v>1.779615385</v>
      </c>
      <c r="AK773">
        <v>4.9689045549999999</v>
      </c>
      <c r="AL773">
        <v>0</v>
      </c>
      <c r="AM773">
        <v>0</v>
      </c>
      <c r="AN773">
        <v>1</v>
      </c>
    </row>
    <row r="774" spans="1:40">
      <c r="A774">
        <v>2842</v>
      </c>
      <c r="B774" t="s">
        <v>698</v>
      </c>
      <c r="C774" t="s">
        <v>693</v>
      </c>
      <c r="D774" t="s">
        <v>694</v>
      </c>
      <c r="E774">
        <v>269</v>
      </c>
      <c r="F774">
        <v>803</v>
      </c>
      <c r="G774">
        <v>55.125396690000002</v>
      </c>
      <c r="H774">
        <v>0</v>
      </c>
      <c r="I774">
        <v>8.6163612000000001E-2</v>
      </c>
      <c r="J774">
        <v>803</v>
      </c>
      <c r="K774">
        <v>9319.4793179999997</v>
      </c>
      <c r="L774">
        <v>0.83799999999999997</v>
      </c>
      <c r="M774">
        <v>0</v>
      </c>
      <c r="N774">
        <v>0</v>
      </c>
      <c r="O774" t="s">
        <v>625</v>
      </c>
      <c r="P774">
        <f t="shared" si="101"/>
        <v>19.353373489999999</v>
      </c>
      <c r="Q774">
        <f t="shared" si="102"/>
        <v>7.0000000000000001E-3</v>
      </c>
      <c r="R774">
        <f t="shared" si="103"/>
        <v>1.2E-2</v>
      </c>
      <c r="S774">
        <f t="shared" si="104"/>
        <v>0.83799999999999997</v>
      </c>
      <c r="T774">
        <f t="shared" si="105"/>
        <v>2.2879999999999998</v>
      </c>
      <c r="U774">
        <f t="shared" si="106"/>
        <v>6.5833236570000002</v>
      </c>
      <c r="V774">
        <f t="shared" si="107"/>
        <v>4.0705882352941189E-2</v>
      </c>
      <c r="W774">
        <f t="shared" si="108"/>
        <v>2.3E-2</v>
      </c>
      <c r="X774">
        <f t="shared" si="109"/>
        <v>0.95399999999999996</v>
      </c>
      <c r="Y774">
        <v>180.33860290000001</v>
      </c>
      <c r="Z774">
        <v>0</v>
      </c>
      <c r="AA774">
        <v>88250</v>
      </c>
      <c r="AB774">
        <v>31723</v>
      </c>
      <c r="AC774">
        <v>1.0795895999999999E-2</v>
      </c>
      <c r="AD774">
        <v>0.817760245</v>
      </c>
      <c r="AF774">
        <v>19.353373489999999</v>
      </c>
      <c r="AG774">
        <v>7.0000000000000001E-3</v>
      </c>
      <c r="AH774">
        <v>1.2E-2</v>
      </c>
      <c r="AI774">
        <v>0.83799999999999997</v>
      </c>
      <c r="AJ774">
        <v>2.2879999999999998</v>
      </c>
      <c r="AK774">
        <v>6.5833236570000002</v>
      </c>
      <c r="AL774">
        <v>0</v>
      </c>
      <c r="AM774">
        <v>2.3E-2</v>
      </c>
      <c r="AN774">
        <v>0.95399999999999996</v>
      </c>
    </row>
    <row r="775" spans="1:40">
      <c r="A775">
        <v>2843</v>
      </c>
      <c r="B775" t="s">
        <v>698</v>
      </c>
      <c r="C775" t="s">
        <v>693</v>
      </c>
      <c r="D775" t="s">
        <v>694</v>
      </c>
      <c r="E775">
        <v>276</v>
      </c>
      <c r="F775">
        <v>797</v>
      </c>
      <c r="G775">
        <v>131.0527554</v>
      </c>
      <c r="H775">
        <v>121</v>
      </c>
      <c r="I775">
        <v>0.204853707</v>
      </c>
      <c r="J775">
        <v>918</v>
      </c>
      <c r="K775">
        <v>4481.2467070000002</v>
      </c>
      <c r="L775">
        <v>0.81599999999999995</v>
      </c>
      <c r="M775">
        <v>0.304785894</v>
      </c>
      <c r="N775">
        <v>0</v>
      </c>
      <c r="O775" t="s">
        <v>625</v>
      </c>
      <c r="P775">
        <f t="shared" si="101"/>
        <v>19.690416670000001</v>
      </c>
      <c r="Q775">
        <f t="shared" si="102"/>
        <v>1.4E-2</v>
      </c>
      <c r="R775">
        <f t="shared" si="103"/>
        <v>1.4E-2</v>
      </c>
      <c r="S775">
        <f t="shared" si="104"/>
        <v>0.81599999999999995</v>
      </c>
      <c r="T775">
        <f t="shared" si="105"/>
        <v>2.2266666669999999</v>
      </c>
      <c r="U775">
        <f t="shared" si="106"/>
        <v>9.7489349109999992</v>
      </c>
      <c r="V775">
        <f t="shared" si="107"/>
        <v>2.4E-2</v>
      </c>
      <c r="W775">
        <f t="shared" si="108"/>
        <v>4.8000000000000001E-2</v>
      </c>
      <c r="X775">
        <f t="shared" si="109"/>
        <v>0.86699999999999999</v>
      </c>
      <c r="Y775">
        <v>122.8884707</v>
      </c>
      <c r="Z775">
        <v>0</v>
      </c>
      <c r="AA775">
        <v>88250</v>
      </c>
      <c r="AB775">
        <v>31723</v>
      </c>
      <c r="AC775">
        <v>1.0795895999999999E-2</v>
      </c>
      <c r="AD775">
        <v>0.817760245</v>
      </c>
      <c r="AF775">
        <v>19.690416670000001</v>
      </c>
      <c r="AG775">
        <v>1.4E-2</v>
      </c>
      <c r="AH775">
        <v>1.4E-2</v>
      </c>
      <c r="AI775">
        <v>0.81599999999999995</v>
      </c>
      <c r="AJ775">
        <v>2.2266666669999999</v>
      </c>
      <c r="AK775">
        <v>9.7489349109999992</v>
      </c>
      <c r="AL775">
        <v>2.4E-2</v>
      </c>
      <c r="AM775">
        <v>4.8000000000000001E-2</v>
      </c>
      <c r="AN775">
        <v>0.86699999999999999</v>
      </c>
    </row>
    <row r="776" spans="1:40">
      <c r="A776">
        <v>2844</v>
      </c>
      <c r="B776" t="s">
        <v>689</v>
      </c>
      <c r="C776" t="s">
        <v>687</v>
      </c>
      <c r="D776" t="s">
        <v>688</v>
      </c>
      <c r="E776">
        <v>665</v>
      </c>
      <c r="F776">
        <v>1804</v>
      </c>
      <c r="G776">
        <v>47.195705340000004</v>
      </c>
      <c r="H776">
        <v>371</v>
      </c>
      <c r="I776">
        <v>7.3768873999999998E-2</v>
      </c>
      <c r="J776">
        <v>2175</v>
      </c>
      <c r="K776">
        <v>29483.979920000002</v>
      </c>
      <c r="L776">
        <v>0.69199999999999995</v>
      </c>
      <c r="M776">
        <v>0.35810810799999998</v>
      </c>
      <c r="N776">
        <v>0</v>
      </c>
      <c r="O776" t="s">
        <v>613</v>
      </c>
      <c r="P776">
        <f t="shared" si="101"/>
        <v>10.66954248</v>
      </c>
      <c r="Q776">
        <f t="shared" si="102"/>
        <v>7.3999999999999996E-2</v>
      </c>
      <c r="R776">
        <f t="shared" si="103"/>
        <v>4.2000000000000003E-2</v>
      </c>
      <c r="S776">
        <f t="shared" si="104"/>
        <v>0.69199999999999995</v>
      </c>
      <c r="T776">
        <f t="shared" si="105"/>
        <v>2.2563934429999999</v>
      </c>
      <c r="U776">
        <f t="shared" si="106"/>
        <v>5.7217412940000001</v>
      </c>
      <c r="V776">
        <f t="shared" si="107"/>
        <v>7.0000000000000007E-2</v>
      </c>
      <c r="W776">
        <f t="shared" si="108"/>
        <v>0.23</v>
      </c>
      <c r="X776">
        <f t="shared" si="109"/>
        <v>0.627</v>
      </c>
      <c r="Y776">
        <v>140.49298640000001</v>
      </c>
      <c r="Z776">
        <v>0</v>
      </c>
      <c r="AA776">
        <v>454184</v>
      </c>
      <c r="AB776">
        <v>170596</v>
      </c>
      <c r="AC776">
        <v>6.5715274000000004E-2</v>
      </c>
      <c r="AD776">
        <v>0.72549415100000003</v>
      </c>
      <c r="AF776">
        <v>10.66954248</v>
      </c>
      <c r="AG776">
        <v>7.3999999999999996E-2</v>
      </c>
      <c r="AH776">
        <v>4.2000000000000003E-2</v>
      </c>
      <c r="AI776">
        <v>0.69199999999999995</v>
      </c>
      <c r="AJ776">
        <v>2.2563934429999999</v>
      </c>
      <c r="AK776">
        <v>5.7217412940000001</v>
      </c>
      <c r="AL776">
        <v>7.0000000000000007E-2</v>
      </c>
      <c r="AM776">
        <v>0.23</v>
      </c>
      <c r="AN776">
        <v>0.627</v>
      </c>
    </row>
    <row r="777" spans="1:40">
      <c r="A777">
        <v>2845</v>
      </c>
      <c r="B777" t="s">
        <v>689</v>
      </c>
      <c r="C777" t="s">
        <v>687</v>
      </c>
      <c r="D777" t="s">
        <v>688</v>
      </c>
      <c r="E777">
        <v>468</v>
      </c>
      <c r="F777">
        <v>1413</v>
      </c>
      <c r="G777">
        <v>66.511644459999999</v>
      </c>
      <c r="H777">
        <v>1706</v>
      </c>
      <c r="I777">
        <v>0.10396791800000001</v>
      </c>
      <c r="J777">
        <v>3119</v>
      </c>
      <c r="K777">
        <v>29999.638930000001</v>
      </c>
      <c r="L777">
        <v>0.78500000000000003</v>
      </c>
      <c r="M777">
        <v>0.78472861100000002</v>
      </c>
      <c r="N777">
        <v>1</v>
      </c>
      <c r="O777" t="s">
        <v>613</v>
      </c>
      <c r="P777">
        <f t="shared" si="101"/>
        <v>12.950608369999999</v>
      </c>
      <c r="Q777">
        <f t="shared" si="102"/>
        <v>0.08</v>
      </c>
      <c r="R777">
        <f t="shared" si="103"/>
        <v>0.01</v>
      </c>
      <c r="S777">
        <f t="shared" si="104"/>
        <v>0.78500000000000003</v>
      </c>
      <c r="T777">
        <f t="shared" si="105"/>
        <v>2.2174999999999998</v>
      </c>
      <c r="U777">
        <f t="shared" si="106"/>
        <v>7.4583571429999997</v>
      </c>
      <c r="V777">
        <f t="shared" si="107"/>
        <v>1.4999999999999999E-2</v>
      </c>
      <c r="W777">
        <f t="shared" si="108"/>
        <v>0.16600000000000001</v>
      </c>
      <c r="X777">
        <f t="shared" si="109"/>
        <v>0.76500000000000001</v>
      </c>
      <c r="Y777">
        <v>135.74452210000001</v>
      </c>
      <c r="Z777">
        <v>0</v>
      </c>
      <c r="AA777">
        <v>454184</v>
      </c>
      <c r="AB777">
        <v>170596</v>
      </c>
      <c r="AC777">
        <v>6.5715274000000004E-2</v>
      </c>
      <c r="AD777">
        <v>0.72549415100000003</v>
      </c>
      <c r="AF777">
        <v>12.950608369999999</v>
      </c>
      <c r="AG777">
        <v>0.08</v>
      </c>
      <c r="AH777">
        <v>0.01</v>
      </c>
      <c r="AI777">
        <v>0.78500000000000003</v>
      </c>
      <c r="AJ777">
        <v>2.2174999999999998</v>
      </c>
      <c r="AK777">
        <v>7.4583571429999997</v>
      </c>
      <c r="AL777">
        <v>1.4999999999999999E-2</v>
      </c>
      <c r="AM777">
        <v>0.16600000000000001</v>
      </c>
      <c r="AN777">
        <v>0.76500000000000001</v>
      </c>
    </row>
    <row r="778" spans="1:40">
      <c r="A778">
        <v>2846</v>
      </c>
      <c r="B778" t="s">
        <v>689</v>
      </c>
      <c r="C778" t="s">
        <v>687</v>
      </c>
      <c r="D778" t="s">
        <v>688</v>
      </c>
      <c r="E778">
        <v>290</v>
      </c>
      <c r="F778">
        <v>498</v>
      </c>
      <c r="G778">
        <v>41.135151710000002</v>
      </c>
      <c r="H778">
        <v>203</v>
      </c>
      <c r="I778">
        <v>6.4299360999999999E-2</v>
      </c>
      <c r="J778">
        <v>701</v>
      </c>
      <c r="K778">
        <v>10902.13012</v>
      </c>
      <c r="L778">
        <v>0.76800000000000002</v>
      </c>
      <c r="M778">
        <v>0.41176470599999998</v>
      </c>
      <c r="N778">
        <v>0</v>
      </c>
      <c r="O778" t="s">
        <v>613</v>
      </c>
      <c r="P778">
        <f t="shared" si="101"/>
        <v>10.35705128</v>
      </c>
      <c r="Q778">
        <f t="shared" si="102"/>
        <v>3.4000000000000002E-2</v>
      </c>
      <c r="R778">
        <f t="shared" si="103"/>
        <v>3.9E-2</v>
      </c>
      <c r="S778">
        <f t="shared" si="104"/>
        <v>0.76800000000000002</v>
      </c>
      <c r="T778">
        <f t="shared" si="105"/>
        <v>2.2331818179999998</v>
      </c>
      <c r="U778">
        <f t="shared" si="106"/>
        <v>6.9432089550000002</v>
      </c>
      <c r="V778">
        <f t="shared" si="107"/>
        <v>6.2E-2</v>
      </c>
      <c r="W778">
        <f t="shared" si="108"/>
        <v>0.14199999999999999</v>
      </c>
      <c r="X778">
        <f t="shared" si="109"/>
        <v>0.69</v>
      </c>
      <c r="Y778">
        <v>166.3412955</v>
      </c>
      <c r="Z778">
        <v>0</v>
      </c>
      <c r="AA778">
        <v>454184</v>
      </c>
      <c r="AB778">
        <v>170596</v>
      </c>
      <c r="AC778">
        <v>6.5715274000000004E-2</v>
      </c>
      <c r="AD778">
        <v>0.72549415100000003</v>
      </c>
      <c r="AF778">
        <v>10.35705128</v>
      </c>
      <c r="AG778">
        <v>3.4000000000000002E-2</v>
      </c>
      <c r="AH778">
        <v>3.9E-2</v>
      </c>
      <c r="AI778">
        <v>0.76800000000000002</v>
      </c>
      <c r="AJ778">
        <v>2.2331818179999998</v>
      </c>
      <c r="AK778">
        <v>6.9432089550000002</v>
      </c>
      <c r="AL778">
        <v>6.2E-2</v>
      </c>
      <c r="AM778">
        <v>0.14199999999999999</v>
      </c>
      <c r="AN778">
        <v>0.69</v>
      </c>
    </row>
    <row r="779" spans="1:40">
      <c r="A779">
        <v>2847</v>
      </c>
      <c r="B779" t="s">
        <v>700</v>
      </c>
      <c r="C779" t="s">
        <v>687</v>
      </c>
      <c r="D779" t="s">
        <v>688</v>
      </c>
      <c r="E779">
        <v>141</v>
      </c>
      <c r="F779">
        <v>151</v>
      </c>
      <c r="G779">
        <v>39.135708729999998</v>
      </c>
      <c r="H779">
        <v>2877</v>
      </c>
      <c r="I779">
        <v>6.1171903999999999E-2</v>
      </c>
      <c r="J779">
        <v>3028</v>
      </c>
      <c r="K779">
        <v>49499.848819999999</v>
      </c>
      <c r="L779">
        <v>0.81100000000000005</v>
      </c>
      <c r="M779">
        <v>0.95328031800000002</v>
      </c>
      <c r="N779">
        <v>0</v>
      </c>
      <c r="O779" t="s">
        <v>606</v>
      </c>
      <c r="P779">
        <f t="shared" si="101"/>
        <v>14.50387991</v>
      </c>
      <c r="Q779">
        <f t="shared" si="102"/>
        <v>3.6999999999999998E-2</v>
      </c>
      <c r="R779">
        <f t="shared" si="103"/>
        <v>1.4E-2</v>
      </c>
      <c r="S779">
        <f t="shared" si="104"/>
        <v>0.81100000000000005</v>
      </c>
      <c r="T779">
        <f t="shared" si="105"/>
        <v>2.3353125000000001</v>
      </c>
      <c r="U779">
        <f t="shared" si="106"/>
        <v>8.8045858480000003</v>
      </c>
      <c r="V779">
        <f t="shared" si="107"/>
        <v>4.3999999999999997E-2</v>
      </c>
      <c r="W779">
        <f t="shared" si="108"/>
        <v>8.6999999999999994E-2</v>
      </c>
      <c r="X779">
        <f t="shared" si="109"/>
        <v>0.83799999999999997</v>
      </c>
      <c r="Y779">
        <v>164.94847680000001</v>
      </c>
      <c r="Z779">
        <v>0</v>
      </c>
      <c r="AA779">
        <v>15503</v>
      </c>
      <c r="AB779">
        <v>7551</v>
      </c>
      <c r="AC779">
        <v>4.9459042000000002E-2</v>
      </c>
      <c r="AD779">
        <v>0.76960973700000002</v>
      </c>
      <c r="AF779">
        <v>14.50387991</v>
      </c>
      <c r="AG779">
        <v>3.6999999999999998E-2</v>
      </c>
      <c r="AH779">
        <v>1.4E-2</v>
      </c>
      <c r="AI779">
        <v>0.81100000000000005</v>
      </c>
      <c r="AJ779">
        <v>2.3353125000000001</v>
      </c>
      <c r="AK779">
        <v>8.8045858480000003</v>
      </c>
      <c r="AL779">
        <v>4.3999999999999997E-2</v>
      </c>
      <c r="AM779">
        <v>8.6999999999999994E-2</v>
      </c>
      <c r="AN779">
        <v>0.83799999999999997</v>
      </c>
    </row>
    <row r="780" spans="1:40">
      <c r="A780">
        <v>2848</v>
      </c>
      <c r="B780" t="s">
        <v>700</v>
      </c>
      <c r="C780" t="s">
        <v>687</v>
      </c>
      <c r="D780" t="s">
        <v>688</v>
      </c>
      <c r="E780">
        <v>549</v>
      </c>
      <c r="F780">
        <v>1353</v>
      </c>
      <c r="G780">
        <v>34.808916199999999</v>
      </c>
      <c r="H780">
        <v>635</v>
      </c>
      <c r="I780">
        <v>5.4413573E-2</v>
      </c>
      <c r="J780">
        <v>1988</v>
      </c>
      <c r="K780">
        <v>36535.002030000003</v>
      </c>
      <c r="L780">
        <v>0.71299999999999997</v>
      </c>
      <c r="M780">
        <v>0.53631756799999997</v>
      </c>
      <c r="N780">
        <v>0</v>
      </c>
      <c r="O780" t="s">
        <v>606</v>
      </c>
      <c r="P780">
        <f t="shared" ref="P780:P843" si="110">IF(OR(IFERROR(AF780=0,TRUE),ISERROR(AF780)),AVERAGEIFS(AF:AF,$B:$B,$B780,AF:AF,"&gt;0"),AF780)</f>
        <v>13.65305085</v>
      </c>
      <c r="Q780">
        <f t="shared" ref="Q780:Q843" si="111">IF(OR(IFERROR(AG780=0,TRUE),ISERROR(AG780)),AVERAGEIFS(AG:AG,$B:$B,$B780,AG:AG,"&gt;0"),AG780)</f>
        <v>5.5E-2</v>
      </c>
      <c r="R780">
        <f t="shared" ref="R780:R843" si="112">IF(OR(IFERROR(AH780=0,TRUE),ISERROR(AH780)),AVERAGEIFS(AH:AH,$B:$B,$B780,AH:AH,"&gt;0"),AH780)</f>
        <v>2.1999999999999999E-2</v>
      </c>
      <c r="S780">
        <f t="shared" ref="S780:S843" si="113">IF(OR(IFERROR(AI780=0,TRUE),ISERROR(AI780)),AVERAGEIFS(AI:AI,$B:$B,$B780,AI:AI,"&gt;0"),AI780)</f>
        <v>0.71299999999999997</v>
      </c>
      <c r="T780">
        <f t="shared" ref="T780:T843" si="114">IF(OR(IFERROR(AJ780=0,TRUE),ISERROR(AJ780)),AVERAGEIFS(AJ:AJ,$B:$B,$B780,AJ:AJ,"&gt;0"),AJ780)</f>
        <v>2.39</v>
      </c>
      <c r="U780">
        <f t="shared" ref="U780:U843" si="115">IF(OR(IFERROR(AK780=0,TRUE),ISERROR(AK780)),AVERAGEIFS(AK:AK,$B:$B,$B780,AK:AK,"&gt;0"),AK780)</f>
        <v>6.4658509320000004</v>
      </c>
      <c r="V780">
        <f t="shared" ref="V780:V843" si="116">IF(OR(IFERROR(AL780=0,TRUE),ISERROR(AL780)),AVERAGEIFS(AL:AL,$B:$B,$B780,AL:AL,"&gt;0"),AL780)</f>
        <v>6.4000000000000001E-2</v>
      </c>
      <c r="W780">
        <f t="shared" ref="W780:W843" si="117">IF(OR(IFERROR(AM780=0,TRUE),ISERROR(AM780)),AVERAGEIFS(AM:AM,$B:$B,$B780,AM:AM,"&gt;0"),AM780)</f>
        <v>0.16</v>
      </c>
      <c r="X780">
        <f t="shared" ref="X780:X843" si="118">IF(OR(IFERROR(AN780=0,TRUE),ISERROR(AN780)),AVERAGEIFS(AN:AN,$B:$B,$B780,AN:AN,"&gt;0"),AN780)</f>
        <v>0.628</v>
      </c>
      <c r="Y780">
        <v>655.89163910000002</v>
      </c>
      <c r="Z780">
        <v>0</v>
      </c>
      <c r="AA780">
        <v>15503</v>
      </c>
      <c r="AB780">
        <v>7551</v>
      </c>
      <c r="AC780">
        <v>4.9459042000000002E-2</v>
      </c>
      <c r="AD780">
        <v>0.76960973700000002</v>
      </c>
      <c r="AF780">
        <v>13.65305085</v>
      </c>
      <c r="AG780">
        <v>5.5E-2</v>
      </c>
      <c r="AH780">
        <v>2.1999999999999999E-2</v>
      </c>
      <c r="AI780">
        <v>0.71299999999999997</v>
      </c>
      <c r="AJ780">
        <v>2.39</v>
      </c>
      <c r="AK780">
        <v>6.4658509320000004</v>
      </c>
      <c r="AL780">
        <v>6.4000000000000001E-2</v>
      </c>
      <c r="AM780">
        <v>0.16</v>
      </c>
      <c r="AN780">
        <v>0.628</v>
      </c>
    </row>
    <row r="781" spans="1:40">
      <c r="A781">
        <v>2849</v>
      </c>
      <c r="B781" t="s">
        <v>700</v>
      </c>
      <c r="C781" t="s">
        <v>687</v>
      </c>
      <c r="D781" t="s">
        <v>688</v>
      </c>
      <c r="E781">
        <v>602</v>
      </c>
      <c r="F781">
        <v>1144</v>
      </c>
      <c r="G781">
        <v>22.907488480000001</v>
      </c>
      <c r="H781">
        <v>556</v>
      </c>
      <c r="I781">
        <v>3.5806755000000003E-2</v>
      </c>
      <c r="J781">
        <v>1700</v>
      </c>
      <c r="K781">
        <v>47477.075210000003</v>
      </c>
      <c r="L781">
        <v>0.76400000000000001</v>
      </c>
      <c r="M781">
        <v>0.480138169</v>
      </c>
      <c r="N781">
        <v>0</v>
      </c>
      <c r="O781" t="s">
        <v>613</v>
      </c>
      <c r="P781">
        <f t="shared" si="110"/>
        <v>10.55299145</v>
      </c>
      <c r="Q781">
        <f t="shared" si="111"/>
        <v>5.7000000000000002E-2</v>
      </c>
      <c r="R781">
        <f t="shared" si="112"/>
        <v>2.3E-2</v>
      </c>
      <c r="S781">
        <f t="shared" si="113"/>
        <v>0.76400000000000001</v>
      </c>
      <c r="T781">
        <f t="shared" si="114"/>
        <v>1.7070833329999999</v>
      </c>
      <c r="U781">
        <f t="shared" si="115"/>
        <v>5.856403061</v>
      </c>
      <c r="V781">
        <f t="shared" si="116"/>
        <v>4.2000000000000003E-2</v>
      </c>
      <c r="W781">
        <f t="shared" si="117"/>
        <v>0.223</v>
      </c>
      <c r="X781">
        <f t="shared" si="118"/>
        <v>0.70499999999999996</v>
      </c>
      <c r="Y781">
        <v>187.47136560000001</v>
      </c>
      <c r="Z781">
        <v>0</v>
      </c>
      <c r="AA781">
        <v>15503</v>
      </c>
      <c r="AB781">
        <v>7551</v>
      </c>
      <c r="AC781">
        <v>4.9459042000000002E-2</v>
      </c>
      <c r="AD781">
        <v>0.76960973700000002</v>
      </c>
      <c r="AF781">
        <v>10.55299145</v>
      </c>
      <c r="AG781">
        <v>5.7000000000000002E-2</v>
      </c>
      <c r="AH781">
        <v>2.3E-2</v>
      </c>
      <c r="AI781">
        <v>0.76400000000000001</v>
      </c>
      <c r="AJ781">
        <v>1.7070833329999999</v>
      </c>
      <c r="AK781">
        <v>5.856403061</v>
      </c>
      <c r="AL781">
        <v>4.2000000000000003E-2</v>
      </c>
      <c r="AM781">
        <v>0.223</v>
      </c>
      <c r="AN781">
        <v>0.70499999999999996</v>
      </c>
    </row>
    <row r="782" spans="1:40">
      <c r="A782">
        <v>2850</v>
      </c>
      <c r="B782" t="s">
        <v>690</v>
      </c>
      <c r="C782" t="s">
        <v>687</v>
      </c>
      <c r="D782" t="s">
        <v>688</v>
      </c>
      <c r="E782">
        <v>1112</v>
      </c>
      <c r="F782">
        <v>3232</v>
      </c>
      <c r="G782">
        <v>180.66318029999999</v>
      </c>
      <c r="H782">
        <v>112</v>
      </c>
      <c r="I782">
        <v>0.28238918000000002</v>
      </c>
      <c r="J782">
        <v>3344</v>
      </c>
      <c r="K782">
        <v>11841.81349</v>
      </c>
      <c r="L782">
        <v>0.85699999999999998</v>
      </c>
      <c r="M782">
        <v>9.1503267999999999E-2</v>
      </c>
      <c r="N782">
        <v>0</v>
      </c>
      <c r="O782" t="s">
        <v>620</v>
      </c>
      <c r="P782">
        <f t="shared" si="110"/>
        <v>13.913374490000001</v>
      </c>
      <c r="Q782">
        <f t="shared" si="111"/>
        <v>0.04</v>
      </c>
      <c r="R782">
        <f t="shared" si="112"/>
        <v>1.2999999999999999E-2</v>
      </c>
      <c r="S782">
        <f t="shared" si="113"/>
        <v>0.85699999999999998</v>
      </c>
      <c r="T782">
        <f t="shared" si="114"/>
        <v>2.4449999999999998</v>
      </c>
      <c r="U782">
        <f t="shared" si="115"/>
        <v>8.7695376249999999</v>
      </c>
      <c r="V782">
        <f t="shared" si="116"/>
        <v>3.4000000000000002E-2</v>
      </c>
      <c r="W782">
        <f t="shared" si="117"/>
        <v>0.13</v>
      </c>
      <c r="X782">
        <f t="shared" si="118"/>
        <v>0.82899999999999996</v>
      </c>
      <c r="Y782">
        <v>435.65279550000002</v>
      </c>
      <c r="Z782">
        <v>0</v>
      </c>
      <c r="AA782">
        <v>82284</v>
      </c>
      <c r="AB782">
        <v>32030</v>
      </c>
      <c r="AC782">
        <v>4.7570397E-2</v>
      </c>
      <c r="AD782">
        <v>0.78974696300000002</v>
      </c>
      <c r="AF782">
        <v>13.913374490000001</v>
      </c>
      <c r="AG782">
        <v>0.04</v>
      </c>
      <c r="AH782">
        <v>1.2999999999999999E-2</v>
      </c>
      <c r="AI782">
        <v>0.85699999999999998</v>
      </c>
      <c r="AJ782">
        <v>2.4449999999999998</v>
      </c>
      <c r="AK782">
        <v>8.7695376249999999</v>
      </c>
      <c r="AL782">
        <v>3.4000000000000002E-2</v>
      </c>
      <c r="AM782">
        <v>0.13</v>
      </c>
      <c r="AN782">
        <v>0.82899999999999996</v>
      </c>
    </row>
    <row r="783" spans="1:40">
      <c r="A783">
        <v>2851</v>
      </c>
      <c r="B783" t="s">
        <v>686</v>
      </c>
      <c r="C783" t="s">
        <v>687</v>
      </c>
      <c r="D783" t="s">
        <v>688</v>
      </c>
      <c r="E783">
        <v>781</v>
      </c>
      <c r="F783">
        <v>1843</v>
      </c>
      <c r="G783">
        <v>28.869427850000001</v>
      </c>
      <c r="H783">
        <v>157</v>
      </c>
      <c r="I783">
        <v>4.5125443000000001E-2</v>
      </c>
      <c r="J783">
        <v>2000</v>
      </c>
      <c r="K783">
        <v>44320.894529999998</v>
      </c>
      <c r="L783">
        <v>0.51400000000000001</v>
      </c>
      <c r="M783">
        <v>0.16737739900000001</v>
      </c>
      <c r="N783">
        <v>0</v>
      </c>
      <c r="O783" t="s">
        <v>606</v>
      </c>
      <c r="P783">
        <f t="shared" si="110"/>
        <v>11.765616440000001</v>
      </c>
      <c r="Q783">
        <f t="shared" si="111"/>
        <v>0.112</v>
      </c>
      <c r="R783">
        <f t="shared" si="112"/>
        <v>0.03</v>
      </c>
      <c r="S783">
        <f t="shared" si="113"/>
        <v>0.51400000000000001</v>
      </c>
      <c r="T783">
        <f t="shared" si="114"/>
        <v>1.722380952</v>
      </c>
      <c r="U783">
        <f t="shared" si="115"/>
        <v>6.2830087209999999</v>
      </c>
      <c r="V783">
        <f t="shared" si="116"/>
        <v>6.0999999999999999E-2</v>
      </c>
      <c r="W783">
        <f t="shared" si="117"/>
        <v>0.20699999999999999</v>
      </c>
      <c r="X783">
        <f t="shared" si="118"/>
        <v>0.495</v>
      </c>
      <c r="Y783">
        <v>133.12358370000001</v>
      </c>
      <c r="Z783">
        <v>1</v>
      </c>
      <c r="AA783">
        <v>140316</v>
      </c>
      <c r="AB783">
        <v>49638</v>
      </c>
      <c r="AC783">
        <v>9.1283894000000004E-2</v>
      </c>
      <c r="AD783">
        <v>0.60339869999999995</v>
      </c>
      <c r="AF783">
        <v>11.765616440000001</v>
      </c>
      <c r="AG783">
        <v>0.112</v>
      </c>
      <c r="AH783">
        <v>0.03</v>
      </c>
      <c r="AI783">
        <v>0.51400000000000001</v>
      </c>
      <c r="AJ783">
        <v>1.722380952</v>
      </c>
      <c r="AK783">
        <v>6.2830087209999999</v>
      </c>
      <c r="AL783">
        <v>6.0999999999999999E-2</v>
      </c>
      <c r="AM783">
        <v>0.20699999999999999</v>
      </c>
      <c r="AN783">
        <v>0.495</v>
      </c>
    </row>
    <row r="784" spans="1:40">
      <c r="A784">
        <v>2852</v>
      </c>
      <c r="B784" t="s">
        <v>689</v>
      </c>
      <c r="C784" t="s">
        <v>687</v>
      </c>
      <c r="D784" t="s">
        <v>688</v>
      </c>
      <c r="E784">
        <v>375</v>
      </c>
      <c r="F784">
        <v>1140</v>
      </c>
      <c r="G784">
        <v>71.686369119999995</v>
      </c>
      <c r="H784">
        <v>6177</v>
      </c>
      <c r="I784">
        <v>0.112055974</v>
      </c>
      <c r="J784">
        <v>7317</v>
      </c>
      <c r="K784">
        <v>65297.723440000002</v>
      </c>
      <c r="L784">
        <v>0.71</v>
      </c>
      <c r="M784">
        <v>0.942765568</v>
      </c>
      <c r="N784">
        <v>1</v>
      </c>
      <c r="O784" t="s">
        <v>606</v>
      </c>
      <c r="P784">
        <f t="shared" si="110"/>
        <v>13.312877240000001</v>
      </c>
      <c r="Q784">
        <f t="shared" si="111"/>
        <v>0.04</v>
      </c>
      <c r="R784">
        <f t="shared" si="112"/>
        <v>3.3000000000000002E-2</v>
      </c>
      <c r="S784">
        <f t="shared" si="113"/>
        <v>0.71</v>
      </c>
      <c r="T784">
        <f t="shared" si="114"/>
        <v>1.798381743</v>
      </c>
      <c r="U784">
        <f t="shared" si="115"/>
        <v>7.0220460759999996</v>
      </c>
      <c r="V784">
        <f t="shared" si="116"/>
        <v>7.0999999999999994E-2</v>
      </c>
      <c r="W784">
        <f t="shared" si="117"/>
        <v>0.10199999999999999</v>
      </c>
      <c r="X784">
        <f t="shared" si="118"/>
        <v>0.71</v>
      </c>
      <c r="Y784">
        <v>126.3824923</v>
      </c>
      <c r="Z784">
        <v>0</v>
      </c>
      <c r="AA784">
        <v>454184</v>
      </c>
      <c r="AB784">
        <v>170596</v>
      </c>
      <c r="AC784">
        <v>6.5715274000000004E-2</v>
      </c>
      <c r="AD784">
        <v>0.72549415100000003</v>
      </c>
      <c r="AF784">
        <v>13.312877240000001</v>
      </c>
      <c r="AG784">
        <v>0.04</v>
      </c>
      <c r="AH784">
        <v>3.3000000000000002E-2</v>
      </c>
      <c r="AI784">
        <v>0.71</v>
      </c>
      <c r="AJ784">
        <v>1.798381743</v>
      </c>
      <c r="AK784">
        <v>7.0220460759999996</v>
      </c>
      <c r="AL784">
        <v>7.0999999999999994E-2</v>
      </c>
      <c r="AM784">
        <v>0.10199999999999999</v>
      </c>
      <c r="AN784">
        <v>0.71</v>
      </c>
    </row>
    <row r="785" spans="1:40">
      <c r="A785">
        <v>2853</v>
      </c>
      <c r="B785" t="s">
        <v>689</v>
      </c>
      <c r="C785" t="s">
        <v>687</v>
      </c>
      <c r="D785" t="s">
        <v>688</v>
      </c>
      <c r="E785">
        <v>427</v>
      </c>
      <c r="F785">
        <v>1720</v>
      </c>
      <c r="G785">
        <v>32.69587156</v>
      </c>
      <c r="H785">
        <v>1246</v>
      </c>
      <c r="I785">
        <v>5.1112774E-2</v>
      </c>
      <c r="J785">
        <v>2966</v>
      </c>
      <c r="K785">
        <v>58028.546840000003</v>
      </c>
      <c r="L785">
        <v>0.56299999999999994</v>
      </c>
      <c r="M785">
        <v>0.74476987400000005</v>
      </c>
      <c r="N785">
        <v>1</v>
      </c>
      <c r="O785" t="s">
        <v>606</v>
      </c>
      <c r="P785">
        <f t="shared" si="110"/>
        <v>12.3457513</v>
      </c>
      <c r="Q785">
        <f t="shared" si="111"/>
        <v>0.114</v>
      </c>
      <c r="R785">
        <f t="shared" si="112"/>
        <v>3.5999999999999997E-2</v>
      </c>
      <c r="S785">
        <f t="shared" si="113"/>
        <v>0.56299999999999994</v>
      </c>
      <c r="T785">
        <f t="shared" si="114"/>
        <v>1.354642857</v>
      </c>
      <c r="U785">
        <f t="shared" si="115"/>
        <v>6.8801369860000001</v>
      </c>
      <c r="V785">
        <f t="shared" si="116"/>
        <v>6.0999999999999999E-2</v>
      </c>
      <c r="W785">
        <f t="shared" si="117"/>
        <v>0.26700000000000002</v>
      </c>
      <c r="X785">
        <f t="shared" si="118"/>
        <v>0.46800000000000003</v>
      </c>
      <c r="Y785">
        <v>57.362344440000001</v>
      </c>
      <c r="Z785">
        <v>0</v>
      </c>
      <c r="AA785">
        <v>454184</v>
      </c>
      <c r="AB785">
        <v>170596</v>
      </c>
      <c r="AC785">
        <v>6.5715274000000004E-2</v>
      </c>
      <c r="AD785">
        <v>0.72549415100000003</v>
      </c>
      <c r="AF785">
        <v>12.3457513</v>
      </c>
      <c r="AG785">
        <v>0.114</v>
      </c>
      <c r="AH785">
        <v>3.5999999999999997E-2</v>
      </c>
      <c r="AI785">
        <v>0.56299999999999994</v>
      </c>
      <c r="AJ785">
        <v>1.354642857</v>
      </c>
      <c r="AK785">
        <v>6.8801369860000001</v>
      </c>
      <c r="AL785">
        <v>6.0999999999999999E-2</v>
      </c>
      <c r="AM785">
        <v>0.26700000000000002</v>
      </c>
      <c r="AN785">
        <v>0.46800000000000003</v>
      </c>
    </row>
    <row r="786" spans="1:40">
      <c r="A786">
        <v>2854</v>
      </c>
      <c r="B786" t="s">
        <v>689</v>
      </c>
      <c r="C786" t="s">
        <v>687</v>
      </c>
      <c r="D786" t="s">
        <v>688</v>
      </c>
      <c r="E786">
        <v>726</v>
      </c>
      <c r="F786">
        <v>1526</v>
      </c>
      <c r="G786">
        <v>75.220157889999996</v>
      </c>
      <c r="H786">
        <v>449</v>
      </c>
      <c r="I786">
        <v>0.117587055</v>
      </c>
      <c r="J786">
        <v>1975</v>
      </c>
      <c r="K786">
        <v>16796.06654</v>
      </c>
      <c r="L786">
        <v>0.748</v>
      </c>
      <c r="M786">
        <v>0.38212765999999998</v>
      </c>
      <c r="N786">
        <v>1</v>
      </c>
      <c r="O786" t="s">
        <v>613</v>
      </c>
      <c r="P786">
        <f t="shared" si="110"/>
        <v>10.336411289999999</v>
      </c>
      <c r="Q786">
        <f t="shared" si="111"/>
        <v>6.9000000000000006E-2</v>
      </c>
      <c r="R786">
        <f t="shared" si="112"/>
        <v>0.04</v>
      </c>
      <c r="S786">
        <f t="shared" si="113"/>
        <v>0.748</v>
      </c>
      <c r="T786">
        <f t="shared" si="114"/>
        <v>2.0873333330000001</v>
      </c>
      <c r="U786">
        <f t="shared" si="115"/>
        <v>6.7988621650000001</v>
      </c>
      <c r="V786">
        <f t="shared" si="116"/>
        <v>7.2999999999999995E-2</v>
      </c>
      <c r="W786">
        <f t="shared" si="117"/>
        <v>0.20200000000000001</v>
      </c>
      <c r="X786">
        <f t="shared" si="118"/>
        <v>0.66800000000000004</v>
      </c>
      <c r="Y786">
        <v>159.83477640000001</v>
      </c>
      <c r="Z786">
        <v>0</v>
      </c>
      <c r="AA786">
        <v>454184</v>
      </c>
      <c r="AB786">
        <v>170596</v>
      </c>
      <c r="AC786">
        <v>6.5715274000000004E-2</v>
      </c>
      <c r="AD786">
        <v>0.72549415100000003</v>
      </c>
      <c r="AF786">
        <v>10.336411289999999</v>
      </c>
      <c r="AG786">
        <v>6.9000000000000006E-2</v>
      </c>
      <c r="AH786">
        <v>0.04</v>
      </c>
      <c r="AI786">
        <v>0.748</v>
      </c>
      <c r="AJ786">
        <v>2.0873333330000001</v>
      </c>
      <c r="AK786">
        <v>6.7988621650000001</v>
      </c>
      <c r="AL786">
        <v>7.2999999999999995E-2</v>
      </c>
      <c r="AM786">
        <v>0.20200000000000001</v>
      </c>
      <c r="AN786">
        <v>0.66800000000000004</v>
      </c>
    </row>
    <row r="787" spans="1:40">
      <c r="A787">
        <v>2855</v>
      </c>
      <c r="B787" t="s">
        <v>689</v>
      </c>
      <c r="C787" t="s">
        <v>687</v>
      </c>
      <c r="D787" t="s">
        <v>688</v>
      </c>
      <c r="E787">
        <v>377</v>
      </c>
      <c r="F787">
        <v>1051</v>
      </c>
      <c r="G787">
        <v>41.919621749999997</v>
      </c>
      <c r="H787">
        <v>310</v>
      </c>
      <c r="I787">
        <v>6.5527750999999995E-2</v>
      </c>
      <c r="J787">
        <v>1361</v>
      </c>
      <c r="K787">
        <v>20769.826209999999</v>
      </c>
      <c r="L787">
        <v>0.751</v>
      </c>
      <c r="M787">
        <v>0.451237263</v>
      </c>
      <c r="N787">
        <v>0</v>
      </c>
      <c r="O787" t="s">
        <v>613</v>
      </c>
      <c r="P787">
        <f t="shared" si="110"/>
        <v>9.5404395599999994</v>
      </c>
      <c r="Q787">
        <f t="shared" si="111"/>
        <v>4.8000000000000001E-2</v>
      </c>
      <c r="R787">
        <f t="shared" si="112"/>
        <v>1.7000000000000001E-2</v>
      </c>
      <c r="S787">
        <f t="shared" si="113"/>
        <v>0.751</v>
      </c>
      <c r="T787">
        <f t="shared" si="114"/>
        <v>1.5758333330000001</v>
      </c>
      <c r="U787">
        <f t="shared" si="115"/>
        <v>5.8453112840000001</v>
      </c>
      <c r="V787">
        <f t="shared" si="116"/>
        <v>4.2000000000000003E-2</v>
      </c>
      <c r="W787">
        <f t="shared" si="117"/>
        <v>0.13600000000000001</v>
      </c>
      <c r="X787">
        <f t="shared" si="118"/>
        <v>0.77100000000000002</v>
      </c>
      <c r="Y787">
        <v>162.82398219999999</v>
      </c>
      <c r="Z787">
        <v>0</v>
      </c>
      <c r="AA787">
        <v>454184</v>
      </c>
      <c r="AB787">
        <v>170596</v>
      </c>
      <c r="AC787">
        <v>6.5715274000000004E-2</v>
      </c>
      <c r="AD787">
        <v>0.72549415100000003</v>
      </c>
      <c r="AF787">
        <v>9.5404395599999994</v>
      </c>
      <c r="AG787">
        <v>4.8000000000000001E-2</v>
      </c>
      <c r="AH787">
        <v>1.7000000000000001E-2</v>
      </c>
      <c r="AI787">
        <v>0.751</v>
      </c>
      <c r="AJ787">
        <v>1.5758333330000001</v>
      </c>
      <c r="AK787">
        <v>5.8453112840000001</v>
      </c>
      <c r="AL787">
        <v>4.2000000000000003E-2</v>
      </c>
      <c r="AM787">
        <v>0.13600000000000001</v>
      </c>
      <c r="AN787">
        <v>0.77100000000000002</v>
      </c>
    </row>
    <row r="788" spans="1:40">
      <c r="A788">
        <v>2856</v>
      </c>
      <c r="B788" t="s">
        <v>689</v>
      </c>
      <c r="C788" t="s">
        <v>687</v>
      </c>
      <c r="D788" t="s">
        <v>688</v>
      </c>
      <c r="E788">
        <v>656</v>
      </c>
      <c r="F788">
        <v>1483</v>
      </c>
      <c r="G788">
        <v>47.917019760000002</v>
      </c>
      <c r="H788">
        <v>401</v>
      </c>
      <c r="I788">
        <v>7.4906497000000002E-2</v>
      </c>
      <c r="J788">
        <v>1884</v>
      </c>
      <c r="K788">
        <v>25151.356360000002</v>
      </c>
      <c r="L788">
        <v>0.71699999999999997</v>
      </c>
      <c r="M788">
        <v>0.37937559100000001</v>
      </c>
      <c r="N788">
        <v>1</v>
      </c>
      <c r="O788" t="s">
        <v>613</v>
      </c>
      <c r="P788">
        <f t="shared" si="110"/>
        <v>10.811751409999999</v>
      </c>
      <c r="Q788">
        <f t="shared" si="111"/>
        <v>7.3999999999999996E-2</v>
      </c>
      <c r="R788">
        <f t="shared" si="112"/>
        <v>3.4000000000000002E-2</v>
      </c>
      <c r="S788">
        <f t="shared" si="113"/>
        <v>0.71699999999999997</v>
      </c>
      <c r="T788">
        <f t="shared" si="114"/>
        <v>2.0407272729999999</v>
      </c>
      <c r="U788">
        <f t="shared" si="115"/>
        <v>6.0704405289999999</v>
      </c>
      <c r="V788">
        <f t="shared" si="116"/>
        <v>7.1999999999999995E-2</v>
      </c>
      <c r="W788">
        <f t="shared" si="117"/>
        <v>0.191</v>
      </c>
      <c r="X788">
        <f t="shared" si="118"/>
        <v>0.63700000000000001</v>
      </c>
      <c r="Y788">
        <v>161.9773333</v>
      </c>
      <c r="Z788">
        <v>0</v>
      </c>
      <c r="AA788">
        <v>454184</v>
      </c>
      <c r="AB788">
        <v>170596</v>
      </c>
      <c r="AC788">
        <v>6.5715274000000004E-2</v>
      </c>
      <c r="AD788">
        <v>0.72549415100000003</v>
      </c>
      <c r="AF788">
        <v>10.811751409999999</v>
      </c>
      <c r="AG788">
        <v>7.3999999999999996E-2</v>
      </c>
      <c r="AH788">
        <v>3.4000000000000002E-2</v>
      </c>
      <c r="AI788">
        <v>0.71699999999999997</v>
      </c>
      <c r="AJ788">
        <v>2.0407272729999999</v>
      </c>
      <c r="AK788">
        <v>6.0704405289999999</v>
      </c>
      <c r="AL788">
        <v>7.1999999999999995E-2</v>
      </c>
      <c r="AM788">
        <v>0.191</v>
      </c>
      <c r="AN788">
        <v>0.63700000000000001</v>
      </c>
    </row>
    <row r="789" spans="1:40">
      <c r="A789">
        <v>2857</v>
      </c>
      <c r="B789" t="s">
        <v>689</v>
      </c>
      <c r="C789" t="s">
        <v>687</v>
      </c>
      <c r="D789" t="s">
        <v>688</v>
      </c>
      <c r="E789">
        <v>740</v>
      </c>
      <c r="F789">
        <v>2377</v>
      </c>
      <c r="G789">
        <v>67.579656639999996</v>
      </c>
      <c r="H789">
        <v>427</v>
      </c>
      <c r="I789">
        <v>0.105643817</v>
      </c>
      <c r="J789">
        <v>2804</v>
      </c>
      <c r="K789">
        <v>26542.01713</v>
      </c>
      <c r="L789">
        <v>0.66700000000000004</v>
      </c>
      <c r="M789">
        <v>0.36589545800000001</v>
      </c>
      <c r="N789">
        <v>0</v>
      </c>
      <c r="O789" t="s">
        <v>606</v>
      </c>
      <c r="P789">
        <f t="shared" si="110"/>
        <v>11.940421690000001</v>
      </c>
      <c r="Q789">
        <f t="shared" si="111"/>
        <v>5.1999999999999998E-2</v>
      </c>
      <c r="R789">
        <f t="shared" si="112"/>
        <v>1.7000000000000001E-2</v>
      </c>
      <c r="S789">
        <f t="shared" si="113"/>
        <v>0.66700000000000004</v>
      </c>
      <c r="T789">
        <f t="shared" si="114"/>
        <v>1.9613043480000001</v>
      </c>
      <c r="U789">
        <f t="shared" si="115"/>
        <v>6.2046519340000001</v>
      </c>
      <c r="V789">
        <f t="shared" si="116"/>
        <v>4.2999999999999997E-2</v>
      </c>
      <c r="W789">
        <f t="shared" si="117"/>
        <v>0.13700000000000001</v>
      </c>
      <c r="X789">
        <f t="shared" si="118"/>
        <v>0.64800000000000002</v>
      </c>
      <c r="Y789">
        <v>204.7636736</v>
      </c>
      <c r="Z789">
        <v>0</v>
      </c>
      <c r="AA789">
        <v>454184</v>
      </c>
      <c r="AB789">
        <v>170596</v>
      </c>
      <c r="AC789">
        <v>6.5715274000000004E-2</v>
      </c>
      <c r="AD789">
        <v>0.72549415100000003</v>
      </c>
      <c r="AF789">
        <v>11.940421690000001</v>
      </c>
      <c r="AG789">
        <v>5.1999999999999998E-2</v>
      </c>
      <c r="AH789">
        <v>1.7000000000000001E-2</v>
      </c>
      <c r="AI789">
        <v>0.66700000000000004</v>
      </c>
      <c r="AJ789">
        <v>1.9613043480000001</v>
      </c>
      <c r="AK789">
        <v>6.2046519340000001</v>
      </c>
      <c r="AL789">
        <v>4.2999999999999997E-2</v>
      </c>
      <c r="AM789">
        <v>0.13700000000000001</v>
      </c>
      <c r="AN789">
        <v>0.64800000000000002</v>
      </c>
    </row>
    <row r="790" spans="1:40">
      <c r="A790">
        <v>2858</v>
      </c>
      <c r="B790" t="s">
        <v>690</v>
      </c>
      <c r="C790" t="s">
        <v>687</v>
      </c>
      <c r="D790" t="s">
        <v>688</v>
      </c>
      <c r="E790">
        <v>702</v>
      </c>
      <c r="F790">
        <v>1907</v>
      </c>
      <c r="G790">
        <v>112.7551733</v>
      </c>
      <c r="H790">
        <v>57</v>
      </c>
      <c r="I790">
        <v>0.17625155300000001</v>
      </c>
      <c r="J790">
        <v>1964</v>
      </c>
      <c r="K790">
        <v>11143.16423</v>
      </c>
      <c r="L790">
        <v>0.78800000000000003</v>
      </c>
      <c r="M790">
        <v>7.5098814E-2</v>
      </c>
      <c r="N790">
        <v>0</v>
      </c>
      <c r="O790" t="s">
        <v>613</v>
      </c>
      <c r="P790">
        <f t="shared" si="110"/>
        <v>11.70153846</v>
      </c>
      <c r="Q790">
        <f t="shared" si="111"/>
        <v>6.5000000000000002E-2</v>
      </c>
      <c r="R790">
        <f t="shared" si="112"/>
        <v>3.1E-2</v>
      </c>
      <c r="S790">
        <f t="shared" si="113"/>
        <v>0.78800000000000003</v>
      </c>
      <c r="T790">
        <f t="shared" si="114"/>
        <v>2.4468965520000001</v>
      </c>
      <c r="U790">
        <f t="shared" si="115"/>
        <v>7.0800420170000002</v>
      </c>
      <c r="V790">
        <f t="shared" si="116"/>
        <v>2.3E-2</v>
      </c>
      <c r="W790">
        <f t="shared" si="117"/>
        <v>0.158</v>
      </c>
      <c r="X790">
        <f t="shared" si="118"/>
        <v>0.78600000000000003</v>
      </c>
      <c r="Y790">
        <v>147.11373900000001</v>
      </c>
      <c r="Z790">
        <v>0</v>
      </c>
      <c r="AA790">
        <v>82284</v>
      </c>
      <c r="AB790">
        <v>32030</v>
      </c>
      <c r="AC790">
        <v>4.7570397E-2</v>
      </c>
      <c r="AD790">
        <v>0.78974696300000002</v>
      </c>
      <c r="AF790">
        <v>11.70153846</v>
      </c>
      <c r="AG790">
        <v>6.5000000000000002E-2</v>
      </c>
      <c r="AH790">
        <v>3.1E-2</v>
      </c>
      <c r="AI790">
        <v>0.78800000000000003</v>
      </c>
      <c r="AJ790">
        <v>2.4468965520000001</v>
      </c>
      <c r="AK790">
        <v>7.0800420170000002</v>
      </c>
      <c r="AL790">
        <v>2.3E-2</v>
      </c>
      <c r="AM790">
        <v>0.158</v>
      </c>
      <c r="AN790">
        <v>0.78600000000000003</v>
      </c>
    </row>
    <row r="791" spans="1:40">
      <c r="A791">
        <v>2859</v>
      </c>
      <c r="B791" t="s">
        <v>701</v>
      </c>
      <c r="C791" t="s">
        <v>696</v>
      </c>
      <c r="D791" t="s">
        <v>697</v>
      </c>
      <c r="E791">
        <v>231</v>
      </c>
      <c r="F791">
        <v>717</v>
      </c>
      <c r="G791">
        <v>50.212032039999997</v>
      </c>
      <c r="H791">
        <v>81</v>
      </c>
      <c r="I791">
        <v>7.8487122000000006E-2</v>
      </c>
      <c r="J791">
        <v>798</v>
      </c>
      <c r="K791">
        <v>10167.27305</v>
      </c>
      <c r="L791">
        <v>0.76600000000000001</v>
      </c>
      <c r="M791">
        <v>0.25961538499999998</v>
      </c>
      <c r="N791">
        <v>0</v>
      </c>
      <c r="O791" t="s">
        <v>620</v>
      </c>
      <c r="P791">
        <f t="shared" si="110"/>
        <v>16.408421050000001</v>
      </c>
      <c r="Q791">
        <f t="shared" si="111"/>
        <v>2.9000000000000001E-2</v>
      </c>
      <c r="R791">
        <f t="shared" si="112"/>
        <v>0.02</v>
      </c>
      <c r="S791">
        <f t="shared" si="113"/>
        <v>0.76600000000000001</v>
      </c>
      <c r="T791">
        <f t="shared" si="114"/>
        <v>1.954</v>
      </c>
      <c r="U791">
        <f t="shared" si="115"/>
        <v>7.5623076920000001</v>
      </c>
      <c r="V791">
        <f t="shared" si="116"/>
        <v>2.9000000000000001E-2</v>
      </c>
      <c r="W791">
        <f t="shared" si="117"/>
        <v>0.11799999999999999</v>
      </c>
      <c r="X791">
        <f t="shared" si="118"/>
        <v>0.83799999999999997</v>
      </c>
      <c r="Y791">
        <v>104.7498702</v>
      </c>
      <c r="Z791">
        <v>0</v>
      </c>
      <c r="AA791">
        <v>22589</v>
      </c>
      <c r="AB791">
        <v>7233</v>
      </c>
      <c r="AC791">
        <v>3.8721845999999997E-2</v>
      </c>
      <c r="AD791">
        <v>0.78947076400000005</v>
      </c>
      <c r="AF791">
        <v>16.408421050000001</v>
      </c>
      <c r="AG791">
        <v>2.9000000000000001E-2</v>
      </c>
      <c r="AH791">
        <v>0.02</v>
      </c>
      <c r="AI791">
        <v>0.76600000000000001</v>
      </c>
      <c r="AJ791">
        <v>1.954</v>
      </c>
      <c r="AK791">
        <v>7.5623076920000001</v>
      </c>
      <c r="AL791">
        <v>2.9000000000000001E-2</v>
      </c>
      <c r="AM791">
        <v>0.11799999999999999</v>
      </c>
      <c r="AN791">
        <v>0.83799999999999997</v>
      </c>
    </row>
    <row r="792" spans="1:40">
      <c r="A792">
        <v>2860</v>
      </c>
      <c r="B792" t="s">
        <v>698</v>
      </c>
      <c r="C792" t="s">
        <v>693</v>
      </c>
      <c r="D792" t="s">
        <v>694</v>
      </c>
      <c r="E792">
        <v>725</v>
      </c>
      <c r="F792">
        <v>2442</v>
      </c>
      <c r="G792">
        <v>154.51398169999999</v>
      </c>
      <c r="H792">
        <v>30</v>
      </c>
      <c r="I792">
        <v>0.241520453</v>
      </c>
      <c r="J792">
        <v>2472</v>
      </c>
      <c r="K792">
        <v>10235.158009999999</v>
      </c>
      <c r="L792">
        <v>0.755</v>
      </c>
      <c r="M792">
        <v>3.9735099000000003E-2</v>
      </c>
      <c r="N792">
        <v>0</v>
      </c>
      <c r="O792" t="s">
        <v>625</v>
      </c>
      <c r="P792">
        <f t="shared" si="110"/>
        <v>16.81170732</v>
      </c>
      <c r="Q792">
        <f t="shared" si="111"/>
        <v>1.2E-2</v>
      </c>
      <c r="R792">
        <f t="shared" si="112"/>
        <v>2.1000000000000001E-2</v>
      </c>
      <c r="S792">
        <f t="shared" si="113"/>
        <v>0.755</v>
      </c>
      <c r="T792">
        <f t="shared" si="114"/>
        <v>1.750344828</v>
      </c>
      <c r="U792">
        <f t="shared" si="115"/>
        <v>8.7659175660000006</v>
      </c>
      <c r="V792">
        <f t="shared" si="116"/>
        <v>0.03</v>
      </c>
      <c r="W792">
        <f t="shared" si="117"/>
        <v>3.3000000000000002E-2</v>
      </c>
      <c r="X792">
        <f t="shared" si="118"/>
        <v>0.91100000000000003</v>
      </c>
      <c r="Y792">
        <v>114.9055142</v>
      </c>
      <c r="Z792">
        <v>0</v>
      </c>
      <c r="AA792">
        <v>88250</v>
      </c>
      <c r="AB792">
        <v>31723</v>
      </c>
      <c r="AC792">
        <v>1.0795895999999999E-2</v>
      </c>
      <c r="AD792">
        <v>0.817760245</v>
      </c>
      <c r="AF792">
        <v>16.81170732</v>
      </c>
      <c r="AG792">
        <v>1.2E-2</v>
      </c>
      <c r="AH792">
        <v>2.1000000000000001E-2</v>
      </c>
      <c r="AI792">
        <v>0.755</v>
      </c>
      <c r="AJ792">
        <v>1.750344828</v>
      </c>
      <c r="AK792">
        <v>8.7659175660000006</v>
      </c>
      <c r="AL792">
        <v>0.03</v>
      </c>
      <c r="AM792">
        <v>3.3000000000000002E-2</v>
      </c>
      <c r="AN792">
        <v>0.91100000000000003</v>
      </c>
    </row>
    <row r="793" spans="1:40">
      <c r="A793">
        <v>2861</v>
      </c>
      <c r="B793" t="s">
        <v>689</v>
      </c>
      <c r="C793" t="s">
        <v>687</v>
      </c>
      <c r="D793" t="s">
        <v>688</v>
      </c>
      <c r="E793">
        <v>575</v>
      </c>
      <c r="F793">
        <v>1433</v>
      </c>
      <c r="G793">
        <v>74.758734259999997</v>
      </c>
      <c r="H793">
        <v>274</v>
      </c>
      <c r="I793">
        <v>0.116861487</v>
      </c>
      <c r="J793">
        <v>1707</v>
      </c>
      <c r="K793">
        <v>14607.03645</v>
      </c>
      <c r="L793">
        <v>0.73199999999999998</v>
      </c>
      <c r="M793">
        <v>0.32273262699999999</v>
      </c>
      <c r="N793">
        <v>0</v>
      </c>
      <c r="O793" t="s">
        <v>613</v>
      </c>
      <c r="P793">
        <f t="shared" si="110"/>
        <v>13.63888889</v>
      </c>
      <c r="Q793">
        <f t="shared" si="111"/>
        <v>2.8000000000000001E-2</v>
      </c>
      <c r="R793">
        <f t="shared" si="112"/>
        <v>0.03</v>
      </c>
      <c r="S793">
        <f t="shared" si="113"/>
        <v>0.73199999999999998</v>
      </c>
      <c r="T793">
        <f t="shared" si="114"/>
        <v>1.9518421050000001</v>
      </c>
      <c r="U793">
        <f t="shared" si="115"/>
        <v>6.9353743019999996</v>
      </c>
      <c r="V793">
        <f t="shared" si="116"/>
        <v>6.2E-2</v>
      </c>
      <c r="W793">
        <f t="shared" si="117"/>
        <v>9.4E-2</v>
      </c>
      <c r="X793">
        <f t="shared" si="118"/>
        <v>0.78800000000000003</v>
      </c>
      <c r="Y793">
        <v>261.98386770000002</v>
      </c>
      <c r="Z793">
        <v>0</v>
      </c>
      <c r="AA793">
        <v>454184</v>
      </c>
      <c r="AB793">
        <v>170596</v>
      </c>
      <c r="AC793">
        <v>6.5715274000000004E-2</v>
      </c>
      <c r="AD793">
        <v>0.72549415100000003</v>
      </c>
      <c r="AF793">
        <v>13.63888889</v>
      </c>
      <c r="AG793">
        <v>2.8000000000000001E-2</v>
      </c>
      <c r="AH793">
        <v>0.03</v>
      </c>
      <c r="AI793">
        <v>0.73199999999999998</v>
      </c>
      <c r="AJ793">
        <v>1.9518421050000001</v>
      </c>
      <c r="AK793">
        <v>6.9353743019999996</v>
      </c>
      <c r="AL793">
        <v>6.2E-2</v>
      </c>
      <c r="AM793">
        <v>9.4E-2</v>
      </c>
      <c r="AN793">
        <v>0.78800000000000003</v>
      </c>
    </row>
    <row r="794" spans="1:40">
      <c r="A794">
        <v>2862</v>
      </c>
      <c r="B794" t="s">
        <v>702</v>
      </c>
      <c r="C794" t="s">
        <v>696</v>
      </c>
      <c r="D794" t="s">
        <v>697</v>
      </c>
      <c r="E794">
        <v>601</v>
      </c>
      <c r="F794">
        <v>1759</v>
      </c>
      <c r="G794">
        <v>709.7413219</v>
      </c>
      <c r="H794">
        <v>1033</v>
      </c>
      <c r="I794" s="515">
        <v>1.1094120999999999</v>
      </c>
      <c r="J794">
        <v>2792</v>
      </c>
      <c r="K794">
        <v>2516.6482329999999</v>
      </c>
      <c r="L794">
        <v>0.90500000000000003</v>
      </c>
      <c r="M794">
        <v>0.63219094200000003</v>
      </c>
      <c r="N794">
        <v>0</v>
      </c>
      <c r="O794" t="s">
        <v>620</v>
      </c>
      <c r="P794">
        <f t="shared" si="110"/>
        <v>12.722716050000001</v>
      </c>
      <c r="Q794">
        <f t="shared" si="111"/>
        <v>2.7E-2</v>
      </c>
      <c r="R794">
        <f t="shared" si="112"/>
        <v>2.7E-2</v>
      </c>
      <c r="S794">
        <f t="shared" si="113"/>
        <v>0.90500000000000003</v>
      </c>
      <c r="T794">
        <f t="shared" si="114"/>
        <v>2.9478571429999998</v>
      </c>
      <c r="U794">
        <f t="shared" si="115"/>
        <v>9.6727904450000004</v>
      </c>
      <c r="V794">
        <f t="shared" si="116"/>
        <v>6.0999999999999999E-2</v>
      </c>
      <c r="W794">
        <f t="shared" si="117"/>
        <v>9.5000000000000001E-2</v>
      </c>
      <c r="X794">
        <f t="shared" si="118"/>
        <v>0.82399999999999995</v>
      </c>
      <c r="Y794">
        <v>35.034092739999998</v>
      </c>
      <c r="Z794">
        <v>0</v>
      </c>
      <c r="AA794">
        <v>90778</v>
      </c>
      <c r="AB794">
        <v>31662</v>
      </c>
      <c r="AC794">
        <v>3.1753482E-2</v>
      </c>
      <c r="AD794">
        <v>0.82960131100000001</v>
      </c>
      <c r="AF794">
        <v>12.722716050000001</v>
      </c>
      <c r="AG794">
        <v>2.7E-2</v>
      </c>
      <c r="AH794">
        <v>2.7E-2</v>
      </c>
      <c r="AI794">
        <v>0.90500000000000003</v>
      </c>
      <c r="AJ794">
        <v>2.9478571429999998</v>
      </c>
      <c r="AK794">
        <v>9.6727904450000004</v>
      </c>
      <c r="AL794">
        <v>6.0999999999999999E-2</v>
      </c>
      <c r="AM794">
        <v>9.5000000000000001E-2</v>
      </c>
      <c r="AN794">
        <v>0.82399999999999995</v>
      </c>
    </row>
    <row r="795" spans="1:40">
      <c r="A795">
        <v>2863</v>
      </c>
      <c r="B795" t="s">
        <v>702</v>
      </c>
      <c r="C795" t="s">
        <v>696</v>
      </c>
      <c r="D795" t="s">
        <v>697</v>
      </c>
      <c r="E795">
        <v>429</v>
      </c>
      <c r="F795">
        <v>1057</v>
      </c>
      <c r="G795">
        <v>30.165567899999999</v>
      </c>
      <c r="H795">
        <v>265</v>
      </c>
      <c r="I795">
        <v>4.7150322000000001E-2</v>
      </c>
      <c r="J795">
        <v>1322</v>
      </c>
      <c r="K795">
        <v>28037.984560000001</v>
      </c>
      <c r="L795">
        <v>0.76700000000000002</v>
      </c>
      <c r="M795">
        <v>0.38184437999999998</v>
      </c>
      <c r="N795">
        <v>0</v>
      </c>
      <c r="O795" t="s">
        <v>613</v>
      </c>
      <c r="P795">
        <f t="shared" si="110"/>
        <v>12.992209300000001</v>
      </c>
      <c r="Q795">
        <f t="shared" si="111"/>
        <v>5.3999999999999999E-2</v>
      </c>
      <c r="R795">
        <f t="shared" si="112"/>
        <v>1.7000000000000001E-2</v>
      </c>
      <c r="S795">
        <f t="shared" si="113"/>
        <v>0.76700000000000002</v>
      </c>
      <c r="T795">
        <f t="shared" si="114"/>
        <v>2.4481250000000001</v>
      </c>
      <c r="U795">
        <f t="shared" si="115"/>
        <v>6.9100600600000002</v>
      </c>
      <c r="V795">
        <f t="shared" si="116"/>
        <v>3.4000000000000002E-2</v>
      </c>
      <c r="W795">
        <f t="shared" si="117"/>
        <v>0.16</v>
      </c>
      <c r="X795">
        <f t="shared" si="118"/>
        <v>0.72299999999999998</v>
      </c>
      <c r="Y795">
        <v>260.24284540000002</v>
      </c>
      <c r="Z795">
        <v>0</v>
      </c>
      <c r="AA795">
        <v>90778</v>
      </c>
      <c r="AB795">
        <v>31662</v>
      </c>
      <c r="AC795">
        <v>3.1753482E-2</v>
      </c>
      <c r="AD795">
        <v>0.82960131100000001</v>
      </c>
      <c r="AF795">
        <v>12.992209300000001</v>
      </c>
      <c r="AG795">
        <v>5.3999999999999999E-2</v>
      </c>
      <c r="AH795">
        <v>1.7000000000000001E-2</v>
      </c>
      <c r="AI795">
        <v>0.76700000000000002</v>
      </c>
      <c r="AJ795">
        <v>2.4481250000000001</v>
      </c>
      <c r="AK795">
        <v>6.9100600600000002</v>
      </c>
      <c r="AL795">
        <v>3.4000000000000002E-2</v>
      </c>
      <c r="AM795">
        <v>0.16</v>
      </c>
      <c r="AN795">
        <v>0.72299999999999998</v>
      </c>
    </row>
    <row r="796" spans="1:40">
      <c r="A796">
        <v>2864</v>
      </c>
      <c r="B796" t="s">
        <v>689</v>
      </c>
      <c r="C796" t="s">
        <v>687</v>
      </c>
      <c r="D796" t="s">
        <v>688</v>
      </c>
      <c r="E796">
        <v>308</v>
      </c>
      <c r="F796">
        <v>1129</v>
      </c>
      <c r="G796">
        <v>37.54920808</v>
      </c>
      <c r="H796">
        <v>333</v>
      </c>
      <c r="I796">
        <v>5.8696308000000003E-2</v>
      </c>
      <c r="J796">
        <v>1462</v>
      </c>
      <c r="K796">
        <v>24907.869839999999</v>
      </c>
      <c r="L796">
        <v>0.69799999999999995</v>
      </c>
      <c r="M796">
        <v>0.51950078</v>
      </c>
      <c r="N796">
        <v>0</v>
      </c>
      <c r="O796" t="s">
        <v>613</v>
      </c>
      <c r="P796">
        <f t="shared" si="110"/>
        <v>9.9025925929999996</v>
      </c>
      <c r="Q796">
        <f t="shared" si="111"/>
        <v>4.9000000000000002E-2</v>
      </c>
      <c r="R796">
        <f t="shared" si="112"/>
        <v>3.5000000000000003E-2</v>
      </c>
      <c r="S796">
        <f t="shared" si="113"/>
        <v>0.69799999999999995</v>
      </c>
      <c r="T796">
        <f t="shared" si="114"/>
        <v>1.5953124999999999</v>
      </c>
      <c r="U796">
        <f t="shared" si="115"/>
        <v>5.8025081969999999</v>
      </c>
      <c r="V796">
        <f t="shared" si="116"/>
        <v>3.9E-2</v>
      </c>
      <c r="W796">
        <f t="shared" si="117"/>
        <v>0.17299999999999999</v>
      </c>
      <c r="X796">
        <f t="shared" si="118"/>
        <v>0.63800000000000001</v>
      </c>
      <c r="Y796">
        <v>294.4213499</v>
      </c>
      <c r="Z796">
        <v>0</v>
      </c>
      <c r="AA796">
        <v>454184</v>
      </c>
      <c r="AB796">
        <v>170596</v>
      </c>
      <c r="AC796">
        <v>6.5715274000000004E-2</v>
      </c>
      <c r="AD796">
        <v>0.72549415100000003</v>
      </c>
      <c r="AF796">
        <v>9.9025925929999996</v>
      </c>
      <c r="AG796">
        <v>4.9000000000000002E-2</v>
      </c>
      <c r="AH796">
        <v>3.5000000000000003E-2</v>
      </c>
      <c r="AI796">
        <v>0.69799999999999995</v>
      </c>
      <c r="AJ796">
        <v>1.5953124999999999</v>
      </c>
      <c r="AK796">
        <v>5.8025081969999999</v>
      </c>
      <c r="AL796">
        <v>3.9E-2</v>
      </c>
      <c r="AM796">
        <v>0.17299999999999999</v>
      </c>
      <c r="AN796">
        <v>0.63800000000000001</v>
      </c>
    </row>
    <row r="797" spans="1:40">
      <c r="A797">
        <v>2865</v>
      </c>
      <c r="B797" t="s">
        <v>702</v>
      </c>
      <c r="C797" t="s">
        <v>696</v>
      </c>
      <c r="D797" t="s">
        <v>697</v>
      </c>
      <c r="E797">
        <v>0</v>
      </c>
      <c r="F797">
        <v>0</v>
      </c>
      <c r="G797">
        <v>59.396242469999997</v>
      </c>
      <c r="H797">
        <v>686</v>
      </c>
      <c r="I797">
        <v>9.2841890999999996E-2</v>
      </c>
      <c r="J797">
        <v>686</v>
      </c>
      <c r="K797">
        <v>7388.905941</v>
      </c>
      <c r="L797">
        <v>0.90100000000000002</v>
      </c>
      <c r="M797" s="515">
        <v>1</v>
      </c>
      <c r="N797">
        <v>0</v>
      </c>
      <c r="O797" t="s">
        <v>613</v>
      </c>
      <c r="P797">
        <f t="shared" si="110"/>
        <v>12.627142859999999</v>
      </c>
      <c r="Q797">
        <f t="shared" si="111"/>
        <v>2E-3</v>
      </c>
      <c r="R797">
        <f t="shared" si="112"/>
        <v>1.2E-2</v>
      </c>
      <c r="S797">
        <f t="shared" si="113"/>
        <v>0.90100000000000002</v>
      </c>
      <c r="T797">
        <f t="shared" si="114"/>
        <v>2.0409999999999999</v>
      </c>
      <c r="U797">
        <f t="shared" si="115"/>
        <v>7.502155525</v>
      </c>
      <c r="V797">
        <f t="shared" si="116"/>
        <v>1.6E-2</v>
      </c>
      <c r="W797">
        <f t="shared" si="117"/>
        <v>1.6E-2</v>
      </c>
      <c r="X797">
        <f t="shared" si="118"/>
        <v>0.95199999999999996</v>
      </c>
      <c r="Y797">
        <v>63.085473589999999</v>
      </c>
      <c r="Z797">
        <v>0</v>
      </c>
      <c r="AA797">
        <v>90778</v>
      </c>
      <c r="AB797">
        <v>31662</v>
      </c>
      <c r="AC797">
        <v>3.1753482E-2</v>
      </c>
      <c r="AD797">
        <v>0.82960131100000001</v>
      </c>
      <c r="AF797">
        <v>12.627142859999999</v>
      </c>
      <c r="AG797">
        <v>2E-3</v>
      </c>
      <c r="AH797">
        <v>1.2E-2</v>
      </c>
      <c r="AI797">
        <v>0.90100000000000002</v>
      </c>
      <c r="AJ797">
        <v>2.0409999999999999</v>
      </c>
      <c r="AK797">
        <v>7.502155525</v>
      </c>
      <c r="AL797">
        <v>1.6E-2</v>
      </c>
      <c r="AM797">
        <v>1.6E-2</v>
      </c>
      <c r="AN797">
        <v>0.95199999999999996</v>
      </c>
    </row>
    <row r="798" spans="1:40">
      <c r="A798">
        <v>2866</v>
      </c>
      <c r="B798" t="s">
        <v>700</v>
      </c>
      <c r="C798" t="s">
        <v>687</v>
      </c>
      <c r="D798" t="s">
        <v>688</v>
      </c>
      <c r="E798">
        <v>551</v>
      </c>
      <c r="F798">
        <v>1414</v>
      </c>
      <c r="G798">
        <v>53.4105603</v>
      </c>
      <c r="H798">
        <v>1064</v>
      </c>
      <c r="I798">
        <v>8.3491391999999998E-2</v>
      </c>
      <c r="J798">
        <v>2478</v>
      </c>
      <c r="K798">
        <v>29679.70638</v>
      </c>
      <c r="L798">
        <v>0.79500000000000004</v>
      </c>
      <c r="M798">
        <v>0.65882352899999996</v>
      </c>
      <c r="N798">
        <v>0</v>
      </c>
      <c r="O798" t="s">
        <v>613</v>
      </c>
      <c r="P798">
        <f t="shared" si="110"/>
        <v>11.823741500000001</v>
      </c>
      <c r="Q798">
        <f t="shared" si="111"/>
        <v>4.2999999999999997E-2</v>
      </c>
      <c r="R798">
        <f t="shared" si="112"/>
        <v>1.2999999999999999E-2</v>
      </c>
      <c r="S798">
        <f t="shared" si="113"/>
        <v>0.79500000000000004</v>
      </c>
      <c r="T798">
        <f t="shared" si="114"/>
        <v>2.2269999999999999</v>
      </c>
      <c r="U798">
        <f t="shared" si="115"/>
        <v>5.7705879119999999</v>
      </c>
      <c r="V798">
        <f t="shared" si="116"/>
        <v>4.1000000000000002E-2</v>
      </c>
      <c r="W798">
        <f t="shared" si="117"/>
        <v>0.16400000000000001</v>
      </c>
      <c r="X798">
        <f t="shared" si="118"/>
        <v>0.754</v>
      </c>
      <c r="Y798">
        <v>141.39412400000001</v>
      </c>
      <c r="Z798">
        <v>0</v>
      </c>
      <c r="AA798">
        <v>15503</v>
      </c>
      <c r="AB798">
        <v>7551</v>
      </c>
      <c r="AC798">
        <v>4.9459042000000002E-2</v>
      </c>
      <c r="AD798">
        <v>0.76960973700000002</v>
      </c>
      <c r="AF798">
        <v>11.823741500000001</v>
      </c>
      <c r="AG798">
        <v>4.2999999999999997E-2</v>
      </c>
      <c r="AH798">
        <v>1.2999999999999999E-2</v>
      </c>
      <c r="AI798">
        <v>0.79500000000000004</v>
      </c>
      <c r="AJ798">
        <v>2.2269999999999999</v>
      </c>
      <c r="AK798">
        <v>5.7705879119999999</v>
      </c>
      <c r="AL798">
        <v>4.1000000000000002E-2</v>
      </c>
      <c r="AM798">
        <v>0.16400000000000001</v>
      </c>
      <c r="AN798">
        <v>0.754</v>
      </c>
    </row>
    <row r="799" spans="1:40">
      <c r="A799">
        <v>2867</v>
      </c>
      <c r="B799" t="s">
        <v>690</v>
      </c>
      <c r="C799" t="s">
        <v>687</v>
      </c>
      <c r="D799" t="s">
        <v>688</v>
      </c>
      <c r="E799">
        <v>348</v>
      </c>
      <c r="F799">
        <v>853</v>
      </c>
      <c r="G799">
        <v>61.055460859999997</v>
      </c>
      <c r="H799">
        <v>560</v>
      </c>
      <c r="I799">
        <v>9.5438358000000001E-2</v>
      </c>
      <c r="J799">
        <v>1413</v>
      </c>
      <c r="K799">
        <v>14805.36788</v>
      </c>
      <c r="L799">
        <v>0.81</v>
      </c>
      <c r="M799">
        <v>0.61674008800000002</v>
      </c>
      <c r="N799">
        <v>0</v>
      </c>
      <c r="O799" t="s">
        <v>613</v>
      </c>
      <c r="P799">
        <f t="shared" si="110"/>
        <v>13.07497326</v>
      </c>
      <c r="Q799">
        <f t="shared" si="111"/>
        <v>4.1000000000000002E-2</v>
      </c>
      <c r="R799">
        <f t="shared" si="112"/>
        <v>2.1000000000000001E-2</v>
      </c>
      <c r="S799">
        <f t="shared" si="113"/>
        <v>0.81</v>
      </c>
      <c r="T799">
        <f t="shared" si="114"/>
        <v>2.102222222</v>
      </c>
      <c r="U799">
        <f t="shared" si="115"/>
        <v>8.7834100720000006</v>
      </c>
      <c r="V799">
        <f t="shared" si="116"/>
        <v>3.5000000000000003E-2</v>
      </c>
      <c r="W799">
        <f t="shared" si="117"/>
        <v>0.105</v>
      </c>
      <c r="X799">
        <f t="shared" si="118"/>
        <v>0.82</v>
      </c>
      <c r="Y799">
        <v>130.11176090000001</v>
      </c>
      <c r="Z799">
        <v>0</v>
      </c>
      <c r="AA799">
        <v>82284</v>
      </c>
      <c r="AB799">
        <v>32030</v>
      </c>
      <c r="AC799">
        <v>4.7570397E-2</v>
      </c>
      <c r="AD799">
        <v>0.78974696300000002</v>
      </c>
      <c r="AF799">
        <v>13.07497326</v>
      </c>
      <c r="AG799">
        <v>4.1000000000000002E-2</v>
      </c>
      <c r="AH799">
        <v>2.1000000000000001E-2</v>
      </c>
      <c r="AI799">
        <v>0.81</v>
      </c>
      <c r="AJ799">
        <v>2.102222222</v>
      </c>
      <c r="AK799">
        <v>8.7834100720000006</v>
      </c>
      <c r="AL799">
        <v>3.5000000000000003E-2</v>
      </c>
      <c r="AM799">
        <v>0.105</v>
      </c>
      <c r="AN799">
        <v>0.82</v>
      </c>
    </row>
    <row r="800" spans="1:40">
      <c r="A800">
        <v>2868</v>
      </c>
      <c r="B800" t="s">
        <v>689</v>
      </c>
      <c r="C800" t="s">
        <v>687</v>
      </c>
      <c r="D800" t="s">
        <v>688</v>
      </c>
      <c r="E800">
        <v>311</v>
      </c>
      <c r="F800">
        <v>895</v>
      </c>
      <c r="G800">
        <v>33.752490309999999</v>
      </c>
      <c r="H800">
        <v>18</v>
      </c>
      <c r="I800">
        <v>5.2759011000000001E-2</v>
      </c>
      <c r="J800">
        <v>913</v>
      </c>
      <c r="K800">
        <v>17305.100729999998</v>
      </c>
      <c r="L800">
        <v>0.72799999999999998</v>
      </c>
      <c r="M800">
        <v>5.4711245999999998E-2</v>
      </c>
      <c r="N800">
        <v>0</v>
      </c>
      <c r="O800" t="s">
        <v>613</v>
      </c>
      <c r="P800">
        <f t="shared" si="110"/>
        <v>13.61563636</v>
      </c>
      <c r="Q800">
        <f t="shared" si="111"/>
        <v>7.9000000000000001E-2</v>
      </c>
      <c r="R800">
        <f t="shared" si="112"/>
        <v>2.5999999999999999E-2</v>
      </c>
      <c r="S800">
        <f t="shared" si="113"/>
        <v>0.72799999999999998</v>
      </c>
      <c r="T800">
        <f t="shared" si="114"/>
        <v>1.895</v>
      </c>
      <c r="U800">
        <f t="shared" si="115"/>
        <v>6.2490060239999998</v>
      </c>
      <c r="V800">
        <f t="shared" si="116"/>
        <v>2.3E-2</v>
      </c>
      <c r="W800">
        <f t="shared" si="117"/>
        <v>0.35199999999999998</v>
      </c>
      <c r="X800">
        <f t="shared" si="118"/>
        <v>0.625</v>
      </c>
      <c r="Y800">
        <v>239.57701460000001</v>
      </c>
      <c r="Z800">
        <v>0</v>
      </c>
      <c r="AA800">
        <v>454184</v>
      </c>
      <c r="AB800">
        <v>170596</v>
      </c>
      <c r="AC800">
        <v>6.5715274000000004E-2</v>
      </c>
      <c r="AD800">
        <v>0.72549415100000003</v>
      </c>
      <c r="AF800">
        <v>13.61563636</v>
      </c>
      <c r="AG800">
        <v>7.9000000000000001E-2</v>
      </c>
      <c r="AH800">
        <v>2.5999999999999999E-2</v>
      </c>
      <c r="AI800">
        <v>0.72799999999999998</v>
      </c>
      <c r="AJ800">
        <v>1.895</v>
      </c>
      <c r="AK800">
        <v>6.2490060239999998</v>
      </c>
      <c r="AL800">
        <v>2.3E-2</v>
      </c>
      <c r="AM800">
        <v>0.35199999999999998</v>
      </c>
      <c r="AN800">
        <v>0.625</v>
      </c>
    </row>
    <row r="801" spans="1:40">
      <c r="A801">
        <v>2869</v>
      </c>
      <c r="B801" t="s">
        <v>689</v>
      </c>
      <c r="C801" t="s">
        <v>687</v>
      </c>
      <c r="D801" t="s">
        <v>688</v>
      </c>
      <c r="E801">
        <v>428</v>
      </c>
      <c r="F801">
        <v>1229</v>
      </c>
      <c r="G801">
        <v>38.342273830000003</v>
      </c>
      <c r="H801">
        <v>96</v>
      </c>
      <c r="I801">
        <v>5.9932986000000001E-2</v>
      </c>
      <c r="J801">
        <v>1325</v>
      </c>
      <c r="K801">
        <v>22108.02579</v>
      </c>
      <c r="L801">
        <v>0.71399999999999997</v>
      </c>
      <c r="M801">
        <v>0.18320610700000001</v>
      </c>
      <c r="N801">
        <v>0</v>
      </c>
      <c r="O801" t="s">
        <v>613</v>
      </c>
      <c r="P801">
        <f t="shared" si="110"/>
        <v>9.0031999999999996</v>
      </c>
      <c r="Q801">
        <f t="shared" si="111"/>
        <v>4.8000000000000001E-2</v>
      </c>
      <c r="R801">
        <f t="shared" si="112"/>
        <v>2.9000000000000001E-2</v>
      </c>
      <c r="S801">
        <f t="shared" si="113"/>
        <v>0.71399999999999997</v>
      </c>
      <c r="T801">
        <f t="shared" si="114"/>
        <v>2.1068421050000001</v>
      </c>
      <c r="U801">
        <f t="shared" si="115"/>
        <v>6.452693966</v>
      </c>
      <c r="V801">
        <f t="shared" si="116"/>
        <v>5.5E-2</v>
      </c>
      <c r="W801">
        <f t="shared" si="117"/>
        <v>0.151</v>
      </c>
      <c r="X801">
        <f t="shared" si="118"/>
        <v>0.68500000000000005</v>
      </c>
      <c r="Y801">
        <v>155.4512579</v>
      </c>
      <c r="Z801">
        <v>0</v>
      </c>
      <c r="AA801">
        <v>454184</v>
      </c>
      <c r="AB801">
        <v>170596</v>
      </c>
      <c r="AC801">
        <v>6.5715274000000004E-2</v>
      </c>
      <c r="AD801">
        <v>0.72549415100000003</v>
      </c>
      <c r="AF801">
        <v>9.0031999999999996</v>
      </c>
      <c r="AG801">
        <v>4.8000000000000001E-2</v>
      </c>
      <c r="AH801">
        <v>2.9000000000000001E-2</v>
      </c>
      <c r="AI801">
        <v>0.71399999999999997</v>
      </c>
      <c r="AJ801">
        <v>2.1068421050000001</v>
      </c>
      <c r="AK801">
        <v>6.452693966</v>
      </c>
      <c r="AL801">
        <v>5.5E-2</v>
      </c>
      <c r="AM801">
        <v>0.151</v>
      </c>
      <c r="AN801">
        <v>0.68500000000000005</v>
      </c>
    </row>
    <row r="802" spans="1:40">
      <c r="A802">
        <v>2870</v>
      </c>
      <c r="B802" t="s">
        <v>689</v>
      </c>
      <c r="C802" t="s">
        <v>687</v>
      </c>
      <c r="D802" t="s">
        <v>688</v>
      </c>
      <c r="E802">
        <v>247</v>
      </c>
      <c r="F802">
        <v>712</v>
      </c>
      <c r="G802">
        <v>26.680106769999998</v>
      </c>
      <c r="H802">
        <v>61</v>
      </c>
      <c r="I802">
        <v>4.1704131999999998E-2</v>
      </c>
      <c r="J802">
        <v>773</v>
      </c>
      <c r="K802">
        <v>18535.333620000001</v>
      </c>
      <c r="L802">
        <v>0.71199999999999997</v>
      </c>
      <c r="M802">
        <v>0.19805194800000001</v>
      </c>
      <c r="N802">
        <v>0</v>
      </c>
      <c r="O802" t="s">
        <v>613</v>
      </c>
      <c r="P802">
        <f t="shared" si="110"/>
        <v>10.72971014</v>
      </c>
      <c r="Q802">
        <f t="shared" si="111"/>
        <v>6.8000000000000005E-2</v>
      </c>
      <c r="R802">
        <f t="shared" si="112"/>
        <v>5.1999999999999998E-2</v>
      </c>
      <c r="S802">
        <f t="shared" si="113"/>
        <v>0.71199999999999997</v>
      </c>
      <c r="T802">
        <f t="shared" si="114"/>
        <v>2.76</v>
      </c>
      <c r="U802">
        <f t="shared" si="115"/>
        <v>6.3137910450000003</v>
      </c>
      <c r="V802">
        <f t="shared" si="116"/>
        <v>8.7999999999999995E-2</v>
      </c>
      <c r="W802">
        <f t="shared" si="117"/>
        <v>0.16700000000000001</v>
      </c>
      <c r="X802">
        <f t="shared" si="118"/>
        <v>0.67600000000000005</v>
      </c>
      <c r="Y802">
        <v>114.7137121</v>
      </c>
      <c r="Z802">
        <v>0</v>
      </c>
      <c r="AA802">
        <v>454184</v>
      </c>
      <c r="AB802">
        <v>170596</v>
      </c>
      <c r="AC802">
        <v>6.5715274000000004E-2</v>
      </c>
      <c r="AD802">
        <v>0.72549415100000003</v>
      </c>
      <c r="AF802">
        <v>10.72971014</v>
      </c>
      <c r="AG802">
        <v>6.8000000000000005E-2</v>
      </c>
      <c r="AH802">
        <v>5.1999999999999998E-2</v>
      </c>
      <c r="AI802">
        <v>0.71199999999999997</v>
      </c>
      <c r="AJ802">
        <v>2.76</v>
      </c>
      <c r="AK802">
        <v>6.3137910450000003</v>
      </c>
      <c r="AL802">
        <v>8.7999999999999995E-2</v>
      </c>
      <c r="AM802">
        <v>0.16700000000000001</v>
      </c>
      <c r="AN802">
        <v>0.67600000000000005</v>
      </c>
    </row>
    <row r="803" spans="1:40">
      <c r="A803">
        <v>2871</v>
      </c>
      <c r="B803" t="s">
        <v>689</v>
      </c>
      <c r="C803" t="s">
        <v>687</v>
      </c>
      <c r="D803" t="s">
        <v>688</v>
      </c>
      <c r="E803">
        <v>172</v>
      </c>
      <c r="F803">
        <v>548</v>
      </c>
      <c r="G803">
        <v>37.606598470000002</v>
      </c>
      <c r="H803">
        <v>71</v>
      </c>
      <c r="I803">
        <v>5.8780446E-2</v>
      </c>
      <c r="J803">
        <v>619</v>
      </c>
      <c r="K803">
        <v>10530.712879999999</v>
      </c>
      <c r="L803">
        <v>0.70699999999999996</v>
      </c>
      <c r="M803">
        <v>0.29218106999999999</v>
      </c>
      <c r="N803">
        <v>0</v>
      </c>
      <c r="O803" t="s">
        <v>613</v>
      </c>
      <c r="P803">
        <f t="shared" si="110"/>
        <v>12.02563636</v>
      </c>
      <c r="Q803">
        <f t="shared" si="111"/>
        <v>4.2999999999999997E-2</v>
      </c>
      <c r="R803">
        <f t="shared" si="112"/>
        <v>1.4E-2</v>
      </c>
      <c r="S803">
        <f t="shared" si="113"/>
        <v>0.70699999999999996</v>
      </c>
      <c r="T803">
        <f t="shared" si="114"/>
        <v>1.118571429</v>
      </c>
      <c r="U803">
        <f t="shared" si="115"/>
        <v>6.1270294119999997</v>
      </c>
      <c r="V803">
        <f t="shared" si="116"/>
        <v>6.2414117647058849E-2</v>
      </c>
      <c r="W803">
        <f t="shared" si="117"/>
        <v>0.16900000000000001</v>
      </c>
      <c r="X803">
        <f t="shared" si="118"/>
        <v>0.77500000000000002</v>
      </c>
      <c r="Y803">
        <v>150.726392</v>
      </c>
      <c r="Z803">
        <v>0</v>
      </c>
      <c r="AA803">
        <v>454184</v>
      </c>
      <c r="AB803">
        <v>170596</v>
      </c>
      <c r="AC803">
        <v>6.5715274000000004E-2</v>
      </c>
      <c r="AD803">
        <v>0.72549415100000003</v>
      </c>
      <c r="AF803">
        <v>12.02563636</v>
      </c>
      <c r="AG803">
        <v>4.2999999999999997E-2</v>
      </c>
      <c r="AH803">
        <v>1.4E-2</v>
      </c>
      <c r="AI803">
        <v>0.70699999999999996</v>
      </c>
      <c r="AJ803">
        <v>1.118571429</v>
      </c>
      <c r="AK803">
        <v>6.1270294119999997</v>
      </c>
      <c r="AL803">
        <v>0</v>
      </c>
      <c r="AM803">
        <v>0.16900000000000001</v>
      </c>
      <c r="AN803">
        <v>0.77500000000000002</v>
      </c>
    </row>
    <row r="804" spans="1:40">
      <c r="A804">
        <v>2872</v>
      </c>
      <c r="B804" t="s">
        <v>689</v>
      </c>
      <c r="C804" t="s">
        <v>687</v>
      </c>
      <c r="D804" t="s">
        <v>688</v>
      </c>
      <c r="E804">
        <v>251</v>
      </c>
      <c r="F804">
        <v>644</v>
      </c>
      <c r="G804">
        <v>24.62835394</v>
      </c>
      <c r="H804">
        <v>15</v>
      </c>
      <c r="I804">
        <v>3.8498557000000003E-2</v>
      </c>
      <c r="J804">
        <v>659</v>
      </c>
      <c r="K804">
        <v>17117.524689999998</v>
      </c>
      <c r="L804">
        <v>0.71399999999999997</v>
      </c>
      <c r="M804">
        <v>5.6390977000000002E-2</v>
      </c>
      <c r="N804">
        <v>0</v>
      </c>
      <c r="O804" t="s">
        <v>613</v>
      </c>
      <c r="P804">
        <f t="shared" si="110"/>
        <v>12.18111111</v>
      </c>
      <c r="Q804">
        <f t="shared" si="111"/>
        <v>8.4000000000000005E-2</v>
      </c>
      <c r="R804">
        <f t="shared" si="112"/>
        <v>3.2000000000000001E-2</v>
      </c>
      <c r="S804">
        <f t="shared" si="113"/>
        <v>0.71399999999999997</v>
      </c>
      <c r="T804">
        <f t="shared" si="114"/>
        <v>2.137</v>
      </c>
      <c r="U804">
        <f t="shared" si="115"/>
        <v>5.8800930229999997</v>
      </c>
      <c r="V804">
        <f t="shared" si="116"/>
        <v>8.7999999999999995E-2</v>
      </c>
      <c r="W804">
        <f t="shared" si="117"/>
        <v>0.309</v>
      </c>
      <c r="X804">
        <f t="shared" si="118"/>
        <v>0.52900000000000003</v>
      </c>
      <c r="Y804">
        <v>186.0027058</v>
      </c>
      <c r="Z804">
        <v>0</v>
      </c>
      <c r="AA804">
        <v>454184</v>
      </c>
      <c r="AB804">
        <v>170596</v>
      </c>
      <c r="AC804">
        <v>6.5715274000000004E-2</v>
      </c>
      <c r="AD804">
        <v>0.72549415100000003</v>
      </c>
      <c r="AF804">
        <v>12.18111111</v>
      </c>
      <c r="AG804">
        <v>8.4000000000000005E-2</v>
      </c>
      <c r="AH804">
        <v>3.2000000000000001E-2</v>
      </c>
      <c r="AI804">
        <v>0.71399999999999997</v>
      </c>
      <c r="AJ804">
        <v>2.137</v>
      </c>
      <c r="AK804">
        <v>5.8800930229999997</v>
      </c>
      <c r="AL804">
        <v>8.7999999999999995E-2</v>
      </c>
      <c r="AM804">
        <v>0.309</v>
      </c>
      <c r="AN804">
        <v>0.52900000000000003</v>
      </c>
    </row>
    <row r="805" spans="1:40">
      <c r="A805">
        <v>2873</v>
      </c>
      <c r="B805" t="s">
        <v>689</v>
      </c>
      <c r="C805" t="s">
        <v>687</v>
      </c>
      <c r="D805" t="s">
        <v>688</v>
      </c>
      <c r="E805">
        <v>275</v>
      </c>
      <c r="F805">
        <v>513</v>
      </c>
      <c r="G805">
        <v>28.961464729999999</v>
      </c>
      <c r="H805">
        <v>399</v>
      </c>
      <c r="I805">
        <v>4.5270533000000002E-2</v>
      </c>
      <c r="J805">
        <v>912</v>
      </c>
      <c r="K805">
        <v>20145.55473</v>
      </c>
      <c r="L805">
        <v>0.64700000000000002</v>
      </c>
      <c r="M805">
        <v>0.59198813100000003</v>
      </c>
      <c r="N805">
        <v>1</v>
      </c>
      <c r="O805" t="s">
        <v>606</v>
      </c>
      <c r="P805">
        <f t="shared" si="110"/>
        <v>11.32810345</v>
      </c>
      <c r="Q805">
        <f t="shared" si="111"/>
        <v>0.13600000000000001</v>
      </c>
      <c r="R805">
        <f t="shared" si="112"/>
        <v>0.03</v>
      </c>
      <c r="S805">
        <f t="shared" si="113"/>
        <v>0.64700000000000002</v>
      </c>
      <c r="T805">
        <f t="shared" si="114"/>
        <v>1.9720689659999999</v>
      </c>
      <c r="U805">
        <f t="shared" si="115"/>
        <v>6.5627272730000001</v>
      </c>
      <c r="V805">
        <f t="shared" si="116"/>
        <v>6.5000000000000002E-2</v>
      </c>
      <c r="W805">
        <f t="shared" si="117"/>
        <v>0.185</v>
      </c>
      <c r="X805">
        <f t="shared" si="118"/>
        <v>0.63</v>
      </c>
      <c r="Y805">
        <v>82.581521120000005</v>
      </c>
      <c r="Z805">
        <v>0</v>
      </c>
      <c r="AA805">
        <v>454184</v>
      </c>
      <c r="AB805">
        <v>170596</v>
      </c>
      <c r="AC805">
        <v>6.5715274000000004E-2</v>
      </c>
      <c r="AD805">
        <v>0.72549415100000003</v>
      </c>
      <c r="AF805">
        <v>11.32810345</v>
      </c>
      <c r="AG805">
        <v>0.13600000000000001</v>
      </c>
      <c r="AH805">
        <v>0.03</v>
      </c>
      <c r="AI805">
        <v>0.64700000000000002</v>
      </c>
      <c r="AJ805">
        <v>1.9720689659999999</v>
      </c>
      <c r="AK805">
        <v>6.5627272730000001</v>
      </c>
      <c r="AL805">
        <v>6.5000000000000002E-2</v>
      </c>
      <c r="AM805">
        <v>0.185</v>
      </c>
      <c r="AN805">
        <v>0.63</v>
      </c>
    </row>
    <row r="806" spans="1:40">
      <c r="A806">
        <v>2874</v>
      </c>
      <c r="B806" t="s">
        <v>689</v>
      </c>
      <c r="C806" t="s">
        <v>687</v>
      </c>
      <c r="D806" t="s">
        <v>688</v>
      </c>
      <c r="E806">
        <v>571</v>
      </c>
      <c r="F806">
        <v>963</v>
      </c>
      <c r="G806">
        <v>29.365152330000001</v>
      </c>
      <c r="H806">
        <v>236</v>
      </c>
      <c r="I806">
        <v>4.5903265999999998E-2</v>
      </c>
      <c r="J806">
        <v>1199</v>
      </c>
      <c r="K806">
        <v>26120.145789999999</v>
      </c>
      <c r="L806">
        <v>0.65200000000000002</v>
      </c>
      <c r="M806">
        <v>0.29244113999999999</v>
      </c>
      <c r="N806">
        <v>0</v>
      </c>
      <c r="O806" t="s">
        <v>606</v>
      </c>
      <c r="P806">
        <f t="shared" si="110"/>
        <v>7.7725600000000004</v>
      </c>
      <c r="Q806">
        <f t="shared" si="111"/>
        <v>4.9000000000000002E-2</v>
      </c>
      <c r="R806">
        <f t="shared" si="112"/>
        <v>5.2999999999999999E-2</v>
      </c>
      <c r="S806">
        <f t="shared" si="113"/>
        <v>0.65200000000000002</v>
      </c>
      <c r="T806">
        <f t="shared" si="114"/>
        <v>2.0195555559999998</v>
      </c>
      <c r="U806">
        <f t="shared" si="115"/>
        <v>5.7491962619999999</v>
      </c>
      <c r="V806">
        <f t="shared" si="116"/>
        <v>9.8000000000000004E-2</v>
      </c>
      <c r="W806">
        <f t="shared" si="117"/>
        <v>0.11700000000000001</v>
      </c>
      <c r="X806">
        <f t="shared" si="118"/>
        <v>0.61</v>
      </c>
      <c r="Y806">
        <v>175.06654159999999</v>
      </c>
      <c r="Z806">
        <v>0</v>
      </c>
      <c r="AA806">
        <v>454184</v>
      </c>
      <c r="AB806">
        <v>170596</v>
      </c>
      <c r="AC806">
        <v>6.5715274000000004E-2</v>
      </c>
      <c r="AD806">
        <v>0.72549415100000003</v>
      </c>
      <c r="AF806">
        <v>7.7725600000000004</v>
      </c>
      <c r="AG806">
        <v>4.9000000000000002E-2</v>
      </c>
      <c r="AH806">
        <v>5.2999999999999999E-2</v>
      </c>
      <c r="AI806">
        <v>0.65200000000000002</v>
      </c>
      <c r="AJ806">
        <v>2.0195555559999998</v>
      </c>
      <c r="AK806">
        <v>5.7491962619999999</v>
      </c>
      <c r="AL806">
        <v>9.8000000000000004E-2</v>
      </c>
      <c r="AM806">
        <v>0.11700000000000001</v>
      </c>
      <c r="AN806">
        <v>0.61</v>
      </c>
    </row>
    <row r="807" spans="1:40">
      <c r="A807">
        <v>2875</v>
      </c>
      <c r="B807" t="s">
        <v>689</v>
      </c>
      <c r="C807" t="s">
        <v>687</v>
      </c>
      <c r="D807" t="s">
        <v>688</v>
      </c>
      <c r="E807">
        <v>391</v>
      </c>
      <c r="F807">
        <v>857</v>
      </c>
      <c r="G807">
        <v>32.712662209999998</v>
      </c>
      <c r="H807">
        <v>413</v>
      </c>
      <c r="I807">
        <v>5.1133517000000003E-2</v>
      </c>
      <c r="J807">
        <v>1270</v>
      </c>
      <c r="K807">
        <v>24836.938170000001</v>
      </c>
      <c r="L807">
        <v>0.68799999999999994</v>
      </c>
      <c r="M807">
        <v>0.51368159199999996</v>
      </c>
      <c r="N807">
        <v>1</v>
      </c>
      <c r="O807" t="s">
        <v>606</v>
      </c>
      <c r="P807">
        <f t="shared" si="110"/>
        <v>10.3554902</v>
      </c>
      <c r="Q807">
        <f t="shared" si="111"/>
        <v>0.09</v>
      </c>
      <c r="R807">
        <f t="shared" si="112"/>
        <v>3.1E-2</v>
      </c>
      <c r="S807">
        <f t="shared" si="113"/>
        <v>0.68799999999999994</v>
      </c>
      <c r="T807">
        <f t="shared" si="114"/>
        <v>1.98125</v>
      </c>
      <c r="U807">
        <f t="shared" si="115"/>
        <v>5.887876984</v>
      </c>
      <c r="V807">
        <f t="shared" si="116"/>
        <v>9.1999999999999998E-2</v>
      </c>
      <c r="W807">
        <f t="shared" si="117"/>
        <v>0.14499999999999999</v>
      </c>
      <c r="X807">
        <f t="shared" si="118"/>
        <v>0.59</v>
      </c>
      <c r="Y807">
        <v>93.420991069999999</v>
      </c>
      <c r="Z807">
        <v>0</v>
      </c>
      <c r="AA807">
        <v>454184</v>
      </c>
      <c r="AB807">
        <v>170596</v>
      </c>
      <c r="AC807">
        <v>6.5715274000000004E-2</v>
      </c>
      <c r="AD807">
        <v>0.72549415100000003</v>
      </c>
      <c r="AF807">
        <v>10.3554902</v>
      </c>
      <c r="AG807">
        <v>0.09</v>
      </c>
      <c r="AH807">
        <v>3.1E-2</v>
      </c>
      <c r="AI807">
        <v>0.68799999999999994</v>
      </c>
      <c r="AJ807">
        <v>1.98125</v>
      </c>
      <c r="AK807">
        <v>5.887876984</v>
      </c>
      <c r="AL807">
        <v>9.1999999999999998E-2</v>
      </c>
      <c r="AM807">
        <v>0.14499999999999999</v>
      </c>
      <c r="AN807">
        <v>0.59</v>
      </c>
    </row>
    <row r="808" spans="1:40">
      <c r="A808">
        <v>2876</v>
      </c>
      <c r="B808" t="s">
        <v>683</v>
      </c>
      <c r="C808" t="s">
        <v>684</v>
      </c>
      <c r="D808" t="s">
        <v>685</v>
      </c>
      <c r="E808">
        <v>62</v>
      </c>
      <c r="F808">
        <v>281</v>
      </c>
      <c r="G808">
        <v>6585.5106750000004</v>
      </c>
      <c r="H808">
        <v>268</v>
      </c>
      <c r="I808" s="515">
        <v>10.293772958454101</v>
      </c>
      <c r="J808">
        <v>549</v>
      </c>
      <c r="K808">
        <v>53.333214380000001</v>
      </c>
      <c r="L808" s="515">
        <v>1</v>
      </c>
      <c r="M808">
        <v>0.81212121199999998</v>
      </c>
      <c r="N808">
        <v>0</v>
      </c>
      <c r="O808" t="s">
        <v>625</v>
      </c>
      <c r="P808">
        <f t="shared" si="110"/>
        <v>16.25564516</v>
      </c>
      <c r="Q808">
        <f t="shared" si="111"/>
        <v>2.4425925925925924E-2</v>
      </c>
      <c r="R808">
        <f t="shared" si="112"/>
        <v>1.8490909090909103E-2</v>
      </c>
      <c r="S808">
        <f t="shared" si="113"/>
        <v>1</v>
      </c>
      <c r="T808">
        <f t="shared" si="114"/>
        <v>2.1850628673454549</v>
      </c>
      <c r="U808">
        <f t="shared" si="115"/>
        <v>13.49769912</v>
      </c>
      <c r="V808">
        <f t="shared" si="116"/>
        <v>3.4119999999999984E-2</v>
      </c>
      <c r="W808">
        <f t="shared" si="117"/>
        <v>7.91132075471698E-2</v>
      </c>
      <c r="X808">
        <f t="shared" si="118"/>
        <v>1</v>
      </c>
      <c r="Y808">
        <v>4.9786159000000003</v>
      </c>
      <c r="Z808">
        <v>0</v>
      </c>
      <c r="AA808">
        <v>75370</v>
      </c>
      <c r="AB808">
        <v>21403</v>
      </c>
      <c r="AC808">
        <v>2.4597187E-2</v>
      </c>
      <c r="AD808">
        <v>0.84342094400000001</v>
      </c>
      <c r="AF808">
        <v>16.25564516</v>
      </c>
      <c r="AG808">
        <v>0</v>
      </c>
      <c r="AH808">
        <v>0</v>
      </c>
      <c r="AI808">
        <v>1</v>
      </c>
      <c r="AK808">
        <v>13.49769912</v>
      </c>
      <c r="AL808">
        <v>0</v>
      </c>
      <c r="AM808">
        <v>0</v>
      </c>
      <c r="AN808">
        <v>1</v>
      </c>
    </row>
    <row r="809" spans="1:40">
      <c r="A809">
        <v>2877</v>
      </c>
      <c r="B809" t="s">
        <v>691</v>
      </c>
      <c r="C809" t="s">
        <v>684</v>
      </c>
      <c r="D809" t="s">
        <v>685</v>
      </c>
      <c r="E809">
        <v>0</v>
      </c>
      <c r="F809">
        <v>1</v>
      </c>
      <c r="G809">
        <v>1599.7238649999999</v>
      </c>
      <c r="H809">
        <v>0</v>
      </c>
      <c r="I809" s="515">
        <v>2.5004955367369299</v>
      </c>
      <c r="J809">
        <v>1</v>
      </c>
      <c r="K809">
        <v>0.39992073</v>
      </c>
      <c r="L809"/>
      <c r="M809">
        <v>0</v>
      </c>
      <c r="N809">
        <v>0</v>
      </c>
      <c r="O809" t="s">
        <v>625</v>
      </c>
      <c r="P809">
        <f t="shared" si="110"/>
        <v>13.80964256976471</v>
      </c>
      <c r="Q809">
        <f t="shared" si="111"/>
        <v>1.8070175438596476E-2</v>
      </c>
      <c r="R809">
        <f t="shared" si="112"/>
        <v>1.8486033519553042E-2</v>
      </c>
      <c r="S809">
        <f t="shared" si="113"/>
        <v>0.85609090909090879</v>
      </c>
      <c r="T809">
        <f t="shared" si="114"/>
        <v>2.3004685426703912</v>
      </c>
      <c r="U809">
        <f t="shared" si="115"/>
        <v>8.0594340853689896</v>
      </c>
      <c r="V809">
        <f t="shared" si="116"/>
        <v>3.5151315789473656E-2</v>
      </c>
      <c r="W809">
        <f t="shared" si="117"/>
        <v>5.9146341463414652E-2</v>
      </c>
      <c r="X809">
        <f t="shared" si="118"/>
        <v>0.89860427807486687</v>
      </c>
      <c r="Y809">
        <v>12.965551120000001</v>
      </c>
      <c r="Z809">
        <v>0</v>
      </c>
      <c r="AA809">
        <v>236250</v>
      </c>
      <c r="AB809">
        <v>76158</v>
      </c>
      <c r="AC809">
        <v>1.7652984E-2</v>
      </c>
      <c r="AD809">
        <v>0.84750225300000004</v>
      </c>
    </row>
    <row r="810" spans="1:40">
      <c r="A810">
        <v>2878</v>
      </c>
      <c r="B810" t="s">
        <v>707</v>
      </c>
      <c r="C810" t="s">
        <v>693</v>
      </c>
      <c r="D810" t="s">
        <v>694</v>
      </c>
      <c r="E810">
        <v>21</v>
      </c>
      <c r="F810">
        <v>59</v>
      </c>
      <c r="G810">
        <v>2910.6697009999998</v>
      </c>
      <c r="H810">
        <v>97</v>
      </c>
      <c r="I810" s="515">
        <v>4.5497225787663602</v>
      </c>
      <c r="J810">
        <v>156</v>
      </c>
      <c r="K810">
        <v>34.287804870000002</v>
      </c>
      <c r="L810" s="515">
        <v>1</v>
      </c>
      <c r="M810">
        <v>0.82203389800000004</v>
      </c>
      <c r="N810">
        <v>0</v>
      </c>
      <c r="O810" t="s">
        <v>625</v>
      </c>
      <c r="P810">
        <f t="shared" si="110"/>
        <v>11.58772727</v>
      </c>
      <c r="Q810">
        <f t="shared" si="111"/>
        <v>2.0450000000000006E-2</v>
      </c>
      <c r="R810">
        <f t="shared" si="112"/>
        <v>7.2846153846153852E-2</v>
      </c>
      <c r="S810">
        <f t="shared" si="113"/>
        <v>1</v>
      </c>
      <c r="T810">
        <f t="shared" si="114"/>
        <v>2.2191326312692303</v>
      </c>
      <c r="U810">
        <f t="shared" si="115"/>
        <v>9.8390909089999994</v>
      </c>
      <c r="V810">
        <f t="shared" si="116"/>
        <v>0.11835714285714286</v>
      </c>
      <c r="W810">
        <f t="shared" si="117"/>
        <v>8.5526315789473686E-2</v>
      </c>
      <c r="X810">
        <f t="shared" si="118"/>
        <v>1</v>
      </c>
      <c r="Y810">
        <v>8.2196873099999994</v>
      </c>
      <c r="Z810">
        <v>0</v>
      </c>
      <c r="AA810">
        <v>21149</v>
      </c>
      <c r="AB810">
        <v>6968</v>
      </c>
      <c r="AC810">
        <v>1.6645858999999999E-2</v>
      </c>
      <c r="AD810">
        <v>0.89069218999999999</v>
      </c>
      <c r="AF810">
        <v>11.58772727</v>
      </c>
      <c r="AG810">
        <v>0</v>
      </c>
      <c r="AH810">
        <v>0</v>
      </c>
      <c r="AI810">
        <v>1</v>
      </c>
      <c r="AK810">
        <v>9.8390909089999994</v>
      </c>
      <c r="AL810">
        <v>0</v>
      </c>
      <c r="AM810">
        <v>0</v>
      </c>
      <c r="AN810">
        <v>1</v>
      </c>
    </row>
    <row r="811" spans="1:40">
      <c r="A811">
        <v>2879</v>
      </c>
      <c r="B811" t="s">
        <v>705</v>
      </c>
      <c r="C811" t="s">
        <v>696</v>
      </c>
      <c r="D811" t="s">
        <v>697</v>
      </c>
      <c r="E811">
        <v>485</v>
      </c>
      <c r="F811">
        <v>1118</v>
      </c>
      <c r="G811">
        <v>95.096267639999994</v>
      </c>
      <c r="H811">
        <v>45</v>
      </c>
      <c r="I811">
        <v>0.148646258</v>
      </c>
      <c r="J811">
        <v>1163</v>
      </c>
      <c r="K811">
        <v>7823.9440109999996</v>
      </c>
      <c r="L811">
        <v>0.82199999999999995</v>
      </c>
      <c r="M811">
        <v>8.4905659999999994E-2</v>
      </c>
      <c r="N811">
        <v>0</v>
      </c>
      <c r="O811" t="s">
        <v>620</v>
      </c>
      <c r="P811">
        <f t="shared" si="110"/>
        <v>13.318211379999999</v>
      </c>
      <c r="Q811">
        <f t="shared" si="111"/>
        <v>1.4E-2</v>
      </c>
      <c r="R811">
        <f t="shared" si="112"/>
        <v>0.03</v>
      </c>
      <c r="S811">
        <f t="shared" si="113"/>
        <v>0.82199999999999995</v>
      </c>
      <c r="T811">
        <f t="shared" si="114"/>
        <v>2.105</v>
      </c>
      <c r="U811">
        <f t="shared" si="115"/>
        <v>6.9417335470000001</v>
      </c>
      <c r="V811">
        <f t="shared" si="116"/>
        <v>1.4999999999999999E-2</v>
      </c>
      <c r="W811">
        <f t="shared" si="117"/>
        <v>5.8000000000000003E-2</v>
      </c>
      <c r="X811">
        <f t="shared" si="118"/>
        <v>0.89800000000000002</v>
      </c>
      <c r="Y811">
        <v>38.251674950000002</v>
      </c>
      <c r="Z811">
        <v>0</v>
      </c>
      <c r="AA811">
        <v>152832</v>
      </c>
      <c r="AB811">
        <v>45686</v>
      </c>
      <c r="AC811">
        <v>2.1596295000000001E-2</v>
      </c>
      <c r="AD811">
        <v>0.84212384500000004</v>
      </c>
      <c r="AF811">
        <v>13.318211379999999</v>
      </c>
      <c r="AG811">
        <v>1.4E-2</v>
      </c>
      <c r="AH811">
        <v>0.03</v>
      </c>
      <c r="AI811">
        <v>0.82199999999999995</v>
      </c>
      <c r="AJ811">
        <v>2.105</v>
      </c>
      <c r="AK811">
        <v>6.9417335470000001</v>
      </c>
      <c r="AL811">
        <v>1.4999999999999999E-2</v>
      </c>
      <c r="AM811">
        <v>5.8000000000000003E-2</v>
      </c>
      <c r="AN811">
        <v>0.89800000000000002</v>
      </c>
    </row>
    <row r="812" spans="1:40">
      <c r="A812">
        <v>2880</v>
      </c>
      <c r="B812" t="s">
        <v>689</v>
      </c>
      <c r="C812" t="s">
        <v>687</v>
      </c>
      <c r="D812" t="s">
        <v>688</v>
      </c>
      <c r="E812">
        <v>211</v>
      </c>
      <c r="F812">
        <v>816</v>
      </c>
      <c r="G812">
        <v>114.97459689999999</v>
      </c>
      <c r="H812">
        <v>1299</v>
      </c>
      <c r="I812">
        <v>0.17971494900000001</v>
      </c>
      <c r="J812">
        <v>2115</v>
      </c>
      <c r="K812">
        <v>11768.63701</v>
      </c>
      <c r="L812">
        <v>0.875</v>
      </c>
      <c r="M812">
        <v>0.86026490099999997</v>
      </c>
      <c r="N812">
        <v>0</v>
      </c>
      <c r="O812" t="s">
        <v>613</v>
      </c>
      <c r="P812">
        <f t="shared" si="110"/>
        <v>13.816851850000001</v>
      </c>
      <c r="Q812">
        <f t="shared" si="111"/>
        <v>2.7E-2</v>
      </c>
      <c r="R812">
        <f t="shared" si="112"/>
        <v>2.4E-2</v>
      </c>
      <c r="S812">
        <f t="shared" si="113"/>
        <v>0.875</v>
      </c>
      <c r="T812">
        <f t="shared" si="114"/>
        <v>2.3133333330000001</v>
      </c>
      <c r="U812">
        <f t="shared" si="115"/>
        <v>8.3234508349999992</v>
      </c>
      <c r="V812">
        <f t="shared" si="116"/>
        <v>0.02</v>
      </c>
      <c r="W812">
        <f t="shared" si="117"/>
        <v>6.3E-2</v>
      </c>
      <c r="X812">
        <f t="shared" si="118"/>
        <v>0.89700000000000002</v>
      </c>
      <c r="Y812">
        <v>78.244367260000004</v>
      </c>
      <c r="Z812">
        <v>0</v>
      </c>
      <c r="AA812">
        <v>454184</v>
      </c>
      <c r="AB812">
        <v>170596</v>
      </c>
      <c r="AC812">
        <v>6.5715274000000004E-2</v>
      </c>
      <c r="AD812">
        <v>0.72549415100000003</v>
      </c>
      <c r="AF812">
        <v>13.816851850000001</v>
      </c>
      <c r="AG812">
        <v>2.7E-2</v>
      </c>
      <c r="AH812">
        <v>2.4E-2</v>
      </c>
      <c r="AI812">
        <v>0.875</v>
      </c>
      <c r="AJ812">
        <v>2.3133333330000001</v>
      </c>
      <c r="AK812">
        <v>8.3234508349999992</v>
      </c>
      <c r="AL812">
        <v>0.02</v>
      </c>
      <c r="AM812">
        <v>6.3E-2</v>
      </c>
      <c r="AN812">
        <v>0.89700000000000002</v>
      </c>
    </row>
    <row r="813" spans="1:40">
      <c r="A813">
        <v>2881</v>
      </c>
      <c r="B813" t="s">
        <v>702</v>
      </c>
      <c r="C813" t="s">
        <v>696</v>
      </c>
      <c r="D813" t="s">
        <v>697</v>
      </c>
      <c r="E813">
        <v>547</v>
      </c>
      <c r="F813">
        <v>1446</v>
      </c>
      <c r="G813">
        <v>290.95041320000001</v>
      </c>
      <c r="H813">
        <v>2834</v>
      </c>
      <c r="I813">
        <v>0.45477532500000001</v>
      </c>
      <c r="J813">
        <v>4280</v>
      </c>
      <c r="K813">
        <v>9411.2405940000008</v>
      </c>
      <c r="L813">
        <v>0.90400000000000003</v>
      </c>
      <c r="M813">
        <v>0.83821354599999998</v>
      </c>
      <c r="N813">
        <v>0</v>
      </c>
      <c r="O813" t="s">
        <v>620</v>
      </c>
      <c r="P813">
        <f t="shared" si="110"/>
        <v>13.91294253</v>
      </c>
      <c r="Q813">
        <f t="shared" si="111"/>
        <v>1.2E-2</v>
      </c>
      <c r="R813">
        <f t="shared" si="112"/>
        <v>1.6E-2</v>
      </c>
      <c r="S813">
        <f t="shared" si="113"/>
        <v>0.90400000000000003</v>
      </c>
      <c r="T813">
        <f t="shared" si="114"/>
        <v>2.2877419350000001</v>
      </c>
      <c r="U813">
        <f t="shared" si="115"/>
        <v>6.9880407199999999</v>
      </c>
      <c r="V813">
        <f t="shared" si="116"/>
        <v>4.4999999999999998E-2</v>
      </c>
      <c r="W813">
        <f t="shared" si="117"/>
        <v>4.4999999999999998E-2</v>
      </c>
      <c r="X813">
        <f t="shared" si="118"/>
        <v>0.89300000000000002</v>
      </c>
      <c r="Y813">
        <v>65.231887709999995</v>
      </c>
      <c r="Z813">
        <v>0</v>
      </c>
      <c r="AA813">
        <v>90778</v>
      </c>
      <c r="AB813">
        <v>31662</v>
      </c>
      <c r="AC813">
        <v>3.1753482E-2</v>
      </c>
      <c r="AD813">
        <v>0.82960131100000001</v>
      </c>
      <c r="AF813">
        <v>13.91294253</v>
      </c>
      <c r="AG813">
        <v>1.2E-2</v>
      </c>
      <c r="AH813">
        <v>1.6E-2</v>
      </c>
      <c r="AI813">
        <v>0.90400000000000003</v>
      </c>
      <c r="AJ813">
        <v>2.2877419350000001</v>
      </c>
      <c r="AK813">
        <v>6.9880407199999999</v>
      </c>
      <c r="AL813">
        <v>4.4999999999999998E-2</v>
      </c>
      <c r="AM813">
        <v>4.4999999999999998E-2</v>
      </c>
      <c r="AN813">
        <v>0.89300000000000002</v>
      </c>
    </row>
    <row r="814" spans="1:40">
      <c r="A814">
        <v>2882</v>
      </c>
      <c r="B814" t="s">
        <v>702</v>
      </c>
      <c r="C814" t="s">
        <v>696</v>
      </c>
      <c r="D814" t="s">
        <v>697</v>
      </c>
      <c r="E814">
        <v>502</v>
      </c>
      <c r="F814">
        <v>1475</v>
      </c>
      <c r="G814">
        <v>93.556804229999997</v>
      </c>
      <c r="H814">
        <v>1147</v>
      </c>
      <c r="I814">
        <v>0.14624121300000001</v>
      </c>
      <c r="J814">
        <v>2622</v>
      </c>
      <c r="K814">
        <v>17929.282360000001</v>
      </c>
      <c r="L814">
        <v>0.80200000000000005</v>
      </c>
      <c r="M814">
        <v>0.69557307499999999</v>
      </c>
      <c r="N814">
        <v>1</v>
      </c>
      <c r="O814" t="s">
        <v>613</v>
      </c>
      <c r="P814">
        <f t="shared" si="110"/>
        <v>10.271532260000001</v>
      </c>
      <c r="Q814">
        <f t="shared" si="111"/>
        <v>5.8000000000000003E-2</v>
      </c>
      <c r="R814">
        <f t="shared" si="112"/>
        <v>8.9999999999999993E-3</v>
      </c>
      <c r="S814">
        <f t="shared" si="113"/>
        <v>0.80200000000000005</v>
      </c>
      <c r="T814">
        <f t="shared" si="114"/>
        <v>2.0655000000000001</v>
      </c>
      <c r="U814">
        <f t="shared" si="115"/>
        <v>6.6090071339999996</v>
      </c>
      <c r="V814">
        <f t="shared" si="116"/>
        <v>4.2999999999999997E-2</v>
      </c>
      <c r="W814">
        <f t="shared" si="117"/>
        <v>0.17</v>
      </c>
      <c r="X814">
        <f t="shared" si="118"/>
        <v>0.754</v>
      </c>
      <c r="Y814">
        <v>193.13986439999999</v>
      </c>
      <c r="Z814">
        <v>0</v>
      </c>
      <c r="AA814">
        <v>90778</v>
      </c>
      <c r="AB814">
        <v>31662</v>
      </c>
      <c r="AC814">
        <v>3.1753482E-2</v>
      </c>
      <c r="AD814">
        <v>0.82960131100000001</v>
      </c>
      <c r="AF814">
        <v>10.271532260000001</v>
      </c>
      <c r="AG814">
        <v>5.8000000000000003E-2</v>
      </c>
      <c r="AH814">
        <v>8.9999999999999993E-3</v>
      </c>
      <c r="AI814">
        <v>0.80200000000000005</v>
      </c>
      <c r="AJ814">
        <v>2.0655000000000001</v>
      </c>
      <c r="AK814">
        <v>6.6090071339999996</v>
      </c>
      <c r="AL814">
        <v>4.2999999999999997E-2</v>
      </c>
      <c r="AM814">
        <v>0.17</v>
      </c>
      <c r="AN814">
        <v>0.754</v>
      </c>
    </row>
    <row r="815" spans="1:40">
      <c r="A815">
        <v>2883</v>
      </c>
      <c r="B815" t="s">
        <v>707</v>
      </c>
      <c r="C815" t="s">
        <v>696</v>
      </c>
      <c r="D815" t="s">
        <v>697</v>
      </c>
      <c r="E815">
        <v>491</v>
      </c>
      <c r="F815">
        <v>1329</v>
      </c>
      <c r="G815">
        <v>185.79562340000001</v>
      </c>
      <c r="H815">
        <v>327</v>
      </c>
      <c r="I815">
        <v>0.29042238599999998</v>
      </c>
      <c r="J815">
        <v>1656</v>
      </c>
      <c r="K815">
        <v>5702.0397869999997</v>
      </c>
      <c r="L815">
        <v>0.82699999999999996</v>
      </c>
      <c r="M815">
        <v>0.39975550100000001</v>
      </c>
      <c r="N815">
        <v>0</v>
      </c>
      <c r="O815" t="s">
        <v>620</v>
      </c>
      <c r="P815">
        <f t="shared" si="110"/>
        <v>12.54116788</v>
      </c>
      <c r="Q815">
        <f t="shared" si="111"/>
        <v>1.7000000000000001E-2</v>
      </c>
      <c r="R815">
        <f t="shared" si="112"/>
        <v>2.4E-2</v>
      </c>
      <c r="S815">
        <f t="shared" si="113"/>
        <v>0.82699999999999996</v>
      </c>
      <c r="T815">
        <f t="shared" si="114"/>
        <v>1.6870000000000001</v>
      </c>
      <c r="U815">
        <f t="shared" si="115"/>
        <v>6.8339352900000003</v>
      </c>
      <c r="V815">
        <f t="shared" si="116"/>
        <v>2.4E-2</v>
      </c>
      <c r="W815">
        <f t="shared" si="117"/>
        <v>9.6000000000000002E-2</v>
      </c>
      <c r="X815">
        <f t="shared" si="118"/>
        <v>0.82499999999999996</v>
      </c>
      <c r="Y815">
        <v>108.7021311</v>
      </c>
      <c r="Z815">
        <v>0</v>
      </c>
      <c r="AA815">
        <v>21149</v>
      </c>
      <c r="AB815">
        <v>6968</v>
      </c>
      <c r="AC815">
        <v>1.6645858999999999E-2</v>
      </c>
      <c r="AD815">
        <v>0.89069218999999999</v>
      </c>
      <c r="AF815">
        <v>12.54116788</v>
      </c>
      <c r="AG815">
        <v>1.7000000000000001E-2</v>
      </c>
      <c r="AH815">
        <v>2.4E-2</v>
      </c>
      <c r="AI815">
        <v>0.82699999999999996</v>
      </c>
      <c r="AJ815">
        <v>1.6870000000000001</v>
      </c>
      <c r="AK815">
        <v>6.8339352900000003</v>
      </c>
      <c r="AL815">
        <v>2.4E-2</v>
      </c>
      <c r="AM815">
        <v>9.6000000000000002E-2</v>
      </c>
      <c r="AN815">
        <v>0.82499999999999996</v>
      </c>
    </row>
    <row r="816" spans="1:40">
      <c r="A816">
        <v>2884</v>
      </c>
      <c r="B816" t="s">
        <v>690</v>
      </c>
      <c r="C816" t="s">
        <v>687</v>
      </c>
      <c r="D816" t="s">
        <v>688</v>
      </c>
      <c r="E816">
        <v>32</v>
      </c>
      <c r="F816">
        <v>247</v>
      </c>
      <c r="G816">
        <v>1106.141623</v>
      </c>
      <c r="H816">
        <v>1268</v>
      </c>
      <c r="I816" s="515">
        <v>1.7290497585145499</v>
      </c>
      <c r="J816">
        <v>1515</v>
      </c>
      <c r="K816">
        <v>876.20381799999996</v>
      </c>
      <c r="L816">
        <v>0.93300000000000005</v>
      </c>
      <c r="M816">
        <v>0.97538461499999995</v>
      </c>
      <c r="N816">
        <v>0</v>
      </c>
      <c r="O816" t="s">
        <v>620</v>
      </c>
      <c r="P816">
        <f t="shared" si="110"/>
        <v>14.95384164</v>
      </c>
      <c r="Q816">
        <f t="shared" si="111"/>
        <v>8.0000000000000002E-3</v>
      </c>
      <c r="R816">
        <f t="shared" si="112"/>
        <v>4.3999999999999997E-2</v>
      </c>
      <c r="S816">
        <f t="shared" si="113"/>
        <v>0.93300000000000005</v>
      </c>
      <c r="T816">
        <f t="shared" si="114"/>
        <v>3.3935294119999999</v>
      </c>
      <c r="U816">
        <f t="shared" si="115"/>
        <v>12.367977529999999</v>
      </c>
      <c r="V816">
        <f t="shared" si="116"/>
        <v>7.6999999999999999E-2</v>
      </c>
      <c r="W816">
        <f t="shared" si="117"/>
        <v>1.6E-2</v>
      </c>
      <c r="X816">
        <f t="shared" si="118"/>
        <v>0.90700000000000003</v>
      </c>
      <c r="Y816">
        <v>43.268950320000002</v>
      </c>
      <c r="Z816">
        <v>0</v>
      </c>
      <c r="AA816">
        <v>82284</v>
      </c>
      <c r="AB816">
        <v>32030</v>
      </c>
      <c r="AC816">
        <v>4.7570397E-2</v>
      </c>
      <c r="AD816">
        <v>0.78974696300000002</v>
      </c>
      <c r="AF816">
        <v>14.95384164</v>
      </c>
      <c r="AG816">
        <v>8.0000000000000002E-3</v>
      </c>
      <c r="AH816">
        <v>4.3999999999999997E-2</v>
      </c>
      <c r="AI816">
        <v>0.93300000000000005</v>
      </c>
      <c r="AJ816">
        <v>3.3935294119999999</v>
      </c>
      <c r="AK816">
        <v>12.367977529999999</v>
      </c>
      <c r="AL816">
        <v>7.6999999999999999E-2</v>
      </c>
      <c r="AM816">
        <v>1.6E-2</v>
      </c>
      <c r="AN816">
        <v>0.90700000000000003</v>
      </c>
    </row>
    <row r="817" spans="1:40">
      <c r="A817">
        <v>2885</v>
      </c>
      <c r="B817" t="s">
        <v>707</v>
      </c>
      <c r="C817" t="s">
        <v>696</v>
      </c>
      <c r="D817" t="s">
        <v>697</v>
      </c>
      <c r="E817">
        <v>162</v>
      </c>
      <c r="F817">
        <v>489</v>
      </c>
      <c r="G817">
        <v>18294.230680000001</v>
      </c>
      <c r="H817">
        <v>239</v>
      </c>
      <c r="I817" s="515">
        <v>28.596298833552598</v>
      </c>
      <c r="J817">
        <v>728</v>
      </c>
      <c r="K817">
        <v>25.45783999</v>
      </c>
      <c r="L817">
        <v>0.98199999999999998</v>
      </c>
      <c r="M817">
        <v>0.59600997499999997</v>
      </c>
      <c r="N817">
        <v>0</v>
      </c>
      <c r="O817" t="s">
        <v>625</v>
      </c>
      <c r="P817">
        <f t="shared" si="110"/>
        <v>19.644421049999998</v>
      </c>
      <c r="Q817">
        <f t="shared" si="111"/>
        <v>8.9999999999999993E-3</v>
      </c>
      <c r="R817">
        <f t="shared" si="112"/>
        <v>8.9999999999999993E-3</v>
      </c>
      <c r="S817">
        <f t="shared" si="113"/>
        <v>0.98199999999999998</v>
      </c>
      <c r="T817">
        <f t="shared" si="114"/>
        <v>1.99</v>
      </c>
      <c r="U817">
        <f t="shared" si="115"/>
        <v>13.673878050000001</v>
      </c>
      <c r="V817">
        <f t="shared" si="116"/>
        <v>0.11835714285714286</v>
      </c>
      <c r="W817">
        <f t="shared" si="117"/>
        <v>2.1000000000000001E-2</v>
      </c>
      <c r="X817">
        <f t="shared" si="118"/>
        <v>0.97899999999999998</v>
      </c>
      <c r="Y817">
        <v>3.9363114910000001</v>
      </c>
      <c r="Z817">
        <v>0</v>
      </c>
      <c r="AA817">
        <v>21149</v>
      </c>
      <c r="AB817">
        <v>6968</v>
      </c>
      <c r="AC817">
        <v>1.6645858999999999E-2</v>
      </c>
      <c r="AD817">
        <v>0.89069218999999999</v>
      </c>
      <c r="AF817">
        <v>19.644421049999998</v>
      </c>
      <c r="AG817">
        <v>8.9999999999999993E-3</v>
      </c>
      <c r="AH817">
        <v>8.9999999999999993E-3</v>
      </c>
      <c r="AI817">
        <v>0.98199999999999998</v>
      </c>
      <c r="AJ817">
        <v>1.99</v>
      </c>
      <c r="AK817">
        <v>13.673878050000001</v>
      </c>
      <c r="AL817">
        <v>0</v>
      </c>
      <c r="AM817">
        <v>2.1000000000000001E-2</v>
      </c>
      <c r="AN817">
        <v>0.97899999999999998</v>
      </c>
    </row>
    <row r="818" spans="1:40">
      <c r="A818">
        <v>2886</v>
      </c>
      <c r="B818" t="s">
        <v>702</v>
      </c>
      <c r="C818" t="s">
        <v>696</v>
      </c>
      <c r="D818" t="s">
        <v>697</v>
      </c>
      <c r="E818">
        <v>18</v>
      </c>
      <c r="F818">
        <v>61</v>
      </c>
      <c r="G818">
        <v>76.695288629999993</v>
      </c>
      <c r="H818">
        <v>1760</v>
      </c>
      <c r="I818">
        <v>0.11988665499999999</v>
      </c>
      <c r="J818">
        <v>1821</v>
      </c>
      <c r="K818">
        <v>15189.346970000001</v>
      </c>
      <c r="L818">
        <v>0.86699999999999999</v>
      </c>
      <c r="M818">
        <v>0.98987626500000003</v>
      </c>
      <c r="N818">
        <v>0</v>
      </c>
      <c r="O818" t="s">
        <v>620</v>
      </c>
      <c r="P818">
        <f t="shared" si="110"/>
        <v>15.40188889</v>
      </c>
      <c r="Q818">
        <f t="shared" si="111"/>
        <v>4.0000000000000001E-3</v>
      </c>
      <c r="R818">
        <f t="shared" si="112"/>
        <v>1.9E-2</v>
      </c>
      <c r="S818">
        <f t="shared" si="113"/>
        <v>0.86699999999999999</v>
      </c>
      <c r="T818">
        <f t="shared" si="114"/>
        <v>2.2122727270000002</v>
      </c>
      <c r="U818">
        <f t="shared" si="115"/>
        <v>9.9116037739999996</v>
      </c>
      <c r="V818">
        <f t="shared" si="116"/>
        <v>0.04</v>
      </c>
      <c r="W818">
        <f t="shared" si="117"/>
        <v>0.01</v>
      </c>
      <c r="X818">
        <f t="shared" si="118"/>
        <v>0.90900000000000003</v>
      </c>
      <c r="Y818">
        <v>42.292758509999999</v>
      </c>
      <c r="Z818">
        <v>0</v>
      </c>
      <c r="AA818">
        <v>90778</v>
      </c>
      <c r="AB818">
        <v>31662</v>
      </c>
      <c r="AC818">
        <v>3.1753482E-2</v>
      </c>
      <c r="AD818">
        <v>0.82960131100000001</v>
      </c>
      <c r="AF818">
        <v>15.40188889</v>
      </c>
      <c r="AG818">
        <v>4.0000000000000001E-3</v>
      </c>
      <c r="AH818">
        <v>1.9E-2</v>
      </c>
      <c r="AI818">
        <v>0.86699999999999999</v>
      </c>
      <c r="AJ818">
        <v>2.2122727270000002</v>
      </c>
      <c r="AK818">
        <v>9.9116037739999996</v>
      </c>
      <c r="AL818">
        <v>0.04</v>
      </c>
      <c r="AM818">
        <v>0.01</v>
      </c>
      <c r="AN818">
        <v>0.90900000000000003</v>
      </c>
    </row>
    <row r="819" spans="1:40">
      <c r="A819">
        <v>2887</v>
      </c>
      <c r="B819" t="s">
        <v>707</v>
      </c>
      <c r="C819" t="s">
        <v>696</v>
      </c>
      <c r="D819" t="s">
        <v>697</v>
      </c>
      <c r="E819">
        <v>83</v>
      </c>
      <c r="F819">
        <v>289</v>
      </c>
      <c r="G819">
        <v>7331.4142659999998</v>
      </c>
      <c r="H819">
        <v>35</v>
      </c>
      <c r="I819" s="515">
        <v>11.459730765216101</v>
      </c>
      <c r="J819">
        <v>324</v>
      </c>
      <c r="K819">
        <v>28.27291554</v>
      </c>
      <c r="L819">
        <v>0.97899999999999998</v>
      </c>
      <c r="M819">
        <v>0.29661016899999998</v>
      </c>
      <c r="N819">
        <v>0</v>
      </c>
      <c r="O819" t="s">
        <v>625</v>
      </c>
      <c r="P819">
        <f t="shared" si="110"/>
        <v>19.95571429</v>
      </c>
      <c r="Q819">
        <f t="shared" si="111"/>
        <v>2.1000000000000001E-2</v>
      </c>
      <c r="R819">
        <f t="shared" si="112"/>
        <v>7.2846153846153852E-2</v>
      </c>
      <c r="S819">
        <f t="shared" si="113"/>
        <v>0.97899999999999998</v>
      </c>
      <c r="T819">
        <f t="shared" si="114"/>
        <v>2.2191326312692303</v>
      </c>
      <c r="U819">
        <f t="shared" si="115"/>
        <v>15.65178571</v>
      </c>
      <c r="V819">
        <f t="shared" si="116"/>
        <v>0.11835714285714286</v>
      </c>
      <c r="W819">
        <f t="shared" si="117"/>
        <v>8.6999999999999994E-2</v>
      </c>
      <c r="X819">
        <f t="shared" si="118"/>
        <v>0.91300000000000003</v>
      </c>
      <c r="Y819">
        <v>4.929172296</v>
      </c>
      <c r="Z819">
        <v>0</v>
      </c>
      <c r="AA819">
        <v>21149</v>
      </c>
      <c r="AB819">
        <v>6968</v>
      </c>
      <c r="AC819">
        <v>1.6645858999999999E-2</v>
      </c>
      <c r="AD819">
        <v>0.89069218999999999</v>
      </c>
      <c r="AF819">
        <v>19.95571429</v>
      </c>
      <c r="AG819">
        <v>2.1000000000000001E-2</v>
      </c>
      <c r="AH819">
        <v>0</v>
      </c>
      <c r="AI819">
        <v>0.97899999999999998</v>
      </c>
      <c r="AK819">
        <v>15.65178571</v>
      </c>
      <c r="AL819">
        <v>0</v>
      </c>
      <c r="AM819">
        <v>8.6999999999999994E-2</v>
      </c>
      <c r="AN819">
        <v>0.91300000000000003</v>
      </c>
    </row>
    <row r="820" spans="1:40">
      <c r="A820">
        <v>2888</v>
      </c>
      <c r="B820" t="s">
        <v>689</v>
      </c>
      <c r="C820" t="s">
        <v>687</v>
      </c>
      <c r="D820" t="s">
        <v>688</v>
      </c>
      <c r="E820">
        <v>176</v>
      </c>
      <c r="F820">
        <v>360</v>
      </c>
      <c r="G820">
        <v>35.889523859999997</v>
      </c>
      <c r="H820">
        <v>57</v>
      </c>
      <c r="I820">
        <v>5.6096695000000002E-2</v>
      </c>
      <c r="J820">
        <v>417</v>
      </c>
      <c r="K820">
        <v>7433.5930129999997</v>
      </c>
      <c r="L820">
        <v>0.73799999999999999</v>
      </c>
      <c r="M820">
        <v>0.244635193</v>
      </c>
      <c r="N820">
        <v>0</v>
      </c>
      <c r="O820" t="s">
        <v>613</v>
      </c>
      <c r="P820">
        <f t="shared" si="110"/>
        <v>13.681153849999999</v>
      </c>
      <c r="Q820">
        <f t="shared" si="111"/>
        <v>0.06</v>
      </c>
      <c r="R820">
        <f t="shared" si="112"/>
        <v>7.2999999999999995E-2</v>
      </c>
      <c r="S820">
        <f t="shared" si="113"/>
        <v>0.73799999999999999</v>
      </c>
      <c r="T820">
        <f t="shared" si="114"/>
        <v>1.9377272729999999</v>
      </c>
      <c r="U820">
        <f t="shared" si="115"/>
        <v>6.0752054790000001</v>
      </c>
      <c r="V820">
        <f t="shared" si="116"/>
        <v>0.185</v>
      </c>
      <c r="W820">
        <f t="shared" si="117"/>
        <v>0.222</v>
      </c>
      <c r="X820">
        <f t="shared" si="118"/>
        <v>0.48099999999999998</v>
      </c>
      <c r="Y820">
        <v>208.37651339999999</v>
      </c>
      <c r="Z820">
        <v>0</v>
      </c>
      <c r="AA820">
        <v>454184</v>
      </c>
      <c r="AB820">
        <v>170596</v>
      </c>
      <c r="AC820">
        <v>6.5715274000000004E-2</v>
      </c>
      <c r="AD820">
        <v>0.72549415100000003</v>
      </c>
      <c r="AF820">
        <v>13.681153849999999</v>
      </c>
      <c r="AG820">
        <v>0.06</v>
      </c>
      <c r="AH820">
        <v>7.2999999999999995E-2</v>
      </c>
      <c r="AI820">
        <v>0.73799999999999999</v>
      </c>
      <c r="AJ820">
        <v>1.9377272729999999</v>
      </c>
      <c r="AK820">
        <v>6.0752054790000001</v>
      </c>
      <c r="AL820">
        <v>0.185</v>
      </c>
      <c r="AM820">
        <v>0.222</v>
      </c>
      <c r="AN820">
        <v>0.48099999999999998</v>
      </c>
    </row>
    <row r="821" spans="1:40">
      <c r="A821">
        <v>2889</v>
      </c>
      <c r="B821" t="s">
        <v>689</v>
      </c>
      <c r="C821" t="s">
        <v>687</v>
      </c>
      <c r="D821" t="s">
        <v>688</v>
      </c>
      <c r="E821">
        <v>467</v>
      </c>
      <c r="F821">
        <v>1310</v>
      </c>
      <c r="G821">
        <v>88.930786560000001</v>
      </c>
      <c r="H821">
        <v>875</v>
      </c>
      <c r="I821">
        <v>0.139015419</v>
      </c>
      <c r="J821">
        <v>2185</v>
      </c>
      <c r="K821">
        <v>15717.68093</v>
      </c>
      <c r="L821">
        <v>0.82699999999999996</v>
      </c>
      <c r="M821">
        <v>0.65201192299999999</v>
      </c>
      <c r="N821">
        <v>0</v>
      </c>
      <c r="O821" t="s">
        <v>613</v>
      </c>
      <c r="P821">
        <f t="shared" si="110"/>
        <v>9.7608823529999995</v>
      </c>
      <c r="Q821">
        <f t="shared" si="111"/>
        <v>3.4000000000000002E-2</v>
      </c>
      <c r="R821">
        <f t="shared" si="112"/>
        <v>2.1999999999999999E-2</v>
      </c>
      <c r="S821">
        <f t="shared" si="113"/>
        <v>0.82699999999999996</v>
      </c>
      <c r="T821">
        <f t="shared" si="114"/>
        <v>2.270714286</v>
      </c>
      <c r="U821">
        <f t="shared" si="115"/>
        <v>6.2161604580000001</v>
      </c>
      <c r="V821">
        <f t="shared" si="116"/>
        <v>3.7999999999999999E-2</v>
      </c>
      <c r="W821">
        <f t="shared" si="117"/>
        <v>0.105</v>
      </c>
      <c r="X821">
        <f t="shared" si="118"/>
        <v>0.81299999999999994</v>
      </c>
      <c r="Y821">
        <v>121.76075849999999</v>
      </c>
      <c r="Z821">
        <v>0</v>
      </c>
      <c r="AA821">
        <v>454184</v>
      </c>
      <c r="AB821">
        <v>170596</v>
      </c>
      <c r="AC821">
        <v>6.5715274000000004E-2</v>
      </c>
      <c r="AD821">
        <v>0.72549415100000003</v>
      </c>
      <c r="AF821">
        <v>9.7608823529999995</v>
      </c>
      <c r="AG821">
        <v>3.4000000000000002E-2</v>
      </c>
      <c r="AH821">
        <v>2.1999999999999999E-2</v>
      </c>
      <c r="AI821">
        <v>0.82699999999999996</v>
      </c>
      <c r="AJ821">
        <v>2.270714286</v>
      </c>
      <c r="AK821">
        <v>6.2161604580000001</v>
      </c>
      <c r="AL821">
        <v>3.7999999999999999E-2</v>
      </c>
      <c r="AM821">
        <v>0.105</v>
      </c>
      <c r="AN821">
        <v>0.81299999999999994</v>
      </c>
    </row>
    <row r="822" spans="1:40">
      <c r="A822">
        <v>2890</v>
      </c>
      <c r="B822" t="s">
        <v>698</v>
      </c>
      <c r="C822" t="s">
        <v>693</v>
      </c>
      <c r="D822" t="s">
        <v>694</v>
      </c>
      <c r="E822">
        <v>474</v>
      </c>
      <c r="F822">
        <v>1436</v>
      </c>
      <c r="G822">
        <v>243.30103080000001</v>
      </c>
      <c r="H822">
        <v>5</v>
      </c>
      <c r="I822">
        <v>0.38030460399999999</v>
      </c>
      <c r="J822">
        <v>1441</v>
      </c>
      <c r="K822">
        <v>3789.067986</v>
      </c>
      <c r="L822">
        <v>0.83899999999999997</v>
      </c>
      <c r="M822">
        <v>1.0438413000000001E-2</v>
      </c>
      <c r="N822">
        <v>0</v>
      </c>
      <c r="O822" t="s">
        <v>625</v>
      </c>
      <c r="P822">
        <f t="shared" si="110"/>
        <v>15.8307377</v>
      </c>
      <c r="Q822">
        <f t="shared" si="111"/>
        <v>1.2E-2</v>
      </c>
      <c r="R822">
        <f t="shared" si="112"/>
        <v>1.4999999999999999E-2</v>
      </c>
      <c r="S822">
        <f t="shared" si="113"/>
        <v>0.83899999999999997</v>
      </c>
      <c r="T822">
        <f t="shared" si="114"/>
        <v>2.6059999999999999</v>
      </c>
      <c r="U822">
        <f t="shared" si="115"/>
        <v>7.850405157</v>
      </c>
      <c r="V822">
        <f t="shared" si="116"/>
        <v>4.3999999999999997E-2</v>
      </c>
      <c r="W822">
        <f t="shared" si="117"/>
        <v>5.8999999999999997E-2</v>
      </c>
      <c r="X822">
        <f t="shared" si="118"/>
        <v>0.89700000000000002</v>
      </c>
      <c r="Y822">
        <v>63.626849300000003</v>
      </c>
      <c r="Z822">
        <v>0</v>
      </c>
      <c r="AA822">
        <v>88250</v>
      </c>
      <c r="AB822">
        <v>31723</v>
      </c>
      <c r="AC822">
        <v>1.0795895999999999E-2</v>
      </c>
      <c r="AD822">
        <v>0.817760245</v>
      </c>
      <c r="AF822">
        <v>15.8307377</v>
      </c>
      <c r="AG822">
        <v>1.2E-2</v>
      </c>
      <c r="AH822">
        <v>1.4999999999999999E-2</v>
      </c>
      <c r="AI822">
        <v>0.83899999999999997</v>
      </c>
      <c r="AJ822">
        <v>2.6059999999999999</v>
      </c>
      <c r="AK822">
        <v>7.850405157</v>
      </c>
      <c r="AL822">
        <v>4.3999999999999997E-2</v>
      </c>
      <c r="AM822">
        <v>5.8999999999999997E-2</v>
      </c>
      <c r="AN822">
        <v>0.89700000000000002</v>
      </c>
    </row>
    <row r="823" spans="1:40">
      <c r="A823">
        <v>2891</v>
      </c>
      <c r="B823" t="s">
        <v>698</v>
      </c>
      <c r="C823" t="s">
        <v>693</v>
      </c>
      <c r="D823" t="s">
        <v>694</v>
      </c>
      <c r="E823">
        <v>281</v>
      </c>
      <c r="F823">
        <v>998</v>
      </c>
      <c r="G823">
        <v>102.33526929999999</v>
      </c>
      <c r="H823">
        <v>347</v>
      </c>
      <c r="I823">
        <v>0.15997214300000001</v>
      </c>
      <c r="J823">
        <v>1345</v>
      </c>
      <c r="K823">
        <v>8407.7138360000008</v>
      </c>
      <c r="L823">
        <v>0.77700000000000002</v>
      </c>
      <c r="M823">
        <v>0.55254777099999997</v>
      </c>
      <c r="N823">
        <v>0</v>
      </c>
      <c r="O823" t="s">
        <v>620</v>
      </c>
      <c r="P823">
        <f t="shared" si="110"/>
        <v>14.05404255</v>
      </c>
      <c r="Q823">
        <f t="shared" si="111"/>
        <v>0.01</v>
      </c>
      <c r="R823">
        <f t="shared" si="112"/>
        <v>3.4000000000000002E-2</v>
      </c>
      <c r="S823">
        <f t="shared" si="113"/>
        <v>0.77700000000000002</v>
      </c>
      <c r="T823">
        <f t="shared" si="114"/>
        <v>1.73</v>
      </c>
      <c r="U823">
        <f t="shared" si="115"/>
        <v>7.2522373809999996</v>
      </c>
      <c r="V823">
        <f t="shared" si="116"/>
        <v>4.5999999999999999E-2</v>
      </c>
      <c r="W823">
        <f t="shared" si="117"/>
        <v>5.5E-2</v>
      </c>
      <c r="X823">
        <f t="shared" si="118"/>
        <v>0.86199999999999999</v>
      </c>
      <c r="Y823">
        <v>160.5770363</v>
      </c>
      <c r="Z823">
        <v>0</v>
      </c>
      <c r="AA823">
        <v>88250</v>
      </c>
      <c r="AB823">
        <v>31723</v>
      </c>
      <c r="AC823">
        <v>1.0795895999999999E-2</v>
      </c>
      <c r="AD823">
        <v>0.817760245</v>
      </c>
      <c r="AF823">
        <v>14.05404255</v>
      </c>
      <c r="AG823">
        <v>0.01</v>
      </c>
      <c r="AH823">
        <v>3.4000000000000002E-2</v>
      </c>
      <c r="AI823">
        <v>0.77700000000000002</v>
      </c>
      <c r="AJ823">
        <v>1.73</v>
      </c>
      <c r="AK823">
        <v>7.2522373809999996</v>
      </c>
      <c r="AL823">
        <v>4.5999999999999999E-2</v>
      </c>
      <c r="AM823">
        <v>5.5E-2</v>
      </c>
      <c r="AN823">
        <v>0.86199999999999999</v>
      </c>
    </row>
    <row r="824" spans="1:40">
      <c r="A824">
        <v>2892</v>
      </c>
      <c r="B824" t="s">
        <v>689</v>
      </c>
      <c r="C824" t="s">
        <v>687</v>
      </c>
      <c r="D824" t="s">
        <v>688</v>
      </c>
      <c r="E824">
        <v>391</v>
      </c>
      <c r="F824">
        <v>1347</v>
      </c>
      <c r="G824">
        <v>44.840804329999997</v>
      </c>
      <c r="H824">
        <v>153</v>
      </c>
      <c r="I824">
        <v>7.0091116999999994E-2</v>
      </c>
      <c r="J824">
        <v>1500</v>
      </c>
      <c r="K824">
        <v>21400.71473</v>
      </c>
      <c r="L824">
        <v>0.80600000000000005</v>
      </c>
      <c r="M824">
        <v>0.28125</v>
      </c>
      <c r="N824">
        <v>0</v>
      </c>
      <c r="O824" t="s">
        <v>613</v>
      </c>
      <c r="P824">
        <f t="shared" si="110"/>
        <v>13.762021280000001</v>
      </c>
      <c r="Q824">
        <f t="shared" si="111"/>
        <v>4.9000000000000002E-2</v>
      </c>
      <c r="R824">
        <f t="shared" si="112"/>
        <v>1.7000000000000001E-2</v>
      </c>
      <c r="S824">
        <f t="shared" si="113"/>
        <v>0.80600000000000005</v>
      </c>
      <c r="T824">
        <f t="shared" si="114"/>
        <v>2.09375</v>
      </c>
      <c r="U824">
        <f t="shared" si="115"/>
        <v>6.3796039599999999</v>
      </c>
      <c r="V824">
        <f t="shared" si="116"/>
        <v>6.6000000000000003E-2</v>
      </c>
      <c r="W824">
        <f t="shared" si="117"/>
        <v>0.14799999999999999</v>
      </c>
      <c r="X824">
        <f t="shared" si="118"/>
        <v>0.77</v>
      </c>
      <c r="Y824">
        <v>90.838790709999998</v>
      </c>
      <c r="Z824">
        <v>0</v>
      </c>
      <c r="AA824">
        <v>454184</v>
      </c>
      <c r="AB824">
        <v>170596</v>
      </c>
      <c r="AC824">
        <v>6.5715274000000004E-2</v>
      </c>
      <c r="AD824">
        <v>0.72549415100000003</v>
      </c>
      <c r="AF824">
        <v>13.762021280000001</v>
      </c>
      <c r="AG824">
        <v>4.9000000000000002E-2</v>
      </c>
      <c r="AH824">
        <v>1.7000000000000001E-2</v>
      </c>
      <c r="AI824">
        <v>0.80600000000000005</v>
      </c>
      <c r="AJ824">
        <v>2.09375</v>
      </c>
      <c r="AK824">
        <v>6.3796039599999999</v>
      </c>
      <c r="AL824">
        <v>6.6000000000000003E-2</v>
      </c>
      <c r="AM824">
        <v>0.14799999999999999</v>
      </c>
      <c r="AN824">
        <v>0.77</v>
      </c>
    </row>
    <row r="825" spans="1:40">
      <c r="A825">
        <v>2893</v>
      </c>
      <c r="B825" t="s">
        <v>692</v>
      </c>
      <c r="C825" t="s">
        <v>693</v>
      </c>
      <c r="D825" t="s">
        <v>694</v>
      </c>
      <c r="E825">
        <v>394</v>
      </c>
      <c r="F825">
        <v>527</v>
      </c>
      <c r="G825">
        <v>219.7982523</v>
      </c>
      <c r="H825">
        <v>9224</v>
      </c>
      <c r="I825">
        <v>0.343553846</v>
      </c>
      <c r="J825">
        <v>9751</v>
      </c>
      <c r="K825">
        <v>28382.74149</v>
      </c>
      <c r="L825">
        <v>0.81799999999999995</v>
      </c>
      <c r="M825">
        <v>0.95903514199999995</v>
      </c>
      <c r="N825">
        <v>1</v>
      </c>
      <c r="O825" t="s">
        <v>613</v>
      </c>
      <c r="P825">
        <f t="shared" si="110"/>
        <v>16.880323090000001</v>
      </c>
      <c r="Q825">
        <f t="shared" si="111"/>
        <v>1.2999999999999999E-2</v>
      </c>
      <c r="R825">
        <f t="shared" si="112"/>
        <v>1.2999999999999999E-2</v>
      </c>
      <c r="S825">
        <f t="shared" si="113"/>
        <v>0.81799999999999995</v>
      </c>
      <c r="T825">
        <f t="shared" si="114"/>
        <v>2.3074301679999998</v>
      </c>
      <c r="U825">
        <f t="shared" si="115"/>
        <v>8.8461852269999994</v>
      </c>
      <c r="V825">
        <f t="shared" si="116"/>
        <v>0.03</v>
      </c>
      <c r="W825">
        <f t="shared" si="117"/>
        <v>6.9000000000000006E-2</v>
      </c>
      <c r="X825">
        <f t="shared" si="118"/>
        <v>0.879</v>
      </c>
      <c r="Y825">
        <v>85.42946053</v>
      </c>
      <c r="Z825">
        <v>0</v>
      </c>
      <c r="AA825">
        <v>77808</v>
      </c>
      <c r="AB825">
        <v>27489</v>
      </c>
      <c r="AC825">
        <v>1.1225541E-2</v>
      </c>
      <c r="AD825">
        <v>0.835708267</v>
      </c>
      <c r="AF825">
        <v>16.880323090000001</v>
      </c>
      <c r="AG825">
        <v>1.2999999999999999E-2</v>
      </c>
      <c r="AH825">
        <v>1.2999999999999999E-2</v>
      </c>
      <c r="AI825">
        <v>0.81799999999999995</v>
      </c>
      <c r="AJ825">
        <v>2.3074301679999998</v>
      </c>
      <c r="AK825">
        <v>8.8461852269999994</v>
      </c>
      <c r="AL825">
        <v>0.03</v>
      </c>
      <c r="AM825">
        <v>6.9000000000000006E-2</v>
      </c>
      <c r="AN825">
        <v>0.879</v>
      </c>
    </row>
    <row r="826" spans="1:40">
      <c r="A826">
        <v>2894</v>
      </c>
      <c r="B826" t="s">
        <v>707</v>
      </c>
      <c r="C826" t="s">
        <v>696</v>
      </c>
      <c r="D826" t="s">
        <v>697</v>
      </c>
      <c r="E826">
        <v>257</v>
      </c>
      <c r="F826">
        <v>747</v>
      </c>
      <c r="G826">
        <v>62.419753409999998</v>
      </c>
      <c r="H826">
        <v>74</v>
      </c>
      <c r="I826">
        <v>9.7566557999999998E-2</v>
      </c>
      <c r="J826">
        <v>821</v>
      </c>
      <c r="K826">
        <v>8414.7685110000002</v>
      </c>
      <c r="L826">
        <v>0.84799999999999998</v>
      </c>
      <c r="M826">
        <v>0.22356495500000001</v>
      </c>
      <c r="N826">
        <v>0</v>
      </c>
      <c r="O826" t="s">
        <v>620</v>
      </c>
      <c r="P826">
        <f t="shared" si="110"/>
        <v>14.792658230000001</v>
      </c>
      <c r="Q826">
        <f t="shared" si="111"/>
        <v>8.9999999999999993E-3</v>
      </c>
      <c r="R826">
        <f t="shared" si="112"/>
        <v>2.5999999999999999E-2</v>
      </c>
      <c r="S826">
        <f t="shared" si="113"/>
        <v>0.84799999999999998</v>
      </c>
      <c r="T826">
        <f t="shared" si="114"/>
        <v>1.895</v>
      </c>
      <c r="U826">
        <f t="shared" si="115"/>
        <v>7.9649863009999997</v>
      </c>
      <c r="V826">
        <f t="shared" si="116"/>
        <v>2.3E-2</v>
      </c>
      <c r="W826">
        <f t="shared" si="117"/>
        <v>4.7E-2</v>
      </c>
      <c r="X826">
        <f t="shared" si="118"/>
        <v>0.91900000000000004</v>
      </c>
      <c r="Y826">
        <v>78.650148900000005</v>
      </c>
      <c r="Z826">
        <v>0</v>
      </c>
      <c r="AA826">
        <v>21149</v>
      </c>
      <c r="AB826">
        <v>6968</v>
      </c>
      <c r="AC826">
        <v>1.6645858999999999E-2</v>
      </c>
      <c r="AD826">
        <v>0.89069218999999999</v>
      </c>
      <c r="AF826">
        <v>14.792658230000001</v>
      </c>
      <c r="AG826">
        <v>8.9999999999999993E-3</v>
      </c>
      <c r="AH826">
        <v>2.5999999999999999E-2</v>
      </c>
      <c r="AI826">
        <v>0.84799999999999998</v>
      </c>
      <c r="AJ826">
        <v>1.895</v>
      </c>
      <c r="AK826">
        <v>7.9649863009999997</v>
      </c>
      <c r="AL826">
        <v>2.3E-2</v>
      </c>
      <c r="AM826">
        <v>4.7E-2</v>
      </c>
      <c r="AN826">
        <v>0.91900000000000004</v>
      </c>
    </row>
    <row r="827" spans="1:40">
      <c r="A827">
        <v>2895</v>
      </c>
      <c r="B827" t="s">
        <v>705</v>
      </c>
      <c r="C827" t="s">
        <v>696</v>
      </c>
      <c r="D827" t="s">
        <v>697</v>
      </c>
      <c r="E827">
        <v>0</v>
      </c>
      <c r="F827">
        <v>0</v>
      </c>
      <c r="G827">
        <v>6965.6341689999999</v>
      </c>
      <c r="H827">
        <v>0</v>
      </c>
      <c r="I827" s="515">
        <v>10.887898203243401</v>
      </c>
      <c r="J827">
        <v>0</v>
      </c>
      <c r="K827">
        <v>0</v>
      </c>
      <c r="L827"/>
      <c r="M827">
        <v>0</v>
      </c>
      <c r="N827">
        <v>0</v>
      </c>
      <c r="O827" t="s">
        <v>625</v>
      </c>
      <c r="P827">
        <f t="shared" si="110"/>
        <v>12.968881462528557</v>
      </c>
      <c r="Q827">
        <f t="shared" si="111"/>
        <v>2.4977443609022529E-2</v>
      </c>
      <c r="R827">
        <f t="shared" si="112"/>
        <v>2.1978417266187024E-2</v>
      </c>
      <c r="S827">
        <f t="shared" si="113"/>
        <v>0.83670422535211275</v>
      </c>
      <c r="T827">
        <f t="shared" si="114"/>
        <v>2.2261777137338119</v>
      </c>
      <c r="U827">
        <f t="shared" si="115"/>
        <v>7.4220575318662005</v>
      </c>
      <c r="V827">
        <f t="shared" si="116"/>
        <v>3.8837398373983721E-2</v>
      </c>
      <c r="W827">
        <f t="shared" si="117"/>
        <v>8.6720930232558141E-2</v>
      </c>
      <c r="X827">
        <f t="shared" si="118"/>
        <v>0.85892142857142817</v>
      </c>
      <c r="Y827">
        <v>12.88725816</v>
      </c>
      <c r="Z827">
        <v>0</v>
      </c>
      <c r="AA827">
        <v>152832</v>
      </c>
      <c r="AB827">
        <v>45686</v>
      </c>
      <c r="AC827">
        <v>2.1596295000000001E-2</v>
      </c>
      <c r="AD827">
        <v>0.84212384500000004</v>
      </c>
    </row>
    <row r="828" spans="1:40">
      <c r="A828">
        <v>2896</v>
      </c>
      <c r="B828" t="s">
        <v>705</v>
      </c>
      <c r="C828" t="s">
        <v>696</v>
      </c>
      <c r="D828" t="s">
        <v>697</v>
      </c>
      <c r="E828">
        <v>232</v>
      </c>
      <c r="F828">
        <v>826</v>
      </c>
      <c r="G828">
        <v>86.451250299999998</v>
      </c>
      <c r="H828">
        <v>647</v>
      </c>
      <c r="I828">
        <v>0.13513388700000001</v>
      </c>
      <c r="J828">
        <v>1473</v>
      </c>
      <c r="K828">
        <v>10900.30068</v>
      </c>
      <c r="L828">
        <v>0.85099999999999998</v>
      </c>
      <c r="M828">
        <v>0.73606370899999995</v>
      </c>
      <c r="N828">
        <v>0</v>
      </c>
      <c r="O828" t="s">
        <v>620</v>
      </c>
      <c r="P828">
        <f t="shared" si="110"/>
        <v>11.61159236</v>
      </c>
      <c r="Q828">
        <f t="shared" si="111"/>
        <v>1.4999999999999999E-2</v>
      </c>
      <c r="R828">
        <f t="shared" si="112"/>
        <v>0.01</v>
      </c>
      <c r="S828">
        <f t="shared" si="113"/>
        <v>0.85099999999999998</v>
      </c>
      <c r="T828">
        <f t="shared" si="114"/>
        <v>2.254</v>
      </c>
      <c r="U828">
        <f t="shared" si="115"/>
        <v>7.5855528550000004</v>
      </c>
      <c r="V828">
        <f t="shared" si="116"/>
        <v>1.7999999999999999E-2</v>
      </c>
      <c r="W828">
        <f t="shared" si="117"/>
        <v>4.2000000000000003E-2</v>
      </c>
      <c r="X828">
        <f t="shared" si="118"/>
        <v>0.94</v>
      </c>
      <c r="Y828">
        <v>70.152531210000006</v>
      </c>
      <c r="Z828">
        <v>0</v>
      </c>
      <c r="AA828">
        <v>152832</v>
      </c>
      <c r="AB828">
        <v>45686</v>
      </c>
      <c r="AC828">
        <v>2.1596295000000001E-2</v>
      </c>
      <c r="AD828">
        <v>0.84212384500000004</v>
      </c>
      <c r="AF828">
        <v>11.61159236</v>
      </c>
      <c r="AG828">
        <v>1.4999999999999999E-2</v>
      </c>
      <c r="AH828">
        <v>0.01</v>
      </c>
      <c r="AI828">
        <v>0.85099999999999998</v>
      </c>
      <c r="AJ828">
        <v>2.254</v>
      </c>
      <c r="AK828">
        <v>7.5855528550000004</v>
      </c>
      <c r="AL828">
        <v>1.7999999999999999E-2</v>
      </c>
      <c r="AM828">
        <v>4.2000000000000003E-2</v>
      </c>
      <c r="AN828">
        <v>0.94</v>
      </c>
    </row>
    <row r="829" spans="1:40">
      <c r="A829">
        <v>2897</v>
      </c>
      <c r="B829" t="s">
        <v>689</v>
      </c>
      <c r="C829" t="s">
        <v>687</v>
      </c>
      <c r="D829" t="s">
        <v>688</v>
      </c>
      <c r="E829">
        <v>188</v>
      </c>
      <c r="F829">
        <v>480</v>
      </c>
      <c r="G829">
        <v>20.860396519999998</v>
      </c>
      <c r="H829">
        <v>32</v>
      </c>
      <c r="I829">
        <v>3.2606218999999999E-2</v>
      </c>
      <c r="J829">
        <v>512</v>
      </c>
      <c r="K829">
        <v>15702.525949999999</v>
      </c>
      <c r="L829">
        <v>0.72199999999999998</v>
      </c>
      <c r="M829">
        <v>0.14545454499999999</v>
      </c>
      <c r="N829">
        <v>0</v>
      </c>
      <c r="O829" t="s">
        <v>613</v>
      </c>
      <c r="P829">
        <f t="shared" si="110"/>
        <v>8.4190909089999995</v>
      </c>
      <c r="Q829">
        <f t="shared" si="111"/>
        <v>3.5000000000000003E-2</v>
      </c>
      <c r="R829">
        <f t="shared" si="112"/>
        <v>6.3E-2</v>
      </c>
      <c r="S829">
        <f t="shared" si="113"/>
        <v>0.72199999999999998</v>
      </c>
      <c r="T829">
        <f t="shared" si="114"/>
        <v>2.3765000000000001</v>
      </c>
      <c r="U829">
        <f t="shared" si="115"/>
        <v>5.588071749</v>
      </c>
      <c r="V829">
        <f t="shared" si="116"/>
        <v>0.14299999999999999</v>
      </c>
      <c r="W829">
        <f t="shared" si="117"/>
        <v>0.114</v>
      </c>
      <c r="X829">
        <f t="shared" si="118"/>
        <v>0.629</v>
      </c>
      <c r="Y829">
        <v>193.4678916</v>
      </c>
      <c r="Z829">
        <v>0</v>
      </c>
      <c r="AA829">
        <v>454184</v>
      </c>
      <c r="AB829">
        <v>170596</v>
      </c>
      <c r="AC829">
        <v>6.5715274000000004E-2</v>
      </c>
      <c r="AD829">
        <v>0.72549415100000003</v>
      </c>
      <c r="AF829">
        <v>8.4190909089999995</v>
      </c>
      <c r="AG829">
        <v>3.5000000000000003E-2</v>
      </c>
      <c r="AH829">
        <v>6.3E-2</v>
      </c>
      <c r="AI829">
        <v>0.72199999999999998</v>
      </c>
      <c r="AJ829">
        <v>2.3765000000000001</v>
      </c>
      <c r="AK829">
        <v>5.588071749</v>
      </c>
      <c r="AL829">
        <v>0.14299999999999999</v>
      </c>
      <c r="AM829">
        <v>0.114</v>
      </c>
      <c r="AN829">
        <v>0.629</v>
      </c>
    </row>
    <row r="830" spans="1:40">
      <c r="A830">
        <v>2898</v>
      </c>
      <c r="B830" t="s">
        <v>690</v>
      </c>
      <c r="C830" t="s">
        <v>687</v>
      </c>
      <c r="D830" t="s">
        <v>688</v>
      </c>
      <c r="E830">
        <v>400</v>
      </c>
      <c r="F830">
        <v>907</v>
      </c>
      <c r="G830">
        <v>153.72431560000001</v>
      </c>
      <c r="H830">
        <v>2703</v>
      </c>
      <c r="I830">
        <v>0.240296867</v>
      </c>
      <c r="J830">
        <v>3610</v>
      </c>
      <c r="K830">
        <v>15023.083930000001</v>
      </c>
      <c r="L830">
        <v>0.83599999999999997</v>
      </c>
      <c r="M830">
        <v>0.87109249099999997</v>
      </c>
      <c r="N830">
        <v>0</v>
      </c>
      <c r="O830" t="s">
        <v>613</v>
      </c>
      <c r="P830">
        <f t="shared" si="110"/>
        <v>14.80040685</v>
      </c>
      <c r="Q830">
        <f t="shared" si="111"/>
        <v>4.1000000000000002E-2</v>
      </c>
      <c r="R830">
        <f t="shared" si="112"/>
        <v>2.3E-2</v>
      </c>
      <c r="S830">
        <f t="shared" si="113"/>
        <v>0.83599999999999997</v>
      </c>
      <c r="T830">
        <f t="shared" si="114"/>
        <v>2.3313999999999999</v>
      </c>
      <c r="U830">
        <f t="shared" si="115"/>
        <v>8.9245313369999995</v>
      </c>
      <c r="V830">
        <f t="shared" si="116"/>
        <v>3.9E-2</v>
      </c>
      <c r="W830">
        <f t="shared" si="117"/>
        <v>8.6999999999999994E-2</v>
      </c>
      <c r="X830">
        <f t="shared" si="118"/>
        <v>0.82799999999999996</v>
      </c>
      <c r="Y830">
        <v>340.55407250000002</v>
      </c>
      <c r="Z830">
        <v>0</v>
      </c>
      <c r="AA830">
        <v>82284</v>
      </c>
      <c r="AB830">
        <v>32030</v>
      </c>
      <c r="AC830">
        <v>4.7570397E-2</v>
      </c>
      <c r="AD830">
        <v>0.78974696300000002</v>
      </c>
      <c r="AF830">
        <v>14.80040685</v>
      </c>
      <c r="AG830">
        <v>4.1000000000000002E-2</v>
      </c>
      <c r="AH830">
        <v>2.3E-2</v>
      </c>
      <c r="AI830">
        <v>0.83599999999999997</v>
      </c>
      <c r="AJ830">
        <v>2.3313999999999999</v>
      </c>
      <c r="AK830">
        <v>8.9245313369999995</v>
      </c>
      <c r="AL830">
        <v>3.9E-2</v>
      </c>
      <c r="AM830">
        <v>8.6999999999999994E-2</v>
      </c>
      <c r="AN830">
        <v>0.82799999999999996</v>
      </c>
    </row>
    <row r="831" spans="1:40">
      <c r="A831">
        <v>2899</v>
      </c>
      <c r="B831" t="s">
        <v>689</v>
      </c>
      <c r="C831" t="s">
        <v>687</v>
      </c>
      <c r="D831" t="s">
        <v>688</v>
      </c>
      <c r="E831">
        <v>506</v>
      </c>
      <c r="F831">
        <v>1463</v>
      </c>
      <c r="G831">
        <v>56.225472600000003</v>
      </c>
      <c r="H831">
        <v>572</v>
      </c>
      <c r="I831">
        <v>8.7882769999999999E-2</v>
      </c>
      <c r="J831">
        <v>2035</v>
      </c>
      <c r="K831">
        <v>23155.847269999998</v>
      </c>
      <c r="L831">
        <v>0.71399999999999997</v>
      </c>
      <c r="M831">
        <v>0.53061224500000004</v>
      </c>
      <c r="N831">
        <v>0</v>
      </c>
      <c r="O831" t="s">
        <v>606</v>
      </c>
      <c r="P831">
        <f t="shared" si="110"/>
        <v>10.356052630000001</v>
      </c>
      <c r="Q831">
        <f t="shared" si="111"/>
        <v>4.8000000000000001E-2</v>
      </c>
      <c r="R831">
        <f t="shared" si="112"/>
        <v>2.5000000000000001E-2</v>
      </c>
      <c r="S831">
        <f t="shared" si="113"/>
        <v>0.71399999999999997</v>
      </c>
      <c r="T831">
        <f t="shared" si="114"/>
        <v>2.026486486</v>
      </c>
      <c r="U831">
        <f t="shared" si="115"/>
        <v>6.346764995</v>
      </c>
      <c r="V831">
        <f t="shared" si="116"/>
        <v>2.9000000000000001E-2</v>
      </c>
      <c r="W831">
        <f t="shared" si="117"/>
        <v>0.127</v>
      </c>
      <c r="X831">
        <f t="shared" si="118"/>
        <v>0.68799999999999994</v>
      </c>
      <c r="Y831">
        <v>134.07632720000001</v>
      </c>
      <c r="Z831">
        <v>0</v>
      </c>
      <c r="AA831">
        <v>454184</v>
      </c>
      <c r="AB831">
        <v>170596</v>
      </c>
      <c r="AC831">
        <v>6.5715274000000004E-2</v>
      </c>
      <c r="AD831">
        <v>0.72549415100000003</v>
      </c>
      <c r="AF831">
        <v>10.356052630000001</v>
      </c>
      <c r="AG831">
        <v>4.8000000000000001E-2</v>
      </c>
      <c r="AH831">
        <v>2.5000000000000001E-2</v>
      </c>
      <c r="AI831">
        <v>0.71399999999999997</v>
      </c>
      <c r="AJ831">
        <v>2.026486486</v>
      </c>
      <c r="AK831">
        <v>6.346764995</v>
      </c>
      <c r="AL831">
        <v>2.9000000000000001E-2</v>
      </c>
      <c r="AM831">
        <v>0.127</v>
      </c>
      <c r="AN831">
        <v>0.68799999999999994</v>
      </c>
    </row>
    <row r="832" spans="1:40">
      <c r="A832">
        <v>2900</v>
      </c>
      <c r="B832" t="s">
        <v>689</v>
      </c>
      <c r="C832" t="s">
        <v>687</v>
      </c>
      <c r="D832" t="s">
        <v>688</v>
      </c>
      <c r="E832">
        <v>234</v>
      </c>
      <c r="F832">
        <v>552</v>
      </c>
      <c r="G832">
        <v>23.434070760000001</v>
      </c>
      <c r="H832">
        <v>73</v>
      </c>
      <c r="I832">
        <v>3.6632052999999998E-2</v>
      </c>
      <c r="J832">
        <v>625</v>
      </c>
      <c r="K832">
        <v>17061.560809999999</v>
      </c>
      <c r="L832">
        <v>0.749</v>
      </c>
      <c r="M832">
        <v>0.23778501599999999</v>
      </c>
      <c r="N832">
        <v>0</v>
      </c>
      <c r="O832" t="s">
        <v>613</v>
      </c>
      <c r="P832">
        <f t="shared" si="110"/>
        <v>7.8939189189999999</v>
      </c>
      <c r="Q832">
        <f t="shared" si="111"/>
        <v>5.7000000000000002E-2</v>
      </c>
      <c r="R832">
        <f t="shared" si="112"/>
        <v>5.5E-2</v>
      </c>
      <c r="S832">
        <f t="shared" si="113"/>
        <v>0.749</v>
      </c>
      <c r="T832">
        <f t="shared" si="114"/>
        <v>2.5045454550000001</v>
      </c>
      <c r="U832">
        <f t="shared" si="115"/>
        <v>5.2602112679999999</v>
      </c>
      <c r="V832">
        <f t="shared" si="116"/>
        <v>0.129</v>
      </c>
      <c r="W832">
        <f t="shared" si="117"/>
        <v>8.8999999999999996E-2</v>
      </c>
      <c r="X832">
        <f t="shared" si="118"/>
        <v>0.73299999999999998</v>
      </c>
      <c r="Y832">
        <v>218.04509089999999</v>
      </c>
      <c r="Z832">
        <v>0</v>
      </c>
      <c r="AA832">
        <v>454184</v>
      </c>
      <c r="AB832">
        <v>170596</v>
      </c>
      <c r="AC832">
        <v>6.5715274000000004E-2</v>
      </c>
      <c r="AD832">
        <v>0.72549415100000003</v>
      </c>
      <c r="AF832">
        <v>7.8939189189999999</v>
      </c>
      <c r="AG832">
        <v>5.7000000000000002E-2</v>
      </c>
      <c r="AH832">
        <v>5.5E-2</v>
      </c>
      <c r="AI832">
        <v>0.749</v>
      </c>
      <c r="AJ832">
        <v>2.5045454550000001</v>
      </c>
      <c r="AK832">
        <v>5.2602112679999999</v>
      </c>
      <c r="AL832">
        <v>0.129</v>
      </c>
      <c r="AM832">
        <v>8.8999999999999996E-2</v>
      </c>
      <c r="AN832">
        <v>0.73299999999999998</v>
      </c>
    </row>
    <row r="833" spans="1:40">
      <c r="A833">
        <v>2901</v>
      </c>
      <c r="B833" t="s">
        <v>695</v>
      </c>
      <c r="C833" t="s">
        <v>696</v>
      </c>
      <c r="D833" t="s">
        <v>697</v>
      </c>
      <c r="E833">
        <v>147</v>
      </c>
      <c r="F833">
        <v>378</v>
      </c>
      <c r="G833">
        <v>52.631978500000002</v>
      </c>
      <c r="H833">
        <v>92</v>
      </c>
      <c r="I833">
        <v>8.2273281000000004E-2</v>
      </c>
      <c r="J833">
        <v>470</v>
      </c>
      <c r="K833">
        <v>5712.6687339999999</v>
      </c>
      <c r="L833">
        <v>0.86</v>
      </c>
      <c r="M833">
        <v>0.38493723800000001</v>
      </c>
      <c r="N833">
        <v>0</v>
      </c>
      <c r="O833" t="s">
        <v>620</v>
      </c>
      <c r="P833">
        <f t="shared" si="110"/>
        <v>14.411395349999999</v>
      </c>
      <c r="Q833">
        <f t="shared" si="111"/>
        <v>2.5999999999999999E-2</v>
      </c>
      <c r="R833">
        <f t="shared" si="112"/>
        <v>2.3E-2</v>
      </c>
      <c r="S833">
        <f t="shared" si="113"/>
        <v>0.86</v>
      </c>
      <c r="T833">
        <f t="shared" si="114"/>
        <v>2.3187500000000001</v>
      </c>
      <c r="U833">
        <f t="shared" si="115"/>
        <v>7.2612177119999997</v>
      </c>
      <c r="V833">
        <f t="shared" si="116"/>
        <v>1.9E-2</v>
      </c>
      <c r="W833">
        <f t="shared" si="117"/>
        <v>0.154</v>
      </c>
      <c r="X833">
        <f t="shared" si="118"/>
        <v>0.82699999999999996</v>
      </c>
      <c r="Y833">
        <v>110.2997642</v>
      </c>
      <c r="Z833">
        <v>0</v>
      </c>
      <c r="AA833">
        <v>62139</v>
      </c>
      <c r="AB833">
        <v>22178</v>
      </c>
      <c r="AC833">
        <v>2.5956119999999999E-2</v>
      </c>
      <c r="AD833">
        <v>0.81129361</v>
      </c>
      <c r="AF833">
        <v>14.411395349999999</v>
      </c>
      <c r="AG833">
        <v>2.5999999999999999E-2</v>
      </c>
      <c r="AH833">
        <v>2.3E-2</v>
      </c>
      <c r="AI833">
        <v>0.86</v>
      </c>
      <c r="AJ833">
        <v>2.3187500000000001</v>
      </c>
      <c r="AK833">
        <v>7.2612177119999997</v>
      </c>
      <c r="AL833">
        <v>1.9E-2</v>
      </c>
      <c r="AM833">
        <v>0.154</v>
      </c>
      <c r="AN833">
        <v>0.82699999999999996</v>
      </c>
    </row>
    <row r="834" spans="1:40">
      <c r="A834">
        <v>2902</v>
      </c>
      <c r="B834" t="s">
        <v>691</v>
      </c>
      <c r="C834" t="s">
        <v>684</v>
      </c>
      <c r="D834" t="s">
        <v>685</v>
      </c>
      <c r="E834">
        <v>8</v>
      </c>
      <c r="F834">
        <v>26</v>
      </c>
      <c r="G834">
        <v>514.1410932</v>
      </c>
      <c r="H834">
        <v>88</v>
      </c>
      <c r="I834">
        <v>0.80364442300000005</v>
      </c>
      <c r="J834">
        <v>114</v>
      </c>
      <c r="K834">
        <v>141.853781</v>
      </c>
      <c r="L834">
        <v>0.91800000000000004</v>
      </c>
      <c r="M834">
        <v>0.91666666699999999</v>
      </c>
      <c r="N834">
        <v>0</v>
      </c>
      <c r="O834" t="s">
        <v>620</v>
      </c>
      <c r="P834">
        <f t="shared" si="110"/>
        <v>19.331666670000001</v>
      </c>
      <c r="Q834">
        <f t="shared" si="111"/>
        <v>0.02</v>
      </c>
      <c r="R834">
        <f t="shared" si="112"/>
        <v>0.02</v>
      </c>
      <c r="S834">
        <f t="shared" si="113"/>
        <v>0.91800000000000004</v>
      </c>
      <c r="T834">
        <f t="shared" si="114"/>
        <v>2.06</v>
      </c>
      <c r="U834">
        <f t="shared" si="115"/>
        <v>12.110714290000001</v>
      </c>
      <c r="V834">
        <f t="shared" si="116"/>
        <v>3.5151315789473656E-2</v>
      </c>
      <c r="W834">
        <f t="shared" si="117"/>
        <v>6.2E-2</v>
      </c>
      <c r="X834">
        <f t="shared" si="118"/>
        <v>0.93799999999999994</v>
      </c>
      <c r="Y834">
        <v>60.172843059999998</v>
      </c>
      <c r="Z834">
        <v>0</v>
      </c>
      <c r="AA834">
        <v>236250</v>
      </c>
      <c r="AB834">
        <v>76158</v>
      </c>
      <c r="AC834">
        <v>1.7652984E-2</v>
      </c>
      <c r="AD834">
        <v>0.84750225300000004</v>
      </c>
      <c r="AF834">
        <v>19.331666670000001</v>
      </c>
      <c r="AG834">
        <v>0.02</v>
      </c>
      <c r="AH834">
        <v>0.02</v>
      </c>
      <c r="AI834">
        <v>0.91800000000000004</v>
      </c>
      <c r="AJ834">
        <v>2.06</v>
      </c>
      <c r="AK834">
        <v>12.110714290000001</v>
      </c>
      <c r="AL834">
        <v>0</v>
      </c>
      <c r="AM834">
        <v>6.2E-2</v>
      </c>
      <c r="AN834">
        <v>0.93799999999999994</v>
      </c>
    </row>
    <row r="835" spans="1:40">
      <c r="A835">
        <v>2903</v>
      </c>
      <c r="B835" t="s">
        <v>692</v>
      </c>
      <c r="C835" t="s">
        <v>693</v>
      </c>
      <c r="D835" t="s">
        <v>694</v>
      </c>
      <c r="E835">
        <v>529</v>
      </c>
      <c r="F835">
        <v>1489</v>
      </c>
      <c r="G835">
        <v>87.816275950000005</v>
      </c>
      <c r="H835">
        <v>265</v>
      </c>
      <c r="I835">
        <v>0.13726440000000001</v>
      </c>
      <c r="J835">
        <v>1754</v>
      </c>
      <c r="K835">
        <v>12778.258599999999</v>
      </c>
      <c r="L835">
        <v>0.70499999999999996</v>
      </c>
      <c r="M835">
        <v>0.33375314900000003</v>
      </c>
      <c r="N835">
        <v>0</v>
      </c>
      <c r="O835" t="s">
        <v>620</v>
      </c>
      <c r="P835">
        <f t="shared" si="110"/>
        <v>15.067157359999999</v>
      </c>
      <c r="Q835">
        <f t="shared" si="111"/>
        <v>1.9E-2</v>
      </c>
      <c r="R835">
        <f t="shared" si="112"/>
        <v>2.4E-2</v>
      </c>
      <c r="S835">
        <f t="shared" si="113"/>
        <v>0.70499999999999996</v>
      </c>
      <c r="T835">
        <f t="shared" si="114"/>
        <v>2.1749999999999998</v>
      </c>
      <c r="U835">
        <f t="shared" si="115"/>
        <v>8.2627912620000004</v>
      </c>
      <c r="V835">
        <f t="shared" si="116"/>
        <v>4.2000000000000003E-2</v>
      </c>
      <c r="W835">
        <f t="shared" si="117"/>
        <v>4.2000000000000003E-2</v>
      </c>
      <c r="X835">
        <f t="shared" si="118"/>
        <v>0.83499999999999996</v>
      </c>
      <c r="Y835">
        <v>72.007826750000007</v>
      </c>
      <c r="Z835">
        <v>0</v>
      </c>
      <c r="AA835">
        <v>77808</v>
      </c>
      <c r="AB835">
        <v>27489</v>
      </c>
      <c r="AC835">
        <v>1.1225541E-2</v>
      </c>
      <c r="AD835">
        <v>0.835708267</v>
      </c>
      <c r="AF835">
        <v>15.067157359999999</v>
      </c>
      <c r="AG835">
        <v>1.9E-2</v>
      </c>
      <c r="AH835">
        <v>2.4E-2</v>
      </c>
      <c r="AI835">
        <v>0.70499999999999996</v>
      </c>
      <c r="AJ835">
        <v>2.1749999999999998</v>
      </c>
      <c r="AK835">
        <v>8.2627912620000004</v>
      </c>
      <c r="AL835">
        <v>4.2000000000000003E-2</v>
      </c>
      <c r="AM835">
        <v>4.2000000000000003E-2</v>
      </c>
      <c r="AN835">
        <v>0.83499999999999996</v>
      </c>
    </row>
    <row r="836" spans="1:40">
      <c r="A836">
        <v>2904</v>
      </c>
      <c r="B836" t="s">
        <v>691</v>
      </c>
      <c r="C836" t="s">
        <v>684</v>
      </c>
      <c r="D836" t="s">
        <v>685</v>
      </c>
      <c r="E836">
        <v>134</v>
      </c>
      <c r="F836">
        <v>409</v>
      </c>
      <c r="G836">
        <v>80.291535109999998</v>
      </c>
      <c r="H836">
        <v>215</v>
      </c>
      <c r="I836">
        <v>0.125498788</v>
      </c>
      <c r="J836">
        <v>624</v>
      </c>
      <c r="K836">
        <v>4972.1595719999996</v>
      </c>
      <c r="L836">
        <v>0.82699999999999996</v>
      </c>
      <c r="M836">
        <v>0.61604584500000004</v>
      </c>
      <c r="N836">
        <v>0</v>
      </c>
      <c r="O836" t="s">
        <v>613</v>
      </c>
      <c r="P836">
        <f t="shared" si="110"/>
        <v>15.83926471</v>
      </c>
      <c r="Q836">
        <f t="shared" si="111"/>
        <v>1.9E-2</v>
      </c>
      <c r="R836">
        <f t="shared" si="112"/>
        <v>1.0999999999999999E-2</v>
      </c>
      <c r="S836">
        <f t="shared" si="113"/>
        <v>0.82699999999999996</v>
      </c>
      <c r="T836">
        <f t="shared" si="114"/>
        <v>1.2649999999999999</v>
      </c>
      <c r="U836">
        <f t="shared" si="115"/>
        <v>5.5855210419999999</v>
      </c>
      <c r="V836">
        <f t="shared" si="116"/>
        <v>3.5151315789473656E-2</v>
      </c>
      <c r="W836">
        <f t="shared" si="117"/>
        <v>3.7999999999999999E-2</v>
      </c>
      <c r="X836">
        <f t="shared" si="118"/>
        <v>0.86099999999999999</v>
      </c>
      <c r="Y836">
        <v>157.27076969999999</v>
      </c>
      <c r="Z836">
        <v>0</v>
      </c>
      <c r="AA836">
        <v>236250</v>
      </c>
      <c r="AB836">
        <v>76158</v>
      </c>
      <c r="AC836">
        <v>1.7652984E-2</v>
      </c>
      <c r="AD836">
        <v>0.84750225300000004</v>
      </c>
      <c r="AF836">
        <v>15.83926471</v>
      </c>
      <c r="AG836">
        <v>1.9E-2</v>
      </c>
      <c r="AH836">
        <v>1.0999999999999999E-2</v>
      </c>
      <c r="AI836">
        <v>0.82699999999999996</v>
      </c>
      <c r="AJ836">
        <v>1.2649999999999999</v>
      </c>
      <c r="AK836">
        <v>5.5855210419999999</v>
      </c>
      <c r="AL836">
        <v>0</v>
      </c>
      <c r="AM836">
        <v>3.7999999999999999E-2</v>
      </c>
      <c r="AN836">
        <v>0.86099999999999999</v>
      </c>
    </row>
    <row r="837" spans="1:40">
      <c r="A837">
        <v>2905</v>
      </c>
      <c r="B837" t="s">
        <v>695</v>
      </c>
      <c r="C837" t="s">
        <v>696</v>
      </c>
      <c r="D837" t="s">
        <v>697</v>
      </c>
      <c r="E837">
        <v>99</v>
      </c>
      <c r="F837">
        <v>238</v>
      </c>
      <c r="G837">
        <v>66.19916929</v>
      </c>
      <c r="H837">
        <v>623</v>
      </c>
      <c r="I837">
        <v>0.10347176399999999</v>
      </c>
      <c r="J837">
        <v>861</v>
      </c>
      <c r="K837">
        <v>8321.1106749999999</v>
      </c>
      <c r="L837">
        <v>0.78900000000000003</v>
      </c>
      <c r="M837">
        <v>0.86288088600000001</v>
      </c>
      <c r="N837">
        <v>1</v>
      </c>
      <c r="O837" t="s">
        <v>620</v>
      </c>
      <c r="P837">
        <f t="shared" si="110"/>
        <v>12.461186440000001</v>
      </c>
      <c r="Q837">
        <f t="shared" si="111"/>
        <v>3.7999999999999999E-2</v>
      </c>
      <c r="R837">
        <f t="shared" si="112"/>
        <v>3.5999999999999997E-2</v>
      </c>
      <c r="S837">
        <f t="shared" si="113"/>
        <v>0.78900000000000003</v>
      </c>
      <c r="T837">
        <f t="shared" si="114"/>
        <v>2.5338235290000002</v>
      </c>
      <c r="U837">
        <f t="shared" si="115"/>
        <v>7.547596017</v>
      </c>
      <c r="V837">
        <f t="shared" si="116"/>
        <v>9.6000000000000002E-2</v>
      </c>
      <c r="W837">
        <f t="shared" si="117"/>
        <v>0.151</v>
      </c>
      <c r="X837">
        <f t="shared" si="118"/>
        <v>0.71099999999999997</v>
      </c>
      <c r="Y837">
        <v>189.46585339999999</v>
      </c>
      <c r="Z837">
        <v>0</v>
      </c>
      <c r="AA837">
        <v>62139</v>
      </c>
      <c r="AB837">
        <v>22178</v>
      </c>
      <c r="AC837">
        <v>2.5956119999999999E-2</v>
      </c>
      <c r="AD837">
        <v>0.81129361</v>
      </c>
      <c r="AF837">
        <v>12.461186440000001</v>
      </c>
      <c r="AG837">
        <v>3.7999999999999999E-2</v>
      </c>
      <c r="AH837">
        <v>3.5999999999999997E-2</v>
      </c>
      <c r="AI837">
        <v>0.78900000000000003</v>
      </c>
      <c r="AJ837">
        <v>2.5338235290000002</v>
      </c>
      <c r="AK837">
        <v>7.547596017</v>
      </c>
      <c r="AL837">
        <v>9.6000000000000002E-2</v>
      </c>
      <c r="AM837">
        <v>0.151</v>
      </c>
      <c r="AN837">
        <v>0.71099999999999997</v>
      </c>
    </row>
    <row r="838" spans="1:40">
      <c r="A838">
        <v>2906</v>
      </c>
      <c r="B838" t="s">
        <v>705</v>
      </c>
      <c r="C838" t="s">
        <v>696</v>
      </c>
      <c r="D838" t="s">
        <v>697</v>
      </c>
      <c r="E838">
        <v>574</v>
      </c>
      <c r="F838">
        <v>1863</v>
      </c>
      <c r="G838">
        <v>75.815254800000005</v>
      </c>
      <c r="H838">
        <v>126</v>
      </c>
      <c r="I838">
        <v>0.11850428</v>
      </c>
      <c r="J838">
        <v>1989</v>
      </c>
      <c r="K838">
        <v>16784.20391</v>
      </c>
      <c r="L838">
        <v>0.82399999999999995</v>
      </c>
      <c r="M838">
        <v>0.18</v>
      </c>
      <c r="N838">
        <v>0</v>
      </c>
      <c r="O838" t="s">
        <v>620</v>
      </c>
      <c r="P838">
        <f t="shared" si="110"/>
        <v>11.909689439999999</v>
      </c>
      <c r="Q838">
        <f t="shared" si="111"/>
        <v>2.3E-2</v>
      </c>
      <c r="R838">
        <f t="shared" si="112"/>
        <v>2.3E-2</v>
      </c>
      <c r="S838">
        <f t="shared" si="113"/>
        <v>0.82399999999999995</v>
      </c>
      <c r="T838">
        <f t="shared" si="114"/>
        <v>1.5912500000000001</v>
      </c>
      <c r="U838">
        <f t="shared" si="115"/>
        <v>6.9663748459999999</v>
      </c>
      <c r="V838">
        <f t="shared" si="116"/>
        <v>3.3000000000000002E-2</v>
      </c>
      <c r="W838">
        <f t="shared" si="117"/>
        <v>8.2000000000000003E-2</v>
      </c>
      <c r="X838">
        <f t="shared" si="118"/>
        <v>0.875</v>
      </c>
      <c r="Y838">
        <v>156.94027500000001</v>
      </c>
      <c r="Z838">
        <v>0</v>
      </c>
      <c r="AA838">
        <v>152832</v>
      </c>
      <c r="AB838">
        <v>45686</v>
      </c>
      <c r="AC838">
        <v>2.1596295000000001E-2</v>
      </c>
      <c r="AD838">
        <v>0.84212384500000004</v>
      </c>
      <c r="AF838">
        <v>11.909689439999999</v>
      </c>
      <c r="AG838">
        <v>2.3E-2</v>
      </c>
      <c r="AH838">
        <v>2.3E-2</v>
      </c>
      <c r="AI838">
        <v>0.82399999999999995</v>
      </c>
      <c r="AJ838">
        <v>1.5912500000000001</v>
      </c>
      <c r="AK838">
        <v>6.9663748459999999</v>
      </c>
      <c r="AL838">
        <v>3.3000000000000002E-2</v>
      </c>
      <c r="AM838">
        <v>8.2000000000000003E-2</v>
      </c>
      <c r="AN838">
        <v>0.875</v>
      </c>
    </row>
    <row r="839" spans="1:40">
      <c r="A839">
        <v>2907</v>
      </c>
      <c r="B839" t="s">
        <v>702</v>
      </c>
      <c r="C839" t="s">
        <v>696</v>
      </c>
      <c r="D839" t="s">
        <v>697</v>
      </c>
      <c r="E839">
        <v>628</v>
      </c>
      <c r="F839">
        <v>1670</v>
      </c>
      <c r="G839">
        <v>59.695531209999999</v>
      </c>
      <c r="H839">
        <v>34</v>
      </c>
      <c r="I839">
        <v>9.3310506000000001E-2</v>
      </c>
      <c r="J839">
        <v>1704</v>
      </c>
      <c r="K839">
        <v>18261.609260000001</v>
      </c>
      <c r="L839">
        <v>0.80200000000000005</v>
      </c>
      <c r="M839">
        <v>5.1359517E-2</v>
      </c>
      <c r="N839">
        <v>1</v>
      </c>
      <c r="O839" t="s">
        <v>613</v>
      </c>
      <c r="P839">
        <f t="shared" si="110"/>
        <v>13.130887100000001</v>
      </c>
      <c r="Q839">
        <f t="shared" si="111"/>
        <v>3.6999999999999998E-2</v>
      </c>
      <c r="R839">
        <f t="shared" si="112"/>
        <v>1.4E-2</v>
      </c>
      <c r="S839">
        <f t="shared" si="113"/>
        <v>0.80200000000000005</v>
      </c>
      <c r="T839">
        <f t="shared" si="114"/>
        <v>2.44</v>
      </c>
      <c r="U839">
        <f t="shared" si="115"/>
        <v>6.5389637309999999</v>
      </c>
      <c r="V839">
        <f t="shared" si="116"/>
        <v>4.1000000000000002E-2</v>
      </c>
      <c r="W839">
        <f t="shared" si="117"/>
        <v>0.10100000000000001</v>
      </c>
      <c r="X839">
        <f t="shared" si="118"/>
        <v>0.83799999999999997</v>
      </c>
      <c r="Y839">
        <v>98.165142500000002</v>
      </c>
      <c r="Z839">
        <v>0</v>
      </c>
      <c r="AA839">
        <v>90778</v>
      </c>
      <c r="AB839">
        <v>31662</v>
      </c>
      <c r="AC839">
        <v>3.1753482E-2</v>
      </c>
      <c r="AD839">
        <v>0.82960131100000001</v>
      </c>
      <c r="AF839">
        <v>13.130887100000001</v>
      </c>
      <c r="AG839">
        <v>3.6999999999999998E-2</v>
      </c>
      <c r="AH839">
        <v>1.4E-2</v>
      </c>
      <c r="AI839">
        <v>0.80200000000000005</v>
      </c>
      <c r="AJ839">
        <v>2.44</v>
      </c>
      <c r="AK839">
        <v>6.5389637309999999</v>
      </c>
      <c r="AL839">
        <v>4.1000000000000002E-2</v>
      </c>
      <c r="AM839">
        <v>0.10100000000000001</v>
      </c>
      <c r="AN839">
        <v>0.83799999999999997</v>
      </c>
    </row>
    <row r="840" spans="1:40">
      <c r="A840">
        <v>2908</v>
      </c>
      <c r="B840" t="s">
        <v>705</v>
      </c>
      <c r="C840" t="s">
        <v>696</v>
      </c>
      <c r="D840" t="s">
        <v>697</v>
      </c>
      <c r="E840">
        <v>634</v>
      </c>
      <c r="F840">
        <v>1701</v>
      </c>
      <c r="G840">
        <v>70.972729209999997</v>
      </c>
      <c r="H840">
        <v>56</v>
      </c>
      <c r="I840">
        <v>0.11093238699999999</v>
      </c>
      <c r="J840">
        <v>1757</v>
      </c>
      <c r="K840">
        <v>15838.47646</v>
      </c>
      <c r="L840">
        <v>0.76100000000000001</v>
      </c>
      <c r="M840">
        <v>8.1159419999999996E-2</v>
      </c>
      <c r="N840">
        <v>1</v>
      </c>
      <c r="O840" t="s">
        <v>620</v>
      </c>
      <c r="P840">
        <f t="shared" si="110"/>
        <v>16.345151520000002</v>
      </c>
      <c r="Q840">
        <f t="shared" si="111"/>
        <v>3.6999999999999998E-2</v>
      </c>
      <c r="R840">
        <f t="shared" si="112"/>
        <v>1.7000000000000001E-2</v>
      </c>
      <c r="S840">
        <f t="shared" si="113"/>
        <v>0.76100000000000001</v>
      </c>
      <c r="T840">
        <f t="shared" si="114"/>
        <v>2.3574999999999999</v>
      </c>
      <c r="U840">
        <f t="shared" si="115"/>
        <v>7.4511631209999996</v>
      </c>
      <c r="V840">
        <f t="shared" si="116"/>
        <v>1.2999999999999999E-2</v>
      </c>
      <c r="W840">
        <f t="shared" si="117"/>
        <v>0.14099999999999999</v>
      </c>
      <c r="X840">
        <f t="shared" si="118"/>
        <v>0.84599999999999997</v>
      </c>
      <c r="Y840">
        <v>70.158390240000003</v>
      </c>
      <c r="Z840">
        <v>0</v>
      </c>
      <c r="AA840">
        <v>152832</v>
      </c>
      <c r="AB840">
        <v>45686</v>
      </c>
      <c r="AC840">
        <v>2.1596295000000001E-2</v>
      </c>
      <c r="AD840">
        <v>0.84212384500000004</v>
      </c>
      <c r="AF840">
        <v>16.345151520000002</v>
      </c>
      <c r="AG840">
        <v>3.6999999999999998E-2</v>
      </c>
      <c r="AH840">
        <v>1.7000000000000001E-2</v>
      </c>
      <c r="AI840">
        <v>0.76100000000000001</v>
      </c>
      <c r="AJ840">
        <v>2.3574999999999999</v>
      </c>
      <c r="AK840">
        <v>7.4511631209999996</v>
      </c>
      <c r="AL840">
        <v>1.2999999999999999E-2</v>
      </c>
      <c r="AM840">
        <v>0.14099999999999999</v>
      </c>
      <c r="AN840">
        <v>0.84599999999999997</v>
      </c>
    </row>
    <row r="841" spans="1:40">
      <c r="A841">
        <v>2909</v>
      </c>
      <c r="B841" t="s">
        <v>708</v>
      </c>
      <c r="C841" t="s">
        <v>696</v>
      </c>
      <c r="D841" t="s">
        <v>697</v>
      </c>
      <c r="E841">
        <v>901</v>
      </c>
      <c r="F841">
        <v>3111</v>
      </c>
      <c r="G841">
        <v>133.75244180000001</v>
      </c>
      <c r="H841">
        <v>378</v>
      </c>
      <c r="I841">
        <v>0.20907242000000001</v>
      </c>
      <c r="J841">
        <v>3489</v>
      </c>
      <c r="K841">
        <v>16687.99739</v>
      </c>
      <c r="L841">
        <v>0.82599999999999996</v>
      </c>
      <c r="M841">
        <v>0.29554339299999999</v>
      </c>
      <c r="N841">
        <v>0</v>
      </c>
      <c r="O841" t="s">
        <v>620</v>
      </c>
      <c r="P841">
        <f t="shared" si="110"/>
        <v>11.229068099999999</v>
      </c>
      <c r="Q841">
        <f t="shared" si="111"/>
        <v>2.5999999999999999E-2</v>
      </c>
      <c r="R841">
        <f t="shared" si="112"/>
        <v>0.02</v>
      </c>
      <c r="S841">
        <f t="shared" si="113"/>
        <v>0.82599999999999996</v>
      </c>
      <c r="T841">
        <f t="shared" si="114"/>
        <v>2.469756098</v>
      </c>
      <c r="U841">
        <f t="shared" si="115"/>
        <v>6.5805794500000001</v>
      </c>
      <c r="V841">
        <f t="shared" si="116"/>
        <v>4.3999999999999997E-2</v>
      </c>
      <c r="W841">
        <f t="shared" si="117"/>
        <v>0.115</v>
      </c>
      <c r="X841">
        <f t="shared" si="118"/>
        <v>0.82099999999999995</v>
      </c>
      <c r="Y841">
        <v>112.68948640000001</v>
      </c>
      <c r="Z841">
        <v>0</v>
      </c>
      <c r="AA841">
        <v>14998</v>
      </c>
      <c r="AB841">
        <v>4485</v>
      </c>
      <c r="AC841">
        <v>2.8516413000000001E-2</v>
      </c>
      <c r="AD841">
        <v>0.81835686799999996</v>
      </c>
      <c r="AF841">
        <v>11.229068099999999</v>
      </c>
      <c r="AG841">
        <v>2.5999999999999999E-2</v>
      </c>
      <c r="AH841">
        <v>0.02</v>
      </c>
      <c r="AI841">
        <v>0.82599999999999996</v>
      </c>
      <c r="AJ841">
        <v>2.469756098</v>
      </c>
      <c r="AK841">
        <v>6.5805794500000001</v>
      </c>
      <c r="AL841">
        <v>4.3999999999999997E-2</v>
      </c>
      <c r="AM841">
        <v>0.115</v>
      </c>
      <c r="AN841">
        <v>0.82099999999999995</v>
      </c>
    </row>
    <row r="842" spans="1:40">
      <c r="A842">
        <v>2910</v>
      </c>
      <c r="B842" t="s">
        <v>689</v>
      </c>
      <c r="C842" t="s">
        <v>687</v>
      </c>
      <c r="D842" t="s">
        <v>688</v>
      </c>
      <c r="E842">
        <v>402</v>
      </c>
      <c r="F842">
        <v>771</v>
      </c>
      <c r="G842">
        <v>59.283608829999999</v>
      </c>
      <c r="H842">
        <v>321</v>
      </c>
      <c r="I842">
        <v>9.2670180000000005E-2</v>
      </c>
      <c r="J842">
        <v>1092</v>
      </c>
      <c r="K842">
        <v>11783.725899999999</v>
      </c>
      <c r="L842">
        <v>0.69299999999999995</v>
      </c>
      <c r="M842">
        <v>0.44398340200000003</v>
      </c>
      <c r="N842">
        <v>1</v>
      </c>
      <c r="O842" t="s">
        <v>606</v>
      </c>
      <c r="P842">
        <f t="shared" si="110"/>
        <v>10.0709</v>
      </c>
      <c r="Q842">
        <f t="shared" si="111"/>
        <v>6.2E-2</v>
      </c>
      <c r="R842">
        <f t="shared" si="112"/>
        <v>2.3E-2</v>
      </c>
      <c r="S842">
        <f t="shared" si="113"/>
        <v>0.69299999999999995</v>
      </c>
      <c r="T842">
        <f t="shared" si="114"/>
        <v>1.6311111110000001</v>
      </c>
      <c r="U842">
        <f t="shared" si="115"/>
        <v>5.8398446599999998</v>
      </c>
      <c r="V842">
        <f t="shared" si="116"/>
        <v>5.2999999999999999E-2</v>
      </c>
      <c r="W842">
        <f t="shared" si="117"/>
        <v>0.153</v>
      </c>
      <c r="X842">
        <f t="shared" si="118"/>
        <v>0.66700000000000004</v>
      </c>
      <c r="Y842">
        <v>119.23645999999999</v>
      </c>
      <c r="Z842">
        <v>0</v>
      </c>
      <c r="AA842">
        <v>454184</v>
      </c>
      <c r="AB842">
        <v>170596</v>
      </c>
      <c r="AC842">
        <v>6.5715274000000004E-2</v>
      </c>
      <c r="AD842">
        <v>0.72549415100000003</v>
      </c>
      <c r="AF842">
        <v>10.0709</v>
      </c>
      <c r="AG842">
        <v>6.2E-2</v>
      </c>
      <c r="AH842">
        <v>2.3E-2</v>
      </c>
      <c r="AI842">
        <v>0.69299999999999995</v>
      </c>
      <c r="AJ842">
        <v>1.6311111110000001</v>
      </c>
      <c r="AK842">
        <v>5.8398446599999998</v>
      </c>
      <c r="AL842">
        <v>5.2999999999999999E-2</v>
      </c>
      <c r="AM842">
        <v>0.153</v>
      </c>
      <c r="AN842">
        <v>0.66700000000000004</v>
      </c>
    </row>
    <row r="843" spans="1:40">
      <c r="A843">
        <v>2911</v>
      </c>
      <c r="B843" t="s">
        <v>689</v>
      </c>
      <c r="C843" t="s">
        <v>687</v>
      </c>
      <c r="D843" t="s">
        <v>688</v>
      </c>
      <c r="E843">
        <v>27</v>
      </c>
      <c r="F843">
        <v>72</v>
      </c>
      <c r="G843">
        <v>94.477970889999995</v>
      </c>
      <c r="H843">
        <v>954</v>
      </c>
      <c r="I843">
        <v>0.147681321</v>
      </c>
      <c r="J843">
        <v>1026</v>
      </c>
      <c r="K843">
        <v>6947.3918100000001</v>
      </c>
      <c r="L843">
        <v>0.67500000000000004</v>
      </c>
      <c r="M843">
        <v>0.972477064</v>
      </c>
      <c r="N843">
        <v>1</v>
      </c>
      <c r="O843" t="s">
        <v>606</v>
      </c>
      <c r="P843">
        <f t="shared" si="110"/>
        <v>15.176781610000001</v>
      </c>
      <c r="Q843">
        <f t="shared" si="111"/>
        <v>9.4E-2</v>
      </c>
      <c r="R843">
        <f t="shared" si="112"/>
        <v>4.9000000000000002E-2</v>
      </c>
      <c r="S843">
        <f t="shared" si="113"/>
        <v>0.67500000000000004</v>
      </c>
      <c r="T843">
        <f t="shared" si="114"/>
        <v>2.6107142859999999</v>
      </c>
      <c r="U843">
        <f t="shared" si="115"/>
        <v>8.4054098360000005</v>
      </c>
      <c r="V843">
        <f t="shared" si="116"/>
        <v>0.112</v>
      </c>
      <c r="W843">
        <f t="shared" si="117"/>
        <v>0.182</v>
      </c>
      <c r="X843">
        <f t="shared" si="118"/>
        <v>0.60799999999999998</v>
      </c>
      <c r="Y843">
        <v>823.34400240000002</v>
      </c>
      <c r="Z843">
        <v>0</v>
      </c>
      <c r="AA843">
        <v>454184</v>
      </c>
      <c r="AB843">
        <v>170596</v>
      </c>
      <c r="AC843">
        <v>6.5715274000000004E-2</v>
      </c>
      <c r="AD843">
        <v>0.72549415100000003</v>
      </c>
      <c r="AF843">
        <v>15.176781610000001</v>
      </c>
      <c r="AG843">
        <v>9.4E-2</v>
      </c>
      <c r="AH843">
        <v>4.9000000000000002E-2</v>
      </c>
      <c r="AI843">
        <v>0.67500000000000004</v>
      </c>
      <c r="AJ843">
        <v>2.6107142859999999</v>
      </c>
      <c r="AK843">
        <v>8.4054098360000005</v>
      </c>
      <c r="AL843">
        <v>0.112</v>
      </c>
      <c r="AM843">
        <v>0.182</v>
      </c>
      <c r="AN843">
        <v>0.60799999999999998</v>
      </c>
    </row>
    <row r="844" spans="1:40">
      <c r="A844">
        <v>2912</v>
      </c>
      <c r="B844" t="s">
        <v>691</v>
      </c>
      <c r="C844" t="s">
        <v>684</v>
      </c>
      <c r="D844" t="s">
        <v>685</v>
      </c>
      <c r="E844">
        <v>848</v>
      </c>
      <c r="F844">
        <v>2335</v>
      </c>
      <c r="G844">
        <v>132.72867149999999</v>
      </c>
      <c r="H844">
        <v>761</v>
      </c>
      <c r="I844">
        <v>0.20746341900000001</v>
      </c>
      <c r="J844">
        <v>3096</v>
      </c>
      <c r="K844">
        <v>14923.112779999999</v>
      </c>
      <c r="L844">
        <v>0.81399999999999995</v>
      </c>
      <c r="M844">
        <v>0.47296457400000003</v>
      </c>
      <c r="N844">
        <v>0</v>
      </c>
      <c r="O844" t="s">
        <v>613</v>
      </c>
      <c r="P844">
        <f t="shared" ref="P844:P907" si="119">IF(OR(IFERROR(AF844=0,TRUE),ISERROR(AF844)),AVERAGEIFS(AF:AF,$B:$B,$B844,AF:AF,"&gt;0"),AF844)</f>
        <v>13.871394560000001</v>
      </c>
      <c r="Q844">
        <f t="shared" ref="Q844:Q907" si="120">IF(OR(IFERROR(AG844=0,TRUE),ISERROR(AG844)),AVERAGEIFS(AG:AG,$B:$B,$B844,AG:AG,"&gt;0"),AG844)</f>
        <v>2.7E-2</v>
      </c>
      <c r="R844">
        <f t="shared" ref="R844:R907" si="121">IF(OR(IFERROR(AH844=0,TRUE),ISERROR(AH844)),AVERAGEIFS(AH:AH,$B:$B,$B844,AH:AH,"&gt;0"),AH844)</f>
        <v>1.2999999999999999E-2</v>
      </c>
      <c r="S844">
        <f t="shared" ref="S844:S907" si="122">IF(OR(IFERROR(AI844=0,TRUE),ISERROR(AI844)),AVERAGEIFS(AI:AI,$B:$B,$B844,AI:AI,"&gt;0"),AI844)</f>
        <v>0.81399999999999995</v>
      </c>
      <c r="T844">
        <f t="shared" ref="T844:T907" si="123">IF(OR(IFERROR(AJ844=0,TRUE),ISERROR(AJ844)),AVERAGEIFS(AJ:AJ,$B:$B,$B844,AJ:AJ,"&gt;0"),AJ844)</f>
        <v>2.076666667</v>
      </c>
      <c r="U844">
        <f t="shared" ref="U844:U907" si="124">IF(OR(IFERROR(AK844=0,TRUE),ISERROR(AK844)),AVERAGEIFS(AK:AK,$B:$B,$B844,AK:AK,"&gt;0"),AK844)</f>
        <v>6.6347049</v>
      </c>
      <c r="V844">
        <f t="shared" ref="V844:V907" si="125">IF(OR(IFERROR(AL844=0,TRUE),ISERROR(AL844)),AVERAGEIFS(AL:AL,$B:$B,$B844,AL:AL,"&gt;0"),AL844)</f>
        <v>1.7999999999999999E-2</v>
      </c>
      <c r="W844">
        <f t="shared" ref="W844:W907" si="126">IF(OR(IFERROR(AM844=0,TRUE),ISERROR(AM844)),AVERAGEIFS(AM:AM,$B:$B,$B844,AM:AM,"&gt;0"),AM844)</f>
        <v>7.0999999999999994E-2</v>
      </c>
      <c r="X844">
        <f t="shared" ref="X844:X907" si="127">IF(OR(IFERROR(AN844=0,TRUE),ISERROR(AN844)),AVERAGEIFS(AN:AN,$B:$B,$B844,AN:AN,"&gt;0"),AN844)</f>
        <v>0.875</v>
      </c>
      <c r="Y844">
        <v>147.20570169999999</v>
      </c>
      <c r="Z844">
        <v>0</v>
      </c>
      <c r="AA844">
        <v>236250</v>
      </c>
      <c r="AB844">
        <v>76158</v>
      </c>
      <c r="AC844">
        <v>1.7652984E-2</v>
      </c>
      <c r="AD844">
        <v>0.84750225300000004</v>
      </c>
      <c r="AF844">
        <v>13.871394560000001</v>
      </c>
      <c r="AG844">
        <v>2.7E-2</v>
      </c>
      <c r="AH844">
        <v>1.2999999999999999E-2</v>
      </c>
      <c r="AI844">
        <v>0.81399999999999995</v>
      </c>
      <c r="AJ844">
        <v>2.076666667</v>
      </c>
      <c r="AK844">
        <v>6.6347049</v>
      </c>
      <c r="AL844">
        <v>1.7999999999999999E-2</v>
      </c>
      <c r="AM844">
        <v>7.0999999999999994E-2</v>
      </c>
      <c r="AN844">
        <v>0.875</v>
      </c>
    </row>
    <row r="845" spans="1:40">
      <c r="A845">
        <v>2913</v>
      </c>
      <c r="B845" t="s">
        <v>689</v>
      </c>
      <c r="C845" t="s">
        <v>687</v>
      </c>
      <c r="D845" t="s">
        <v>688</v>
      </c>
      <c r="E845">
        <v>362</v>
      </c>
      <c r="F845">
        <v>700</v>
      </c>
      <c r="G845">
        <v>34.824228480000002</v>
      </c>
      <c r="H845">
        <v>159</v>
      </c>
      <c r="I845">
        <v>5.4438510000000002E-2</v>
      </c>
      <c r="J845">
        <v>859</v>
      </c>
      <c r="K845">
        <v>15779.27096</v>
      </c>
      <c r="L845">
        <v>0.77100000000000002</v>
      </c>
      <c r="M845">
        <v>0.305182342</v>
      </c>
      <c r="N845">
        <v>0</v>
      </c>
      <c r="O845" t="s">
        <v>613</v>
      </c>
      <c r="P845">
        <f t="shared" si="119"/>
        <v>8.6140206189999997</v>
      </c>
      <c r="Q845">
        <f t="shared" si="120"/>
        <v>0.06</v>
      </c>
      <c r="R845">
        <f t="shared" si="121"/>
        <v>2.1000000000000001E-2</v>
      </c>
      <c r="S845">
        <f t="shared" si="122"/>
        <v>0.77100000000000002</v>
      </c>
      <c r="T845">
        <f t="shared" si="123"/>
        <v>2.8771428569999999</v>
      </c>
      <c r="U845">
        <f t="shared" si="124"/>
        <v>5.4905858590000003</v>
      </c>
      <c r="V845">
        <f t="shared" si="125"/>
        <v>5.8000000000000003E-2</v>
      </c>
      <c r="W845">
        <f t="shared" si="126"/>
        <v>0.18099999999999999</v>
      </c>
      <c r="X845">
        <f t="shared" si="127"/>
        <v>0.70299999999999996</v>
      </c>
      <c r="Y845">
        <v>225.5918293</v>
      </c>
      <c r="Z845">
        <v>0</v>
      </c>
      <c r="AA845">
        <v>454184</v>
      </c>
      <c r="AB845">
        <v>170596</v>
      </c>
      <c r="AC845">
        <v>6.5715274000000004E-2</v>
      </c>
      <c r="AD845">
        <v>0.72549415100000003</v>
      </c>
      <c r="AF845">
        <v>8.6140206189999997</v>
      </c>
      <c r="AG845">
        <v>0.06</v>
      </c>
      <c r="AH845">
        <v>2.1000000000000001E-2</v>
      </c>
      <c r="AI845">
        <v>0.77100000000000002</v>
      </c>
      <c r="AJ845">
        <v>2.8771428569999999</v>
      </c>
      <c r="AK845">
        <v>5.4905858590000003</v>
      </c>
      <c r="AL845">
        <v>5.8000000000000003E-2</v>
      </c>
      <c r="AM845">
        <v>0.18099999999999999</v>
      </c>
      <c r="AN845">
        <v>0.70299999999999996</v>
      </c>
    </row>
    <row r="846" spans="1:40">
      <c r="A846">
        <v>2914</v>
      </c>
      <c r="B846" t="s">
        <v>686</v>
      </c>
      <c r="C846" t="s">
        <v>687</v>
      </c>
      <c r="D846" t="s">
        <v>688</v>
      </c>
      <c r="E846">
        <v>0</v>
      </c>
      <c r="F846">
        <v>50</v>
      </c>
      <c r="G846">
        <v>70.084237049999999</v>
      </c>
      <c r="H846">
        <v>1757</v>
      </c>
      <c r="I846">
        <v>0.10954881</v>
      </c>
      <c r="J846">
        <v>1807</v>
      </c>
      <c r="K846">
        <v>16494.93043</v>
      </c>
      <c r="L846">
        <v>0.82799999999999996</v>
      </c>
      <c r="M846" s="515">
        <v>1</v>
      </c>
      <c r="N846">
        <v>0</v>
      </c>
      <c r="O846" t="s">
        <v>613</v>
      </c>
      <c r="P846">
        <f t="shared" si="119"/>
        <v>14.56548263</v>
      </c>
      <c r="Q846">
        <f t="shared" si="120"/>
        <v>4.3999999999999997E-2</v>
      </c>
      <c r="R846">
        <f t="shared" si="121"/>
        <v>2.1999999999999999E-2</v>
      </c>
      <c r="S846">
        <f t="shared" si="122"/>
        <v>0.82799999999999996</v>
      </c>
      <c r="T846">
        <f t="shared" si="123"/>
        <v>2.3660714289999998</v>
      </c>
      <c r="U846">
        <f t="shared" si="124"/>
        <v>9.0042382809999992</v>
      </c>
      <c r="V846">
        <f t="shared" si="125"/>
        <v>4.7E-2</v>
      </c>
      <c r="W846">
        <f t="shared" si="126"/>
        <v>8.7999999999999995E-2</v>
      </c>
      <c r="X846">
        <f t="shared" si="127"/>
        <v>0.80900000000000005</v>
      </c>
      <c r="Y846">
        <v>180.43228629999999</v>
      </c>
      <c r="Z846">
        <v>1</v>
      </c>
      <c r="AA846">
        <v>140316</v>
      </c>
      <c r="AB846">
        <v>49638</v>
      </c>
      <c r="AC846">
        <v>9.1283894000000004E-2</v>
      </c>
      <c r="AD846">
        <v>0.60339869999999995</v>
      </c>
      <c r="AF846">
        <v>14.56548263</v>
      </c>
      <c r="AG846">
        <v>4.3999999999999997E-2</v>
      </c>
      <c r="AH846">
        <v>2.1999999999999999E-2</v>
      </c>
      <c r="AI846">
        <v>0.82799999999999996</v>
      </c>
      <c r="AJ846">
        <v>2.3660714289999998</v>
      </c>
      <c r="AK846">
        <v>9.0042382809999992</v>
      </c>
      <c r="AL846">
        <v>4.7E-2</v>
      </c>
      <c r="AM846">
        <v>8.7999999999999995E-2</v>
      </c>
      <c r="AN846">
        <v>0.80900000000000005</v>
      </c>
    </row>
    <row r="847" spans="1:40">
      <c r="A847">
        <v>2915</v>
      </c>
      <c r="B847" t="s">
        <v>689</v>
      </c>
      <c r="C847" t="s">
        <v>687</v>
      </c>
      <c r="D847" t="s">
        <v>688</v>
      </c>
      <c r="E847">
        <v>191</v>
      </c>
      <c r="F847">
        <v>784</v>
      </c>
      <c r="G847">
        <v>28.43653488</v>
      </c>
      <c r="H847">
        <v>14</v>
      </c>
      <c r="I847">
        <v>4.4445313E-2</v>
      </c>
      <c r="J847">
        <v>798</v>
      </c>
      <c r="K847">
        <v>17954.649119999998</v>
      </c>
      <c r="L847">
        <v>0.71299999999999997</v>
      </c>
      <c r="M847">
        <v>6.8292683000000007E-2</v>
      </c>
      <c r="N847">
        <v>0</v>
      </c>
      <c r="O847" t="s">
        <v>613</v>
      </c>
      <c r="P847">
        <f t="shared" si="119"/>
        <v>12.18639344</v>
      </c>
      <c r="Q847">
        <f t="shared" si="120"/>
        <v>5.0999999999999997E-2</v>
      </c>
      <c r="R847">
        <f t="shared" si="121"/>
        <v>1.9E-2</v>
      </c>
      <c r="S847">
        <f t="shared" si="122"/>
        <v>0.71299999999999997</v>
      </c>
      <c r="T847">
        <f t="shared" si="123"/>
        <v>1.718</v>
      </c>
      <c r="U847">
        <f t="shared" si="124"/>
        <v>6.90498645</v>
      </c>
      <c r="V847">
        <f t="shared" si="125"/>
        <v>6.7000000000000004E-2</v>
      </c>
      <c r="W847">
        <f t="shared" si="126"/>
        <v>0.189</v>
      </c>
      <c r="X847">
        <f t="shared" si="127"/>
        <v>0.67800000000000005</v>
      </c>
      <c r="Y847">
        <v>251.21791590000001</v>
      </c>
      <c r="Z847">
        <v>0</v>
      </c>
      <c r="AA847">
        <v>454184</v>
      </c>
      <c r="AB847">
        <v>170596</v>
      </c>
      <c r="AC847">
        <v>6.5715274000000004E-2</v>
      </c>
      <c r="AD847">
        <v>0.72549415100000003</v>
      </c>
      <c r="AF847">
        <v>12.18639344</v>
      </c>
      <c r="AG847">
        <v>5.0999999999999997E-2</v>
      </c>
      <c r="AH847">
        <v>1.9E-2</v>
      </c>
      <c r="AI847">
        <v>0.71299999999999997</v>
      </c>
      <c r="AJ847">
        <v>1.718</v>
      </c>
      <c r="AK847">
        <v>6.90498645</v>
      </c>
      <c r="AL847">
        <v>6.7000000000000004E-2</v>
      </c>
      <c r="AM847">
        <v>0.189</v>
      </c>
      <c r="AN847">
        <v>0.67800000000000005</v>
      </c>
    </row>
    <row r="848" spans="1:40">
      <c r="A848">
        <v>2916</v>
      </c>
      <c r="B848" t="s">
        <v>702</v>
      </c>
      <c r="C848" t="s">
        <v>696</v>
      </c>
      <c r="D848" t="s">
        <v>697</v>
      </c>
      <c r="E848">
        <v>0</v>
      </c>
      <c r="F848">
        <v>0</v>
      </c>
      <c r="G848">
        <v>201.8307964</v>
      </c>
      <c r="H848">
        <v>7296</v>
      </c>
      <c r="I848">
        <v>0.31548553899999998</v>
      </c>
      <c r="J848">
        <v>7296</v>
      </c>
      <c r="K848">
        <v>23126.258089999999</v>
      </c>
      <c r="L848">
        <v>0.88500000000000001</v>
      </c>
      <c r="M848" s="515">
        <v>1</v>
      </c>
      <c r="N848">
        <v>0</v>
      </c>
      <c r="O848" t="s">
        <v>613</v>
      </c>
      <c r="P848">
        <f t="shared" si="119"/>
        <v>14.924776899999999</v>
      </c>
      <c r="Q848">
        <f t="shared" si="120"/>
        <v>1.0999999999999999E-2</v>
      </c>
      <c r="R848">
        <f t="shared" si="121"/>
        <v>1.4E-2</v>
      </c>
      <c r="S848">
        <f t="shared" si="122"/>
        <v>0.88500000000000001</v>
      </c>
      <c r="T848">
        <f t="shared" si="123"/>
        <v>2.793541667</v>
      </c>
      <c r="U848">
        <f t="shared" si="124"/>
        <v>10.89445192</v>
      </c>
      <c r="V848">
        <f t="shared" si="125"/>
        <v>2.1000000000000001E-2</v>
      </c>
      <c r="W848">
        <f t="shared" si="126"/>
        <v>2.4E-2</v>
      </c>
      <c r="X848">
        <f t="shared" si="127"/>
        <v>0.92900000000000005</v>
      </c>
      <c r="Y848">
        <v>33.385962540000001</v>
      </c>
      <c r="Z848">
        <v>0</v>
      </c>
      <c r="AA848">
        <v>90778</v>
      </c>
      <c r="AB848">
        <v>31662</v>
      </c>
      <c r="AC848">
        <v>3.1753482E-2</v>
      </c>
      <c r="AD848">
        <v>0.82960131100000001</v>
      </c>
      <c r="AF848">
        <v>14.924776899999999</v>
      </c>
      <c r="AG848">
        <v>1.0999999999999999E-2</v>
      </c>
      <c r="AH848">
        <v>1.4E-2</v>
      </c>
      <c r="AI848">
        <v>0.88500000000000001</v>
      </c>
      <c r="AJ848">
        <v>2.793541667</v>
      </c>
      <c r="AK848">
        <v>10.89445192</v>
      </c>
      <c r="AL848">
        <v>2.1000000000000001E-2</v>
      </c>
      <c r="AM848">
        <v>2.4E-2</v>
      </c>
      <c r="AN848">
        <v>0.92900000000000005</v>
      </c>
    </row>
    <row r="849" spans="1:40">
      <c r="A849">
        <v>2917</v>
      </c>
      <c r="B849" t="s">
        <v>702</v>
      </c>
      <c r="C849" t="s">
        <v>696</v>
      </c>
      <c r="D849" t="s">
        <v>697</v>
      </c>
      <c r="E849">
        <v>223</v>
      </c>
      <c r="F849">
        <v>611</v>
      </c>
      <c r="G849">
        <v>32.749206540000003</v>
      </c>
      <c r="H849">
        <v>133</v>
      </c>
      <c r="I849">
        <v>5.1187278000000003E-2</v>
      </c>
      <c r="J849">
        <v>744</v>
      </c>
      <c r="K849">
        <v>14534.861569999999</v>
      </c>
      <c r="L849">
        <v>0.85199999999999998</v>
      </c>
      <c r="M849">
        <v>0.37359550600000002</v>
      </c>
      <c r="N849">
        <v>0</v>
      </c>
      <c r="O849" t="s">
        <v>620</v>
      </c>
      <c r="P849">
        <f t="shared" si="119"/>
        <v>10.366349209999999</v>
      </c>
      <c r="Q849">
        <f t="shared" si="120"/>
        <v>4.3999999999999997E-2</v>
      </c>
      <c r="R849">
        <f t="shared" si="121"/>
        <v>1.2999999999999999E-2</v>
      </c>
      <c r="S849">
        <f t="shared" si="122"/>
        <v>0.85199999999999998</v>
      </c>
      <c r="T849">
        <f t="shared" si="123"/>
        <v>2.7816666670000001</v>
      </c>
      <c r="U849">
        <f t="shared" si="124"/>
        <v>6.689310345</v>
      </c>
      <c r="V849">
        <f t="shared" si="125"/>
        <v>3.7999999999999999E-2</v>
      </c>
      <c r="W849">
        <f t="shared" si="126"/>
        <v>0.13800000000000001</v>
      </c>
      <c r="X849">
        <f t="shared" si="127"/>
        <v>0.78800000000000003</v>
      </c>
      <c r="Y849">
        <v>183.2844346</v>
      </c>
      <c r="Z849">
        <v>0</v>
      </c>
      <c r="AA849">
        <v>90778</v>
      </c>
      <c r="AB849">
        <v>31662</v>
      </c>
      <c r="AC849">
        <v>3.1753482E-2</v>
      </c>
      <c r="AD849">
        <v>0.82960131100000001</v>
      </c>
      <c r="AF849">
        <v>10.366349209999999</v>
      </c>
      <c r="AG849">
        <v>4.3999999999999997E-2</v>
      </c>
      <c r="AH849">
        <v>1.2999999999999999E-2</v>
      </c>
      <c r="AI849">
        <v>0.85199999999999998</v>
      </c>
      <c r="AJ849">
        <v>2.7816666670000001</v>
      </c>
      <c r="AK849">
        <v>6.689310345</v>
      </c>
      <c r="AL849">
        <v>3.7999999999999999E-2</v>
      </c>
      <c r="AM849">
        <v>0.13800000000000001</v>
      </c>
      <c r="AN849">
        <v>0.78800000000000003</v>
      </c>
    </row>
    <row r="850" spans="1:40">
      <c r="A850">
        <v>2918</v>
      </c>
      <c r="B850" t="s">
        <v>705</v>
      </c>
      <c r="C850" t="s">
        <v>696</v>
      </c>
      <c r="D850" t="s">
        <v>697</v>
      </c>
      <c r="E850">
        <v>455</v>
      </c>
      <c r="F850">
        <v>1048</v>
      </c>
      <c r="G850">
        <v>83.948214870000001</v>
      </c>
      <c r="H850">
        <v>976</v>
      </c>
      <c r="I850">
        <v>0.131226606</v>
      </c>
      <c r="J850">
        <v>2024</v>
      </c>
      <c r="K850">
        <v>15423.701499999999</v>
      </c>
      <c r="L850">
        <v>0.80600000000000005</v>
      </c>
      <c r="M850">
        <v>0.68204053099999995</v>
      </c>
      <c r="N850">
        <v>0</v>
      </c>
      <c r="O850" t="s">
        <v>620</v>
      </c>
      <c r="P850">
        <f t="shared" si="119"/>
        <v>11.799716979999999</v>
      </c>
      <c r="Q850">
        <f t="shared" si="120"/>
        <v>6.0000000000000001E-3</v>
      </c>
      <c r="R850">
        <f t="shared" si="121"/>
        <v>2.1999999999999999E-2</v>
      </c>
      <c r="S850">
        <f t="shared" si="122"/>
        <v>0.80600000000000005</v>
      </c>
      <c r="T850">
        <f t="shared" si="123"/>
        <v>1.877115385</v>
      </c>
      <c r="U850">
        <f t="shared" si="124"/>
        <v>6.531173581</v>
      </c>
      <c r="V850">
        <f t="shared" si="125"/>
        <v>4.3999999999999997E-2</v>
      </c>
      <c r="W850">
        <f t="shared" si="126"/>
        <v>4.8000000000000001E-2</v>
      </c>
      <c r="X850">
        <f t="shared" si="127"/>
        <v>0.84499999999999997</v>
      </c>
      <c r="Y850">
        <v>151.29328229999999</v>
      </c>
      <c r="Z850">
        <v>0</v>
      </c>
      <c r="AA850">
        <v>152832</v>
      </c>
      <c r="AB850">
        <v>45686</v>
      </c>
      <c r="AC850">
        <v>2.1596295000000001E-2</v>
      </c>
      <c r="AD850">
        <v>0.84212384500000004</v>
      </c>
      <c r="AF850">
        <v>11.799716979999999</v>
      </c>
      <c r="AG850">
        <v>6.0000000000000001E-3</v>
      </c>
      <c r="AH850">
        <v>2.1999999999999999E-2</v>
      </c>
      <c r="AI850">
        <v>0.80600000000000005</v>
      </c>
      <c r="AJ850">
        <v>1.877115385</v>
      </c>
      <c r="AK850">
        <v>6.531173581</v>
      </c>
      <c r="AL850">
        <v>4.3999999999999997E-2</v>
      </c>
      <c r="AM850">
        <v>4.8000000000000001E-2</v>
      </c>
      <c r="AN850">
        <v>0.84499999999999997</v>
      </c>
    </row>
    <row r="851" spans="1:40">
      <c r="A851">
        <v>2919</v>
      </c>
      <c r="B851" t="s">
        <v>709</v>
      </c>
      <c r="C851" t="s">
        <v>693</v>
      </c>
      <c r="D851" t="s">
        <v>694</v>
      </c>
      <c r="E851">
        <v>352</v>
      </c>
      <c r="F851">
        <v>1011</v>
      </c>
      <c r="G851">
        <v>128.419332</v>
      </c>
      <c r="H851">
        <v>249</v>
      </c>
      <c r="I851">
        <v>0.200740472</v>
      </c>
      <c r="J851">
        <v>1260</v>
      </c>
      <c r="K851">
        <v>6276.7611710000001</v>
      </c>
      <c r="L851">
        <v>0.89200000000000002</v>
      </c>
      <c r="M851">
        <v>0.41430948400000001</v>
      </c>
      <c r="N851">
        <v>0</v>
      </c>
      <c r="O851" t="s">
        <v>620</v>
      </c>
      <c r="P851">
        <f t="shared" si="119"/>
        <v>15.236632650000001</v>
      </c>
      <c r="Q851">
        <f t="shared" si="120"/>
        <v>7.0000000000000001E-3</v>
      </c>
      <c r="R851">
        <f t="shared" si="121"/>
        <v>1.2999999999999999E-2</v>
      </c>
      <c r="S851">
        <f t="shared" si="122"/>
        <v>0.89200000000000002</v>
      </c>
      <c r="T851">
        <f t="shared" si="123"/>
        <v>2.3144999999999998</v>
      </c>
      <c r="U851">
        <f t="shared" si="124"/>
        <v>6.741261261</v>
      </c>
      <c r="V851">
        <f t="shared" si="125"/>
        <v>2.9000000000000001E-2</v>
      </c>
      <c r="W851">
        <f t="shared" si="126"/>
        <v>3.7999999999999999E-2</v>
      </c>
      <c r="X851">
        <f t="shared" si="127"/>
        <v>0.93300000000000005</v>
      </c>
      <c r="Y851">
        <v>142.88060379999999</v>
      </c>
      <c r="Z851">
        <v>0</v>
      </c>
      <c r="AA851">
        <v>56865</v>
      </c>
      <c r="AB851">
        <v>22398</v>
      </c>
      <c r="AC851">
        <v>1.1143686E-2</v>
      </c>
      <c r="AD851">
        <v>0.81944707100000003</v>
      </c>
      <c r="AF851">
        <v>15.236632650000001</v>
      </c>
      <c r="AG851">
        <v>7.0000000000000001E-3</v>
      </c>
      <c r="AH851">
        <v>1.2999999999999999E-2</v>
      </c>
      <c r="AI851">
        <v>0.89200000000000002</v>
      </c>
      <c r="AJ851">
        <v>2.3144999999999998</v>
      </c>
      <c r="AK851">
        <v>6.741261261</v>
      </c>
      <c r="AL851">
        <v>2.9000000000000001E-2</v>
      </c>
      <c r="AM851">
        <v>3.7999999999999999E-2</v>
      </c>
      <c r="AN851">
        <v>0.93300000000000005</v>
      </c>
    </row>
    <row r="852" spans="1:40">
      <c r="A852">
        <v>2920</v>
      </c>
      <c r="B852" t="s">
        <v>692</v>
      </c>
      <c r="C852" t="s">
        <v>693</v>
      </c>
      <c r="D852" t="s">
        <v>694</v>
      </c>
      <c r="E852">
        <v>397</v>
      </c>
      <c r="F852">
        <v>1274</v>
      </c>
      <c r="G852">
        <v>117.0585172</v>
      </c>
      <c r="H852">
        <v>212</v>
      </c>
      <c r="I852">
        <v>0.18296575400000001</v>
      </c>
      <c r="J852">
        <v>1486</v>
      </c>
      <c r="K852">
        <v>8121.7384540000003</v>
      </c>
      <c r="L852">
        <v>0.86699999999999999</v>
      </c>
      <c r="M852">
        <v>0.34811165799999999</v>
      </c>
      <c r="N852">
        <v>0</v>
      </c>
      <c r="O852" t="s">
        <v>620</v>
      </c>
      <c r="P852">
        <f t="shared" si="119"/>
        <v>14.78017391</v>
      </c>
      <c r="Q852">
        <f t="shared" si="120"/>
        <v>2.5999999999999999E-2</v>
      </c>
      <c r="R852">
        <f t="shared" si="121"/>
        <v>2.7E-2</v>
      </c>
      <c r="S852">
        <f t="shared" si="122"/>
        <v>0.86699999999999999</v>
      </c>
      <c r="T852">
        <f t="shared" si="123"/>
        <v>1.9245454550000001</v>
      </c>
      <c r="U852">
        <f t="shared" si="124"/>
        <v>7.1361705200000003</v>
      </c>
      <c r="V852">
        <f t="shared" si="125"/>
        <v>3.6999999999999998E-2</v>
      </c>
      <c r="W852">
        <f t="shared" si="126"/>
        <v>0.10299999999999999</v>
      </c>
      <c r="X852">
        <f t="shared" si="127"/>
        <v>0.84599999999999997</v>
      </c>
      <c r="Y852">
        <v>91.260752760000003</v>
      </c>
      <c r="Z852">
        <v>0</v>
      </c>
      <c r="AA852">
        <v>77808</v>
      </c>
      <c r="AB852">
        <v>27489</v>
      </c>
      <c r="AC852">
        <v>1.1225541E-2</v>
      </c>
      <c r="AD852">
        <v>0.835708267</v>
      </c>
      <c r="AF852">
        <v>14.78017391</v>
      </c>
      <c r="AG852">
        <v>2.5999999999999999E-2</v>
      </c>
      <c r="AH852">
        <v>2.7E-2</v>
      </c>
      <c r="AI852">
        <v>0.86699999999999999</v>
      </c>
      <c r="AJ852">
        <v>1.9245454550000001</v>
      </c>
      <c r="AK852">
        <v>7.1361705200000003</v>
      </c>
      <c r="AL852">
        <v>3.6999999999999998E-2</v>
      </c>
      <c r="AM852">
        <v>0.10299999999999999</v>
      </c>
      <c r="AN852">
        <v>0.84599999999999997</v>
      </c>
    </row>
    <row r="853" spans="1:40">
      <c r="A853">
        <v>2921</v>
      </c>
      <c r="B853" t="s">
        <v>692</v>
      </c>
      <c r="C853" t="s">
        <v>693</v>
      </c>
      <c r="D853" t="s">
        <v>694</v>
      </c>
      <c r="E853">
        <v>164</v>
      </c>
      <c r="F853">
        <v>525</v>
      </c>
      <c r="G853">
        <v>41.06566651</v>
      </c>
      <c r="H853">
        <v>0</v>
      </c>
      <c r="I853">
        <v>6.4192008999999994E-2</v>
      </c>
      <c r="J853">
        <v>525</v>
      </c>
      <c r="K853">
        <v>8178.5880859999997</v>
      </c>
      <c r="L853">
        <v>0.79400000000000004</v>
      </c>
      <c r="M853">
        <v>0</v>
      </c>
      <c r="N853">
        <v>0</v>
      </c>
      <c r="O853" t="s">
        <v>620</v>
      </c>
      <c r="P853">
        <f t="shared" si="119"/>
        <v>17.147857139999999</v>
      </c>
      <c r="Q853">
        <f t="shared" si="120"/>
        <v>1.2828282828282822E-2</v>
      </c>
      <c r="R853">
        <f t="shared" si="121"/>
        <v>2.4E-2</v>
      </c>
      <c r="S853">
        <f t="shared" si="122"/>
        <v>0.79400000000000004</v>
      </c>
      <c r="T853">
        <f t="shared" si="123"/>
        <v>2.0562499999999999</v>
      </c>
      <c r="U853">
        <f t="shared" si="124"/>
        <v>7.2119629630000004</v>
      </c>
      <c r="V853">
        <f t="shared" si="125"/>
        <v>0.12</v>
      </c>
      <c r="W853">
        <f t="shared" si="126"/>
        <v>4.7929411764705873E-2</v>
      </c>
      <c r="X853">
        <f t="shared" si="127"/>
        <v>0.84</v>
      </c>
      <c r="Y853">
        <v>164.90384180000001</v>
      </c>
      <c r="Z853">
        <v>0</v>
      </c>
      <c r="AA853">
        <v>77808</v>
      </c>
      <c r="AB853">
        <v>27489</v>
      </c>
      <c r="AC853">
        <v>1.1225541E-2</v>
      </c>
      <c r="AD853">
        <v>0.835708267</v>
      </c>
      <c r="AF853">
        <v>17.147857139999999</v>
      </c>
      <c r="AG853">
        <v>0</v>
      </c>
      <c r="AH853">
        <v>2.4E-2</v>
      </c>
      <c r="AI853">
        <v>0.79400000000000004</v>
      </c>
      <c r="AJ853">
        <v>2.0562499999999999</v>
      </c>
      <c r="AK853">
        <v>7.2119629630000004</v>
      </c>
      <c r="AL853">
        <v>0.12</v>
      </c>
      <c r="AM853">
        <v>0</v>
      </c>
      <c r="AN853">
        <v>0.84</v>
      </c>
    </row>
    <row r="854" spans="1:40">
      <c r="A854">
        <v>2922</v>
      </c>
      <c r="B854" t="s">
        <v>683</v>
      </c>
      <c r="C854" t="s">
        <v>684</v>
      </c>
      <c r="D854" t="s">
        <v>685</v>
      </c>
      <c r="E854">
        <v>19</v>
      </c>
      <c r="F854">
        <v>75</v>
      </c>
      <c r="G854">
        <v>237.29293340000001</v>
      </c>
      <c r="H854">
        <v>3560</v>
      </c>
      <c r="I854">
        <v>0.37091215900000002</v>
      </c>
      <c r="J854">
        <v>3635</v>
      </c>
      <c r="K854">
        <v>9800.1640329999991</v>
      </c>
      <c r="L854">
        <v>0.90600000000000003</v>
      </c>
      <c r="M854">
        <v>0.994691255</v>
      </c>
      <c r="N854">
        <v>0</v>
      </c>
      <c r="O854" t="s">
        <v>620</v>
      </c>
      <c r="P854">
        <f t="shared" si="119"/>
        <v>14.01931313</v>
      </c>
      <c r="Q854">
        <f t="shared" si="120"/>
        <v>1.2E-2</v>
      </c>
      <c r="R854">
        <f t="shared" si="121"/>
        <v>1.4E-2</v>
      </c>
      <c r="S854">
        <f t="shared" si="122"/>
        <v>0.90600000000000003</v>
      </c>
      <c r="T854">
        <f t="shared" si="123"/>
        <v>2.7650000000000001</v>
      </c>
      <c r="U854">
        <f t="shared" si="124"/>
        <v>7.8632287769999998</v>
      </c>
      <c r="V854">
        <f t="shared" si="125"/>
        <v>3.5000000000000003E-2</v>
      </c>
      <c r="W854">
        <f t="shared" si="126"/>
        <v>4.3999999999999997E-2</v>
      </c>
      <c r="X854">
        <f t="shared" si="127"/>
        <v>0.91</v>
      </c>
      <c r="Y854">
        <v>51.15991829</v>
      </c>
      <c r="Z854">
        <v>0</v>
      </c>
      <c r="AA854">
        <v>75370</v>
      </c>
      <c r="AB854">
        <v>21403</v>
      </c>
      <c r="AC854">
        <v>2.4597187E-2</v>
      </c>
      <c r="AD854">
        <v>0.84342094400000001</v>
      </c>
      <c r="AF854">
        <v>14.01931313</v>
      </c>
      <c r="AG854">
        <v>1.2E-2</v>
      </c>
      <c r="AH854">
        <v>1.4E-2</v>
      </c>
      <c r="AI854">
        <v>0.90600000000000003</v>
      </c>
      <c r="AJ854">
        <v>2.7650000000000001</v>
      </c>
      <c r="AK854">
        <v>7.8632287769999998</v>
      </c>
      <c r="AL854">
        <v>3.5000000000000003E-2</v>
      </c>
      <c r="AM854">
        <v>4.3999999999999997E-2</v>
      </c>
      <c r="AN854">
        <v>0.91</v>
      </c>
    </row>
    <row r="855" spans="1:40">
      <c r="A855">
        <v>2923</v>
      </c>
      <c r="B855" t="s">
        <v>683</v>
      </c>
      <c r="C855" t="s">
        <v>684</v>
      </c>
      <c r="D855" t="s">
        <v>685</v>
      </c>
      <c r="E855">
        <v>220</v>
      </c>
      <c r="F855">
        <v>220</v>
      </c>
      <c r="G855">
        <v>121.5578039</v>
      </c>
      <c r="H855">
        <v>1816</v>
      </c>
      <c r="I855">
        <v>0.19000602699999999</v>
      </c>
      <c r="J855">
        <v>2036</v>
      </c>
      <c r="K855">
        <v>10715.449570000001</v>
      </c>
      <c r="L855">
        <v>0.81699999999999995</v>
      </c>
      <c r="M855">
        <v>0.89194499000000005</v>
      </c>
      <c r="N855">
        <v>1</v>
      </c>
      <c r="O855" t="s">
        <v>613</v>
      </c>
      <c r="P855">
        <f t="shared" si="119"/>
        <v>14.101228069999999</v>
      </c>
      <c r="Q855">
        <f t="shared" si="120"/>
        <v>2.5000000000000001E-2</v>
      </c>
      <c r="R855">
        <f t="shared" si="121"/>
        <v>1.7999999999999999E-2</v>
      </c>
      <c r="S855">
        <f t="shared" si="122"/>
        <v>0.81699999999999995</v>
      </c>
      <c r="T855">
        <f t="shared" si="123"/>
        <v>2.6607142860000002</v>
      </c>
      <c r="U855">
        <f t="shared" si="124"/>
        <v>8.7831279250000005</v>
      </c>
      <c r="V855">
        <f t="shared" si="125"/>
        <v>3.9E-2</v>
      </c>
      <c r="W855">
        <f t="shared" si="126"/>
        <v>7.2999999999999995E-2</v>
      </c>
      <c r="X855">
        <f t="shared" si="127"/>
        <v>0.86399999999999999</v>
      </c>
      <c r="Y855">
        <v>113.85386339999999</v>
      </c>
      <c r="Z855">
        <v>0</v>
      </c>
      <c r="AA855">
        <v>75370</v>
      </c>
      <c r="AB855">
        <v>21403</v>
      </c>
      <c r="AC855">
        <v>2.4597187E-2</v>
      </c>
      <c r="AD855">
        <v>0.84342094400000001</v>
      </c>
      <c r="AF855">
        <v>14.101228069999999</v>
      </c>
      <c r="AG855">
        <v>2.5000000000000001E-2</v>
      </c>
      <c r="AH855">
        <v>1.7999999999999999E-2</v>
      </c>
      <c r="AI855">
        <v>0.81699999999999995</v>
      </c>
      <c r="AJ855">
        <v>2.6607142860000002</v>
      </c>
      <c r="AK855">
        <v>8.7831279250000005</v>
      </c>
      <c r="AL855">
        <v>3.9E-2</v>
      </c>
      <c r="AM855">
        <v>7.2999999999999995E-2</v>
      </c>
      <c r="AN855">
        <v>0.86399999999999999</v>
      </c>
    </row>
    <row r="856" spans="1:40">
      <c r="A856">
        <v>2924</v>
      </c>
      <c r="B856" t="s">
        <v>683</v>
      </c>
      <c r="C856" t="s">
        <v>684</v>
      </c>
      <c r="D856" t="s">
        <v>685</v>
      </c>
      <c r="E856">
        <v>395</v>
      </c>
      <c r="F856">
        <v>1501</v>
      </c>
      <c r="G856">
        <v>57.568188820000003</v>
      </c>
      <c r="H856">
        <v>1715</v>
      </c>
      <c r="I856">
        <v>8.9993756999999994E-2</v>
      </c>
      <c r="J856">
        <v>3216</v>
      </c>
      <c r="K856">
        <v>35735.812209999996</v>
      </c>
      <c r="L856">
        <v>0.78</v>
      </c>
      <c r="M856">
        <v>0.81279620900000005</v>
      </c>
      <c r="N856">
        <v>1</v>
      </c>
      <c r="O856" t="s">
        <v>613</v>
      </c>
      <c r="P856">
        <f t="shared" si="119"/>
        <v>12.5467624</v>
      </c>
      <c r="Q856">
        <f t="shared" si="120"/>
        <v>3.3000000000000002E-2</v>
      </c>
      <c r="R856">
        <f t="shared" si="121"/>
        <v>2.1999999999999999E-2</v>
      </c>
      <c r="S856">
        <f t="shared" si="122"/>
        <v>0.78</v>
      </c>
      <c r="T856">
        <f t="shared" si="123"/>
        <v>1.9924999999999999</v>
      </c>
      <c r="U856">
        <f t="shared" si="124"/>
        <v>6.9479133019999999</v>
      </c>
      <c r="V856">
        <f t="shared" si="125"/>
        <v>3.3000000000000002E-2</v>
      </c>
      <c r="W856">
        <f t="shared" si="126"/>
        <v>0.111</v>
      </c>
      <c r="X856">
        <f t="shared" si="127"/>
        <v>0.78500000000000003</v>
      </c>
      <c r="Y856">
        <v>119.45155320000001</v>
      </c>
      <c r="Z856">
        <v>0</v>
      </c>
      <c r="AA856">
        <v>75370</v>
      </c>
      <c r="AB856">
        <v>21403</v>
      </c>
      <c r="AC856">
        <v>2.4597187E-2</v>
      </c>
      <c r="AD856">
        <v>0.84342094400000001</v>
      </c>
      <c r="AF856">
        <v>12.5467624</v>
      </c>
      <c r="AG856">
        <v>3.3000000000000002E-2</v>
      </c>
      <c r="AH856">
        <v>2.1999999999999999E-2</v>
      </c>
      <c r="AI856">
        <v>0.78</v>
      </c>
      <c r="AJ856">
        <v>1.9924999999999999</v>
      </c>
      <c r="AK856">
        <v>6.9479133019999999</v>
      </c>
      <c r="AL856">
        <v>3.3000000000000002E-2</v>
      </c>
      <c r="AM856">
        <v>0.111</v>
      </c>
      <c r="AN856">
        <v>0.78500000000000003</v>
      </c>
    </row>
    <row r="857" spans="1:40">
      <c r="A857">
        <v>2925</v>
      </c>
      <c r="B857" t="s">
        <v>708</v>
      </c>
      <c r="C857" t="s">
        <v>696</v>
      </c>
      <c r="D857" t="s">
        <v>697</v>
      </c>
      <c r="E857">
        <v>369</v>
      </c>
      <c r="F857">
        <v>1300</v>
      </c>
      <c r="G857">
        <v>68.520131669999998</v>
      </c>
      <c r="H857">
        <v>201</v>
      </c>
      <c r="I857">
        <v>0.10710887400000001</v>
      </c>
      <c r="J857">
        <v>1501</v>
      </c>
      <c r="K857">
        <v>14013.77817</v>
      </c>
      <c r="L857">
        <v>0.81499999999999995</v>
      </c>
      <c r="M857">
        <v>0.35263157899999997</v>
      </c>
      <c r="N857">
        <v>0</v>
      </c>
      <c r="O857" t="s">
        <v>620</v>
      </c>
      <c r="P857">
        <f t="shared" si="119"/>
        <v>12.67895652</v>
      </c>
      <c r="Q857">
        <f t="shared" si="120"/>
        <v>3.4000000000000002E-2</v>
      </c>
      <c r="R857">
        <f t="shared" si="121"/>
        <v>0.02</v>
      </c>
      <c r="S857">
        <f t="shared" si="122"/>
        <v>0.81499999999999995</v>
      </c>
      <c r="T857">
        <f t="shared" si="123"/>
        <v>2.3161111110000001</v>
      </c>
      <c r="U857">
        <f t="shared" si="124"/>
        <v>6.350962343</v>
      </c>
      <c r="V857">
        <f t="shared" si="125"/>
        <v>1.4E-2</v>
      </c>
      <c r="W857">
        <f t="shared" si="126"/>
        <v>0.12</v>
      </c>
      <c r="X857">
        <f t="shared" si="127"/>
        <v>0.81</v>
      </c>
      <c r="Y857">
        <v>80.65916704</v>
      </c>
      <c r="Z857">
        <v>0</v>
      </c>
      <c r="AA857">
        <v>14998</v>
      </c>
      <c r="AB857">
        <v>4485</v>
      </c>
      <c r="AC857">
        <v>2.8516413000000001E-2</v>
      </c>
      <c r="AD857">
        <v>0.81835686799999996</v>
      </c>
      <c r="AF857">
        <v>12.67895652</v>
      </c>
      <c r="AG857">
        <v>3.4000000000000002E-2</v>
      </c>
      <c r="AH857">
        <v>0.02</v>
      </c>
      <c r="AI857">
        <v>0.81499999999999995</v>
      </c>
      <c r="AJ857">
        <v>2.3161111110000001</v>
      </c>
      <c r="AK857">
        <v>6.350962343</v>
      </c>
      <c r="AL857">
        <v>1.4E-2</v>
      </c>
      <c r="AM857">
        <v>0.12</v>
      </c>
      <c r="AN857">
        <v>0.81</v>
      </c>
    </row>
    <row r="858" spans="1:40">
      <c r="A858">
        <v>2926</v>
      </c>
      <c r="B858" t="s">
        <v>683</v>
      </c>
      <c r="C858" t="s">
        <v>684</v>
      </c>
      <c r="D858" t="s">
        <v>685</v>
      </c>
      <c r="E858">
        <v>143</v>
      </c>
      <c r="F858">
        <v>490</v>
      </c>
      <c r="G858">
        <v>270.43546300000003</v>
      </c>
      <c r="H858">
        <v>3737</v>
      </c>
      <c r="I858">
        <v>0.422705096</v>
      </c>
      <c r="J858">
        <v>4227</v>
      </c>
      <c r="K858">
        <v>9999.8794429999998</v>
      </c>
      <c r="L858">
        <v>0.88500000000000001</v>
      </c>
      <c r="M858">
        <v>0.96314432999999999</v>
      </c>
      <c r="N858">
        <v>0</v>
      </c>
      <c r="O858" t="s">
        <v>620</v>
      </c>
      <c r="P858">
        <f t="shared" si="119"/>
        <v>12.92585895</v>
      </c>
      <c r="Q858">
        <f t="shared" si="120"/>
        <v>0.02</v>
      </c>
      <c r="R858">
        <f t="shared" si="121"/>
        <v>1.0999999999999999E-2</v>
      </c>
      <c r="S858">
        <f t="shared" si="122"/>
        <v>0.88500000000000001</v>
      </c>
      <c r="T858">
        <f t="shared" si="123"/>
        <v>2.103448276</v>
      </c>
      <c r="U858">
        <f t="shared" si="124"/>
        <v>8.2259086959999994</v>
      </c>
      <c r="V858">
        <f t="shared" si="125"/>
        <v>1.4999999999999999E-2</v>
      </c>
      <c r="W858">
        <f t="shared" si="126"/>
        <v>6.0999999999999999E-2</v>
      </c>
      <c r="X858">
        <f t="shared" si="127"/>
        <v>0.91100000000000003</v>
      </c>
      <c r="Y858">
        <v>43.712312840000003</v>
      </c>
      <c r="Z858">
        <v>0</v>
      </c>
      <c r="AA858">
        <v>75370</v>
      </c>
      <c r="AB858">
        <v>21403</v>
      </c>
      <c r="AC858">
        <v>2.4597187E-2</v>
      </c>
      <c r="AD858">
        <v>0.84342094400000001</v>
      </c>
      <c r="AF858">
        <v>12.92585895</v>
      </c>
      <c r="AG858">
        <v>0.02</v>
      </c>
      <c r="AH858">
        <v>1.0999999999999999E-2</v>
      </c>
      <c r="AI858">
        <v>0.88500000000000001</v>
      </c>
      <c r="AJ858">
        <v>2.103448276</v>
      </c>
      <c r="AK858">
        <v>8.2259086959999994</v>
      </c>
      <c r="AL858">
        <v>1.4999999999999999E-2</v>
      </c>
      <c r="AM858">
        <v>6.0999999999999999E-2</v>
      </c>
      <c r="AN858">
        <v>0.91100000000000003</v>
      </c>
    </row>
    <row r="859" spans="1:40">
      <c r="A859">
        <v>2927</v>
      </c>
      <c r="B859" t="s">
        <v>689</v>
      </c>
      <c r="C859" t="s">
        <v>687</v>
      </c>
      <c r="D859" t="s">
        <v>688</v>
      </c>
      <c r="E859">
        <v>311</v>
      </c>
      <c r="F859">
        <v>658</v>
      </c>
      <c r="G859">
        <v>19.237684049999999</v>
      </c>
      <c r="H859">
        <v>158</v>
      </c>
      <c r="I859">
        <v>3.0073906000000001E-2</v>
      </c>
      <c r="J859">
        <v>816</v>
      </c>
      <c r="K859">
        <v>27133.156559999999</v>
      </c>
      <c r="L859">
        <v>0.68500000000000005</v>
      </c>
      <c r="M859">
        <v>0.336886994</v>
      </c>
      <c r="N859">
        <v>1</v>
      </c>
      <c r="O859" t="s">
        <v>606</v>
      </c>
      <c r="P859">
        <f t="shared" si="119"/>
        <v>6.3445614040000002</v>
      </c>
      <c r="Q859">
        <f t="shared" si="120"/>
        <v>8.1000000000000003E-2</v>
      </c>
      <c r="R859">
        <f t="shared" si="121"/>
        <v>2.4E-2</v>
      </c>
      <c r="S859">
        <f t="shared" si="122"/>
        <v>0.68500000000000005</v>
      </c>
      <c r="T859">
        <f t="shared" si="123"/>
        <v>2.7771428569999999</v>
      </c>
      <c r="U859">
        <f t="shared" si="124"/>
        <v>5.0083827489999999</v>
      </c>
      <c r="V859">
        <f t="shared" si="125"/>
        <v>8.8999999999999996E-2</v>
      </c>
      <c r="W859">
        <f t="shared" si="126"/>
        <v>0.17799999999999999</v>
      </c>
      <c r="X859">
        <f t="shared" si="127"/>
        <v>0.63300000000000001</v>
      </c>
      <c r="Y859">
        <v>113.2430071</v>
      </c>
      <c r="Z859">
        <v>0</v>
      </c>
      <c r="AA859">
        <v>454184</v>
      </c>
      <c r="AB859">
        <v>170596</v>
      </c>
      <c r="AC859">
        <v>6.5715274000000004E-2</v>
      </c>
      <c r="AD859">
        <v>0.72549415100000003</v>
      </c>
      <c r="AF859">
        <v>6.3445614040000002</v>
      </c>
      <c r="AG859">
        <v>8.1000000000000003E-2</v>
      </c>
      <c r="AH859">
        <v>2.4E-2</v>
      </c>
      <c r="AI859">
        <v>0.68500000000000005</v>
      </c>
      <c r="AJ859">
        <v>2.7771428569999999</v>
      </c>
      <c r="AK859">
        <v>5.0083827489999999</v>
      </c>
      <c r="AL859">
        <v>8.8999999999999996E-2</v>
      </c>
      <c r="AM859">
        <v>0.17799999999999999</v>
      </c>
      <c r="AN859">
        <v>0.63300000000000001</v>
      </c>
    </row>
    <row r="860" spans="1:40">
      <c r="A860">
        <v>2928</v>
      </c>
      <c r="B860" t="s">
        <v>689</v>
      </c>
      <c r="C860" t="s">
        <v>687</v>
      </c>
      <c r="D860" t="s">
        <v>688</v>
      </c>
      <c r="E860">
        <v>393</v>
      </c>
      <c r="F860">
        <v>817</v>
      </c>
      <c r="G860">
        <v>41.636231950000003</v>
      </c>
      <c r="H860">
        <v>532</v>
      </c>
      <c r="I860">
        <v>6.5085822000000002E-2</v>
      </c>
      <c r="J860">
        <v>1349</v>
      </c>
      <c r="K860">
        <v>20726.480179999999</v>
      </c>
      <c r="L860">
        <v>0.73399999999999999</v>
      </c>
      <c r="M860">
        <v>0.57513513500000002</v>
      </c>
      <c r="N860">
        <v>1</v>
      </c>
      <c r="O860" t="s">
        <v>613</v>
      </c>
      <c r="P860">
        <f t="shared" si="119"/>
        <v>11.279937110000001</v>
      </c>
      <c r="Q860">
        <f t="shared" si="120"/>
        <v>0.107</v>
      </c>
      <c r="R860">
        <f t="shared" si="121"/>
        <v>1.9E-2</v>
      </c>
      <c r="S860">
        <f t="shared" si="122"/>
        <v>0.73399999999999999</v>
      </c>
      <c r="T860">
        <f t="shared" si="123"/>
        <v>1.732272727</v>
      </c>
      <c r="U860">
        <f t="shared" si="124"/>
        <v>6.3350298690000004</v>
      </c>
      <c r="V860">
        <f t="shared" si="125"/>
        <v>3.7999999999999999E-2</v>
      </c>
      <c r="W860">
        <f t="shared" si="126"/>
        <v>0.23300000000000001</v>
      </c>
      <c r="X860">
        <f t="shared" si="127"/>
        <v>0.67400000000000004</v>
      </c>
      <c r="Y860">
        <v>153.91511550000001</v>
      </c>
      <c r="Z860">
        <v>0</v>
      </c>
      <c r="AA860">
        <v>454184</v>
      </c>
      <c r="AB860">
        <v>170596</v>
      </c>
      <c r="AC860">
        <v>6.5715274000000004E-2</v>
      </c>
      <c r="AD860">
        <v>0.72549415100000003</v>
      </c>
      <c r="AF860">
        <v>11.279937110000001</v>
      </c>
      <c r="AG860">
        <v>0.107</v>
      </c>
      <c r="AH860">
        <v>1.9E-2</v>
      </c>
      <c r="AI860">
        <v>0.73399999999999999</v>
      </c>
      <c r="AJ860">
        <v>1.732272727</v>
      </c>
      <c r="AK860">
        <v>6.3350298690000004</v>
      </c>
      <c r="AL860">
        <v>3.7999999999999999E-2</v>
      </c>
      <c r="AM860">
        <v>0.23300000000000001</v>
      </c>
      <c r="AN860">
        <v>0.67400000000000004</v>
      </c>
    </row>
    <row r="861" spans="1:40">
      <c r="A861">
        <v>2929</v>
      </c>
      <c r="B861" t="s">
        <v>689</v>
      </c>
      <c r="C861" t="s">
        <v>687</v>
      </c>
      <c r="D861" t="s">
        <v>688</v>
      </c>
      <c r="E861">
        <v>863</v>
      </c>
      <c r="F861">
        <v>1622</v>
      </c>
      <c r="G861">
        <v>36.075739910000003</v>
      </c>
      <c r="H861">
        <v>1656</v>
      </c>
      <c r="I861">
        <v>5.6393290999999998E-2</v>
      </c>
      <c r="J861">
        <v>3278</v>
      </c>
      <c r="K861">
        <v>58127.481870000003</v>
      </c>
      <c r="L861">
        <v>0.55000000000000004</v>
      </c>
      <c r="M861">
        <v>0.65740373200000002</v>
      </c>
      <c r="N861">
        <v>1</v>
      </c>
      <c r="O861" t="s">
        <v>606</v>
      </c>
      <c r="P861">
        <f t="shared" si="119"/>
        <v>12.287717389999999</v>
      </c>
      <c r="Q861">
        <f t="shared" si="120"/>
        <v>0.14099999999999999</v>
      </c>
      <c r="R861">
        <f t="shared" si="121"/>
        <v>3.6999999999999998E-2</v>
      </c>
      <c r="S861">
        <f t="shared" si="122"/>
        <v>0.55000000000000004</v>
      </c>
      <c r="T861">
        <f t="shared" si="123"/>
        <v>1.8548684209999999</v>
      </c>
      <c r="U861">
        <f t="shared" si="124"/>
        <v>6.6860759490000001</v>
      </c>
      <c r="V861">
        <f t="shared" si="125"/>
        <v>8.5000000000000006E-2</v>
      </c>
      <c r="W861">
        <f t="shared" si="126"/>
        <v>0.32700000000000001</v>
      </c>
      <c r="X861">
        <f t="shared" si="127"/>
        <v>0.46200000000000002</v>
      </c>
      <c r="Y861">
        <v>70.49850807</v>
      </c>
      <c r="Z861">
        <v>0</v>
      </c>
      <c r="AA861">
        <v>454184</v>
      </c>
      <c r="AB861">
        <v>170596</v>
      </c>
      <c r="AC861">
        <v>6.5715274000000004E-2</v>
      </c>
      <c r="AD861">
        <v>0.72549415100000003</v>
      </c>
      <c r="AF861">
        <v>12.287717389999999</v>
      </c>
      <c r="AG861">
        <v>0.14099999999999999</v>
      </c>
      <c r="AH861">
        <v>3.6999999999999998E-2</v>
      </c>
      <c r="AI861">
        <v>0.55000000000000004</v>
      </c>
      <c r="AJ861">
        <v>1.8548684209999999</v>
      </c>
      <c r="AK861">
        <v>6.6860759490000001</v>
      </c>
      <c r="AL861">
        <v>8.5000000000000006E-2</v>
      </c>
      <c r="AM861">
        <v>0.32700000000000001</v>
      </c>
      <c r="AN861">
        <v>0.46200000000000002</v>
      </c>
    </row>
    <row r="862" spans="1:40">
      <c r="A862">
        <v>2930</v>
      </c>
      <c r="B862" t="s">
        <v>698</v>
      </c>
      <c r="C862" t="s">
        <v>693</v>
      </c>
      <c r="D862" t="s">
        <v>694</v>
      </c>
      <c r="E862">
        <v>575</v>
      </c>
      <c r="F862">
        <v>670</v>
      </c>
      <c r="G862">
        <v>81.793033129999998</v>
      </c>
      <c r="H862">
        <v>12</v>
      </c>
      <c r="I862">
        <v>0.12785026599999999</v>
      </c>
      <c r="J862">
        <v>682</v>
      </c>
      <c r="K862">
        <v>5334.3651239999999</v>
      </c>
      <c r="L862">
        <v>0.74299999999999999</v>
      </c>
      <c r="M862">
        <v>2.0442930000000002E-2</v>
      </c>
      <c r="N862">
        <v>0</v>
      </c>
      <c r="O862" t="s">
        <v>620</v>
      </c>
      <c r="P862">
        <f t="shared" si="119"/>
        <v>18.037164180000001</v>
      </c>
      <c r="Q862">
        <f t="shared" si="120"/>
        <v>0.02</v>
      </c>
      <c r="R862">
        <f t="shared" si="121"/>
        <v>2.7E-2</v>
      </c>
      <c r="S862">
        <f t="shared" si="122"/>
        <v>0.74299999999999999</v>
      </c>
      <c r="T862">
        <f t="shared" si="123"/>
        <v>1.9350000000000001</v>
      </c>
      <c r="U862">
        <f t="shared" si="124"/>
        <v>7.7716172510000003</v>
      </c>
      <c r="V862">
        <f t="shared" si="125"/>
        <v>2.9000000000000001E-2</v>
      </c>
      <c r="W862">
        <f t="shared" si="126"/>
        <v>1.4E-2</v>
      </c>
      <c r="X862">
        <f t="shared" si="127"/>
        <v>0.95699999999999996</v>
      </c>
      <c r="Y862">
        <v>96.871288129999996</v>
      </c>
      <c r="Z862">
        <v>0</v>
      </c>
      <c r="AA862">
        <v>88250</v>
      </c>
      <c r="AB862">
        <v>31723</v>
      </c>
      <c r="AC862">
        <v>1.0795895999999999E-2</v>
      </c>
      <c r="AD862">
        <v>0.817760245</v>
      </c>
      <c r="AF862">
        <v>18.037164180000001</v>
      </c>
      <c r="AG862">
        <v>0.02</v>
      </c>
      <c r="AH862">
        <v>2.7E-2</v>
      </c>
      <c r="AI862">
        <v>0.74299999999999999</v>
      </c>
      <c r="AJ862">
        <v>1.9350000000000001</v>
      </c>
      <c r="AK862">
        <v>7.7716172510000003</v>
      </c>
      <c r="AL862">
        <v>2.9000000000000001E-2</v>
      </c>
      <c r="AM862">
        <v>1.4E-2</v>
      </c>
      <c r="AN862">
        <v>0.95699999999999996</v>
      </c>
    </row>
    <row r="863" spans="1:40">
      <c r="A863">
        <v>2931</v>
      </c>
      <c r="B863" t="s">
        <v>691</v>
      </c>
      <c r="C863" t="s">
        <v>684</v>
      </c>
      <c r="D863" t="s">
        <v>685</v>
      </c>
      <c r="E863">
        <v>504</v>
      </c>
      <c r="F863">
        <v>1452</v>
      </c>
      <c r="G863">
        <v>108.0855801</v>
      </c>
      <c r="H863">
        <v>177</v>
      </c>
      <c r="I863">
        <v>0.16894359</v>
      </c>
      <c r="J863">
        <v>1629</v>
      </c>
      <c r="K863">
        <v>9642.2717190000003</v>
      </c>
      <c r="L863">
        <v>0.9</v>
      </c>
      <c r="M863">
        <v>0.25991189399999998</v>
      </c>
      <c r="N863">
        <v>0</v>
      </c>
      <c r="O863" t="s">
        <v>620</v>
      </c>
      <c r="P863">
        <f t="shared" si="119"/>
        <v>12.78376344</v>
      </c>
      <c r="Q863">
        <f t="shared" si="120"/>
        <v>1.4999999999999999E-2</v>
      </c>
      <c r="R863">
        <f t="shared" si="121"/>
        <v>2.3E-2</v>
      </c>
      <c r="S863">
        <f t="shared" si="122"/>
        <v>0.9</v>
      </c>
      <c r="T863">
        <f t="shared" si="123"/>
        <v>3.0011111110000002</v>
      </c>
      <c r="U863">
        <f t="shared" si="124"/>
        <v>8.7481518620000003</v>
      </c>
      <c r="V863">
        <f t="shared" si="125"/>
        <v>3.5000000000000003E-2</v>
      </c>
      <c r="W863">
        <f t="shared" si="126"/>
        <v>3.5000000000000003E-2</v>
      </c>
      <c r="X863">
        <f t="shared" si="127"/>
        <v>0.92500000000000004</v>
      </c>
      <c r="Y863">
        <v>154.28485900000001</v>
      </c>
      <c r="Z863">
        <v>0</v>
      </c>
      <c r="AA863">
        <v>236250</v>
      </c>
      <c r="AB863">
        <v>76158</v>
      </c>
      <c r="AC863">
        <v>1.7652984E-2</v>
      </c>
      <c r="AD863">
        <v>0.84750225300000004</v>
      </c>
      <c r="AF863">
        <v>12.78376344</v>
      </c>
      <c r="AG863">
        <v>1.4999999999999999E-2</v>
      </c>
      <c r="AH863">
        <v>2.3E-2</v>
      </c>
      <c r="AI863">
        <v>0.9</v>
      </c>
      <c r="AJ863">
        <v>3.0011111110000002</v>
      </c>
      <c r="AK863">
        <v>8.7481518620000003</v>
      </c>
      <c r="AL863">
        <v>3.5000000000000003E-2</v>
      </c>
      <c r="AM863">
        <v>3.5000000000000003E-2</v>
      </c>
      <c r="AN863">
        <v>0.92500000000000004</v>
      </c>
    </row>
    <row r="864" spans="1:40">
      <c r="A864">
        <v>2932</v>
      </c>
      <c r="B864" t="s">
        <v>691</v>
      </c>
      <c r="C864" t="s">
        <v>684</v>
      </c>
      <c r="D864" t="s">
        <v>685</v>
      </c>
      <c r="E864">
        <v>1085</v>
      </c>
      <c r="F864">
        <v>3838</v>
      </c>
      <c r="G864">
        <v>359.88776439999998</v>
      </c>
      <c r="H864">
        <v>114</v>
      </c>
      <c r="I864">
        <v>0.56252314599999997</v>
      </c>
      <c r="J864">
        <v>3952</v>
      </c>
      <c r="K864">
        <v>7025.4886900000001</v>
      </c>
      <c r="L864">
        <v>0.81899999999999995</v>
      </c>
      <c r="M864">
        <v>9.5079232999999999E-2</v>
      </c>
      <c r="N864">
        <v>0</v>
      </c>
      <c r="O864" t="s">
        <v>625</v>
      </c>
      <c r="P864">
        <f t="shared" si="119"/>
        <v>11.35418129</v>
      </c>
      <c r="Q864">
        <f t="shared" si="120"/>
        <v>1.2999999999999999E-2</v>
      </c>
      <c r="R864">
        <f t="shared" si="121"/>
        <v>1.7999999999999999E-2</v>
      </c>
      <c r="S864">
        <f t="shared" si="122"/>
        <v>0.81899999999999995</v>
      </c>
      <c r="T864">
        <f t="shared" si="123"/>
        <v>2.1092499999999998</v>
      </c>
      <c r="U864">
        <f t="shared" si="124"/>
        <v>7.8459199999999996</v>
      </c>
      <c r="V864">
        <f t="shared" si="125"/>
        <v>2.7E-2</v>
      </c>
      <c r="W864">
        <f t="shared" si="126"/>
        <v>4.2999999999999997E-2</v>
      </c>
      <c r="X864">
        <f t="shared" si="127"/>
        <v>0.92400000000000004</v>
      </c>
      <c r="Y864">
        <v>122.5228395</v>
      </c>
      <c r="Z864">
        <v>0</v>
      </c>
      <c r="AA864">
        <v>236250</v>
      </c>
      <c r="AB864">
        <v>76158</v>
      </c>
      <c r="AC864">
        <v>1.7652984E-2</v>
      </c>
      <c r="AD864">
        <v>0.84750225300000004</v>
      </c>
      <c r="AF864">
        <v>11.35418129</v>
      </c>
      <c r="AG864">
        <v>1.2999999999999999E-2</v>
      </c>
      <c r="AH864">
        <v>1.7999999999999999E-2</v>
      </c>
      <c r="AI864">
        <v>0.81899999999999995</v>
      </c>
      <c r="AJ864">
        <v>2.1092499999999998</v>
      </c>
      <c r="AK864">
        <v>7.8459199999999996</v>
      </c>
      <c r="AL864">
        <v>2.7E-2</v>
      </c>
      <c r="AM864">
        <v>4.2999999999999997E-2</v>
      </c>
      <c r="AN864">
        <v>0.92400000000000004</v>
      </c>
    </row>
    <row r="865" spans="1:40">
      <c r="A865">
        <v>2933</v>
      </c>
      <c r="B865" t="s">
        <v>692</v>
      </c>
      <c r="C865" t="s">
        <v>693</v>
      </c>
      <c r="D865" t="s">
        <v>694</v>
      </c>
      <c r="E865">
        <v>390</v>
      </c>
      <c r="F865">
        <v>1177</v>
      </c>
      <c r="G865">
        <v>91.408234550000003</v>
      </c>
      <c r="H865">
        <v>0</v>
      </c>
      <c r="I865">
        <v>0.14288321500000001</v>
      </c>
      <c r="J865">
        <v>1177</v>
      </c>
      <c r="K865">
        <v>8237.4966160000004</v>
      </c>
      <c r="L865">
        <v>0.82499999999999996</v>
      </c>
      <c r="M865">
        <v>0</v>
      </c>
      <c r="N865">
        <v>0</v>
      </c>
      <c r="O865" t="s">
        <v>620</v>
      </c>
      <c r="P865">
        <f t="shared" si="119"/>
        <v>14.02419048</v>
      </c>
      <c r="Q865">
        <f t="shared" si="120"/>
        <v>0.01</v>
      </c>
      <c r="R865">
        <f t="shared" si="121"/>
        <v>2.3E-2</v>
      </c>
      <c r="S865">
        <f t="shared" si="122"/>
        <v>0.82499999999999996</v>
      </c>
      <c r="T865">
        <f t="shared" si="123"/>
        <v>1.597777778</v>
      </c>
      <c r="U865">
        <f t="shared" si="124"/>
        <v>6.7165282389999996</v>
      </c>
      <c r="V865">
        <f t="shared" si="125"/>
        <v>3.5000000000000003E-2</v>
      </c>
      <c r="W865">
        <f t="shared" si="126"/>
        <v>1.7000000000000001E-2</v>
      </c>
      <c r="X865">
        <f t="shared" si="127"/>
        <v>0.91300000000000003</v>
      </c>
      <c r="Y865">
        <v>128.32205149999999</v>
      </c>
      <c r="Z865">
        <v>0</v>
      </c>
      <c r="AA865">
        <v>77808</v>
      </c>
      <c r="AB865">
        <v>27489</v>
      </c>
      <c r="AC865">
        <v>1.1225541E-2</v>
      </c>
      <c r="AD865">
        <v>0.835708267</v>
      </c>
      <c r="AF865">
        <v>14.02419048</v>
      </c>
      <c r="AG865">
        <v>0.01</v>
      </c>
      <c r="AH865">
        <v>2.3E-2</v>
      </c>
      <c r="AI865">
        <v>0.82499999999999996</v>
      </c>
      <c r="AJ865">
        <v>1.597777778</v>
      </c>
      <c r="AK865">
        <v>6.7165282389999996</v>
      </c>
      <c r="AL865">
        <v>3.5000000000000003E-2</v>
      </c>
      <c r="AM865">
        <v>1.7000000000000001E-2</v>
      </c>
      <c r="AN865">
        <v>0.91300000000000003</v>
      </c>
    </row>
    <row r="866" spans="1:40">
      <c r="A866">
        <v>2934</v>
      </c>
      <c r="B866" t="s">
        <v>698</v>
      </c>
      <c r="C866" t="s">
        <v>693</v>
      </c>
      <c r="D866" t="s">
        <v>694</v>
      </c>
      <c r="E866">
        <v>351</v>
      </c>
      <c r="F866">
        <v>407</v>
      </c>
      <c r="G866">
        <v>39.88030809</v>
      </c>
      <c r="H866">
        <v>486</v>
      </c>
      <c r="I866">
        <v>6.2334644000000002E-2</v>
      </c>
      <c r="J866">
        <v>893</v>
      </c>
      <c r="K866">
        <v>14325.901980000001</v>
      </c>
      <c r="L866">
        <v>0.74399999999999999</v>
      </c>
      <c r="M866">
        <v>0.58064516099999997</v>
      </c>
      <c r="N866">
        <v>0</v>
      </c>
      <c r="O866" t="s">
        <v>620</v>
      </c>
      <c r="P866">
        <f t="shared" si="119"/>
        <v>15.996486490000001</v>
      </c>
      <c r="Q866">
        <f t="shared" si="120"/>
        <v>6.0000000000000001E-3</v>
      </c>
      <c r="R866">
        <f t="shared" si="121"/>
        <v>2.4E-2</v>
      </c>
      <c r="S866">
        <f t="shared" si="122"/>
        <v>0.74399999999999999</v>
      </c>
      <c r="T866">
        <f t="shared" si="123"/>
        <v>1.3588235289999999</v>
      </c>
      <c r="U866">
        <f t="shared" si="124"/>
        <v>5.6260994259999997</v>
      </c>
      <c r="V866">
        <f t="shared" si="125"/>
        <v>0.08</v>
      </c>
      <c r="W866">
        <f t="shared" si="126"/>
        <v>0.06</v>
      </c>
      <c r="X866">
        <f t="shared" si="127"/>
        <v>0.74</v>
      </c>
      <c r="Y866">
        <v>122.1569045</v>
      </c>
      <c r="Z866">
        <v>0</v>
      </c>
      <c r="AA866">
        <v>88250</v>
      </c>
      <c r="AB866">
        <v>31723</v>
      </c>
      <c r="AC866">
        <v>1.0795895999999999E-2</v>
      </c>
      <c r="AD866">
        <v>0.817760245</v>
      </c>
      <c r="AF866">
        <v>15.996486490000001</v>
      </c>
      <c r="AG866">
        <v>6.0000000000000001E-3</v>
      </c>
      <c r="AH866">
        <v>2.4E-2</v>
      </c>
      <c r="AI866">
        <v>0.74399999999999999</v>
      </c>
      <c r="AJ866">
        <v>1.3588235289999999</v>
      </c>
      <c r="AK866">
        <v>5.6260994259999997</v>
      </c>
      <c r="AL866">
        <v>0.08</v>
      </c>
      <c r="AM866">
        <v>0.06</v>
      </c>
      <c r="AN866">
        <v>0.74</v>
      </c>
    </row>
    <row r="867" spans="1:40">
      <c r="A867">
        <v>2935</v>
      </c>
      <c r="B867" t="s">
        <v>698</v>
      </c>
      <c r="C867" t="s">
        <v>693</v>
      </c>
      <c r="D867" t="s">
        <v>694</v>
      </c>
      <c r="E867">
        <v>546</v>
      </c>
      <c r="F867">
        <v>1412</v>
      </c>
      <c r="G867">
        <v>547.61269570000002</v>
      </c>
      <c r="H867">
        <v>2681</v>
      </c>
      <c r="I867">
        <v>0.85598891899999996</v>
      </c>
      <c r="J867">
        <v>4093</v>
      </c>
      <c r="K867">
        <v>4781.6039540000002</v>
      </c>
      <c r="L867">
        <v>0.83</v>
      </c>
      <c r="M867">
        <v>0.83080260299999997</v>
      </c>
      <c r="N867">
        <v>0</v>
      </c>
      <c r="O867" t="s">
        <v>620</v>
      </c>
      <c r="P867">
        <f t="shared" si="119"/>
        <v>18.45181818</v>
      </c>
      <c r="Q867">
        <f t="shared" si="120"/>
        <v>5.0000000000000001E-3</v>
      </c>
      <c r="R867">
        <f t="shared" si="121"/>
        <v>2.1999999999999999E-2</v>
      </c>
      <c r="S867">
        <f t="shared" si="122"/>
        <v>0.83</v>
      </c>
      <c r="T867">
        <f t="shared" si="123"/>
        <v>2.3214000000000001</v>
      </c>
      <c r="U867">
        <f t="shared" si="124"/>
        <v>9.9292807669999998</v>
      </c>
      <c r="V867">
        <f t="shared" si="125"/>
        <v>3.5999999999999997E-2</v>
      </c>
      <c r="W867">
        <f t="shared" si="126"/>
        <v>6.0000000000000001E-3</v>
      </c>
      <c r="X867">
        <f t="shared" si="127"/>
        <v>0.94299999999999995</v>
      </c>
      <c r="Y867">
        <v>87.882659919999995</v>
      </c>
      <c r="Z867">
        <v>0</v>
      </c>
      <c r="AA867">
        <v>88250</v>
      </c>
      <c r="AB867">
        <v>31723</v>
      </c>
      <c r="AC867">
        <v>1.0795895999999999E-2</v>
      </c>
      <c r="AD867">
        <v>0.817760245</v>
      </c>
      <c r="AF867">
        <v>18.45181818</v>
      </c>
      <c r="AG867">
        <v>5.0000000000000001E-3</v>
      </c>
      <c r="AH867">
        <v>2.1999999999999999E-2</v>
      </c>
      <c r="AI867">
        <v>0.83</v>
      </c>
      <c r="AJ867">
        <v>2.3214000000000001</v>
      </c>
      <c r="AK867">
        <v>9.9292807669999998</v>
      </c>
      <c r="AL867">
        <v>3.5999999999999997E-2</v>
      </c>
      <c r="AM867">
        <v>6.0000000000000001E-3</v>
      </c>
      <c r="AN867">
        <v>0.94299999999999995</v>
      </c>
    </row>
    <row r="868" spans="1:40">
      <c r="A868">
        <v>2936</v>
      </c>
      <c r="B868" t="s">
        <v>683</v>
      </c>
      <c r="C868" t="s">
        <v>684</v>
      </c>
      <c r="D868" t="s">
        <v>685</v>
      </c>
      <c r="E868">
        <v>0</v>
      </c>
      <c r="F868">
        <v>16</v>
      </c>
      <c r="G868">
        <v>120.1659576</v>
      </c>
      <c r="H868">
        <v>1280</v>
      </c>
      <c r="I868">
        <v>0.18783144299999999</v>
      </c>
      <c r="J868">
        <v>1296</v>
      </c>
      <c r="K868">
        <v>6899.8032450000001</v>
      </c>
      <c r="L868">
        <v>0.89200000000000002</v>
      </c>
      <c r="M868" s="515">
        <v>1</v>
      </c>
      <c r="N868">
        <v>0</v>
      </c>
      <c r="O868" t="s">
        <v>620</v>
      </c>
      <c r="P868">
        <f t="shared" si="119"/>
        <v>14.938000000000001</v>
      </c>
      <c r="Q868">
        <f t="shared" si="120"/>
        <v>1.7999999999999999E-2</v>
      </c>
      <c r="R868">
        <f t="shared" si="121"/>
        <v>1.2999999999999999E-2</v>
      </c>
      <c r="S868">
        <f t="shared" si="122"/>
        <v>0.89200000000000002</v>
      </c>
      <c r="T868">
        <f t="shared" si="123"/>
        <v>2.3808823530000001</v>
      </c>
      <c r="U868">
        <f t="shared" si="124"/>
        <v>6.6146173800000003</v>
      </c>
      <c r="V868">
        <f t="shared" si="125"/>
        <v>1.7999999999999999E-2</v>
      </c>
      <c r="W868">
        <f t="shared" si="126"/>
        <v>0.03</v>
      </c>
      <c r="X868">
        <f t="shared" si="127"/>
        <v>0.88400000000000001</v>
      </c>
      <c r="Y868">
        <v>97.101089759999994</v>
      </c>
      <c r="Z868">
        <v>0</v>
      </c>
      <c r="AA868">
        <v>75370</v>
      </c>
      <c r="AB868">
        <v>21403</v>
      </c>
      <c r="AC868">
        <v>2.4597187E-2</v>
      </c>
      <c r="AD868">
        <v>0.84342094400000001</v>
      </c>
      <c r="AF868">
        <v>14.938000000000001</v>
      </c>
      <c r="AG868">
        <v>1.7999999999999999E-2</v>
      </c>
      <c r="AH868">
        <v>1.2999999999999999E-2</v>
      </c>
      <c r="AI868">
        <v>0.89200000000000002</v>
      </c>
      <c r="AJ868">
        <v>2.3808823530000001</v>
      </c>
      <c r="AK868">
        <v>6.6146173800000003</v>
      </c>
      <c r="AL868">
        <v>1.7999999999999999E-2</v>
      </c>
      <c r="AM868">
        <v>0.03</v>
      </c>
      <c r="AN868">
        <v>0.88400000000000001</v>
      </c>
    </row>
    <row r="869" spans="1:40">
      <c r="A869">
        <v>2937</v>
      </c>
      <c r="B869" t="s">
        <v>709</v>
      </c>
      <c r="C869" t="s">
        <v>693</v>
      </c>
      <c r="D869" t="s">
        <v>694</v>
      </c>
      <c r="E869">
        <v>295</v>
      </c>
      <c r="F869">
        <v>1539</v>
      </c>
      <c r="G869">
        <v>43.501421809999997</v>
      </c>
      <c r="H869">
        <v>0</v>
      </c>
      <c r="I869">
        <v>6.7998975000000003E-2</v>
      </c>
      <c r="J869">
        <v>1539</v>
      </c>
      <c r="K869">
        <v>22632.694100000001</v>
      </c>
      <c r="L869">
        <v>0.81</v>
      </c>
      <c r="M869">
        <v>0</v>
      </c>
      <c r="N869">
        <v>0</v>
      </c>
      <c r="O869" t="s">
        <v>620</v>
      </c>
      <c r="P869">
        <f t="shared" si="119"/>
        <v>13.65719101</v>
      </c>
      <c r="Q869">
        <f t="shared" si="120"/>
        <v>1.7000000000000001E-2</v>
      </c>
      <c r="R869">
        <f t="shared" si="121"/>
        <v>1.4E-2</v>
      </c>
      <c r="S869">
        <f t="shared" si="122"/>
        <v>0.81</v>
      </c>
      <c r="T869">
        <f t="shared" si="123"/>
        <v>1.5249999999999999</v>
      </c>
      <c r="U869">
        <f t="shared" si="124"/>
        <v>7.9934674919999997</v>
      </c>
      <c r="V869">
        <f t="shared" si="125"/>
        <v>0.02</v>
      </c>
      <c r="W869">
        <f t="shared" si="126"/>
        <v>5.1076923076923055E-2</v>
      </c>
      <c r="X869">
        <f t="shared" si="127"/>
        <v>0.89</v>
      </c>
      <c r="Y869">
        <v>124.5258513</v>
      </c>
      <c r="Z869">
        <v>0</v>
      </c>
      <c r="AA869">
        <v>56865</v>
      </c>
      <c r="AB869">
        <v>22398</v>
      </c>
      <c r="AC869">
        <v>1.1143686E-2</v>
      </c>
      <c r="AD869">
        <v>0.81944707100000003</v>
      </c>
      <c r="AF869">
        <v>13.65719101</v>
      </c>
      <c r="AG869">
        <v>1.7000000000000001E-2</v>
      </c>
      <c r="AH869">
        <v>1.4E-2</v>
      </c>
      <c r="AI869">
        <v>0.81</v>
      </c>
      <c r="AJ869">
        <v>1.5249999999999999</v>
      </c>
      <c r="AK869">
        <v>7.9934674919999997</v>
      </c>
      <c r="AL869">
        <v>0.02</v>
      </c>
      <c r="AM869">
        <v>0</v>
      </c>
      <c r="AN869">
        <v>0.89</v>
      </c>
    </row>
    <row r="870" spans="1:40">
      <c r="A870">
        <v>2938</v>
      </c>
      <c r="B870" t="s">
        <v>689</v>
      </c>
      <c r="C870" t="s">
        <v>687</v>
      </c>
      <c r="D870" t="s">
        <v>688</v>
      </c>
      <c r="E870">
        <v>604</v>
      </c>
      <c r="F870">
        <v>1155</v>
      </c>
      <c r="G870">
        <v>32.280096180000001</v>
      </c>
      <c r="H870">
        <v>1778</v>
      </c>
      <c r="I870">
        <v>5.0457621000000001E-2</v>
      </c>
      <c r="J870">
        <v>2933</v>
      </c>
      <c r="K870">
        <v>58127.988239999999</v>
      </c>
      <c r="L870">
        <v>0.60899999999999999</v>
      </c>
      <c r="M870">
        <v>0.74643157000000004</v>
      </c>
      <c r="N870">
        <v>1</v>
      </c>
      <c r="O870" t="s">
        <v>606</v>
      </c>
      <c r="P870">
        <f t="shared" si="119"/>
        <v>12.422713180000001</v>
      </c>
      <c r="Q870">
        <f t="shared" si="120"/>
        <v>9.1999999999999998E-2</v>
      </c>
      <c r="R870">
        <f t="shared" si="121"/>
        <v>3.3000000000000002E-2</v>
      </c>
      <c r="S870">
        <f t="shared" si="122"/>
        <v>0.60899999999999999</v>
      </c>
      <c r="T870">
        <f t="shared" si="123"/>
        <v>1.981555556</v>
      </c>
      <c r="U870">
        <f t="shared" si="124"/>
        <v>6.5793038739999998</v>
      </c>
      <c r="V870">
        <f t="shared" si="125"/>
        <v>7.5999999999999998E-2</v>
      </c>
      <c r="W870">
        <f t="shared" si="126"/>
        <v>0.24099999999999999</v>
      </c>
      <c r="X870">
        <f t="shared" si="127"/>
        <v>0.54400000000000004</v>
      </c>
      <c r="Y870">
        <v>186.11033169999999</v>
      </c>
      <c r="Z870">
        <v>0</v>
      </c>
      <c r="AA870">
        <v>454184</v>
      </c>
      <c r="AB870">
        <v>170596</v>
      </c>
      <c r="AC870">
        <v>6.5715274000000004E-2</v>
      </c>
      <c r="AD870">
        <v>0.72549415100000003</v>
      </c>
      <c r="AF870">
        <v>12.422713180000001</v>
      </c>
      <c r="AG870">
        <v>9.1999999999999998E-2</v>
      </c>
      <c r="AH870">
        <v>3.3000000000000002E-2</v>
      </c>
      <c r="AI870">
        <v>0.60899999999999999</v>
      </c>
      <c r="AJ870">
        <v>1.981555556</v>
      </c>
      <c r="AK870">
        <v>6.5793038739999998</v>
      </c>
      <c r="AL870">
        <v>7.5999999999999998E-2</v>
      </c>
      <c r="AM870">
        <v>0.24099999999999999</v>
      </c>
      <c r="AN870">
        <v>0.54400000000000004</v>
      </c>
    </row>
    <row r="871" spans="1:40">
      <c r="A871">
        <v>2939</v>
      </c>
      <c r="B871" t="s">
        <v>705</v>
      </c>
      <c r="C871" t="s">
        <v>696</v>
      </c>
      <c r="D871" t="s">
        <v>697</v>
      </c>
      <c r="E871">
        <v>0</v>
      </c>
      <c r="F871">
        <v>0</v>
      </c>
      <c r="G871">
        <v>188.4311514</v>
      </c>
      <c r="H871">
        <v>1305</v>
      </c>
      <c r="I871">
        <v>0.29452636300000001</v>
      </c>
      <c r="J871">
        <v>1305</v>
      </c>
      <c r="K871">
        <v>4430.8427490000004</v>
      </c>
      <c r="L871">
        <v>0.94899999999999995</v>
      </c>
      <c r="M871" s="515">
        <v>1</v>
      </c>
      <c r="N871">
        <v>0</v>
      </c>
      <c r="O871" t="s">
        <v>620</v>
      </c>
      <c r="P871">
        <f t="shared" si="119"/>
        <v>16.86172414</v>
      </c>
      <c r="Q871">
        <f t="shared" si="120"/>
        <v>5.0000000000000001E-3</v>
      </c>
      <c r="R871">
        <f t="shared" si="121"/>
        <v>2.9000000000000001E-2</v>
      </c>
      <c r="S871">
        <f t="shared" si="122"/>
        <v>0.94899999999999995</v>
      </c>
      <c r="T871">
        <f t="shared" si="123"/>
        <v>2.5354545449999999</v>
      </c>
      <c r="U871">
        <f t="shared" si="124"/>
        <v>10.28276657</v>
      </c>
      <c r="V871">
        <f t="shared" si="125"/>
        <v>5.8999999999999997E-2</v>
      </c>
      <c r="W871">
        <f t="shared" si="126"/>
        <v>1.0999999999999999E-2</v>
      </c>
      <c r="X871">
        <f t="shared" si="127"/>
        <v>0.93</v>
      </c>
      <c r="Y871">
        <v>46.609219260000003</v>
      </c>
      <c r="Z871">
        <v>0</v>
      </c>
      <c r="AA871">
        <v>152832</v>
      </c>
      <c r="AB871">
        <v>45686</v>
      </c>
      <c r="AC871">
        <v>2.1596295000000001E-2</v>
      </c>
      <c r="AD871">
        <v>0.84212384500000004</v>
      </c>
      <c r="AF871">
        <v>16.86172414</v>
      </c>
      <c r="AG871">
        <v>5.0000000000000001E-3</v>
      </c>
      <c r="AH871">
        <v>2.9000000000000001E-2</v>
      </c>
      <c r="AI871">
        <v>0.94899999999999995</v>
      </c>
      <c r="AJ871">
        <v>2.5354545449999999</v>
      </c>
      <c r="AK871">
        <v>10.28276657</v>
      </c>
      <c r="AL871">
        <v>5.8999999999999997E-2</v>
      </c>
      <c r="AM871">
        <v>1.0999999999999999E-2</v>
      </c>
      <c r="AN871">
        <v>0.93</v>
      </c>
    </row>
    <row r="872" spans="1:40">
      <c r="A872">
        <v>2940</v>
      </c>
      <c r="B872" t="s">
        <v>690</v>
      </c>
      <c r="C872" t="s">
        <v>687</v>
      </c>
      <c r="D872" t="s">
        <v>688</v>
      </c>
      <c r="E872">
        <v>571</v>
      </c>
      <c r="F872">
        <v>1464</v>
      </c>
      <c r="G872">
        <v>79.462215520000001</v>
      </c>
      <c r="H872">
        <v>235</v>
      </c>
      <c r="I872">
        <v>0.124207897</v>
      </c>
      <c r="J872">
        <v>1699</v>
      </c>
      <c r="K872">
        <v>13678.67938</v>
      </c>
      <c r="L872">
        <v>0.81599999999999995</v>
      </c>
      <c r="M872">
        <v>0.29156327500000001</v>
      </c>
      <c r="N872">
        <v>0</v>
      </c>
      <c r="O872" t="s">
        <v>613</v>
      </c>
      <c r="P872">
        <f t="shared" si="119"/>
        <v>13.36006536</v>
      </c>
      <c r="Q872">
        <f t="shared" si="120"/>
        <v>2.5000000000000001E-2</v>
      </c>
      <c r="R872">
        <f t="shared" si="121"/>
        <v>2.3E-2</v>
      </c>
      <c r="S872">
        <f t="shared" si="122"/>
        <v>0.81599999999999995</v>
      </c>
      <c r="T872">
        <f t="shared" si="123"/>
        <v>2.3529166670000001</v>
      </c>
      <c r="U872">
        <f t="shared" si="124"/>
        <v>7.1218858559999996</v>
      </c>
      <c r="V872">
        <f t="shared" si="125"/>
        <v>3.3000000000000002E-2</v>
      </c>
      <c r="W872">
        <f t="shared" si="126"/>
        <v>9.8000000000000004E-2</v>
      </c>
      <c r="X872">
        <f t="shared" si="127"/>
        <v>0.83199999999999996</v>
      </c>
      <c r="Y872">
        <v>226.3763773</v>
      </c>
      <c r="Z872">
        <v>0</v>
      </c>
      <c r="AA872">
        <v>82284</v>
      </c>
      <c r="AB872">
        <v>32030</v>
      </c>
      <c r="AC872">
        <v>4.7570397E-2</v>
      </c>
      <c r="AD872">
        <v>0.78974696300000002</v>
      </c>
      <c r="AF872">
        <v>13.36006536</v>
      </c>
      <c r="AG872">
        <v>2.5000000000000001E-2</v>
      </c>
      <c r="AH872">
        <v>2.3E-2</v>
      </c>
      <c r="AI872">
        <v>0.81599999999999995</v>
      </c>
      <c r="AJ872">
        <v>2.3529166670000001</v>
      </c>
      <c r="AK872">
        <v>7.1218858559999996</v>
      </c>
      <c r="AL872">
        <v>3.3000000000000002E-2</v>
      </c>
      <c r="AM872">
        <v>9.8000000000000004E-2</v>
      </c>
      <c r="AN872">
        <v>0.83199999999999996</v>
      </c>
    </row>
    <row r="873" spans="1:40">
      <c r="A873">
        <v>2941</v>
      </c>
      <c r="B873" t="s">
        <v>692</v>
      </c>
      <c r="C873" t="s">
        <v>693</v>
      </c>
      <c r="D873" t="s">
        <v>694</v>
      </c>
      <c r="E873">
        <v>444</v>
      </c>
      <c r="F873">
        <v>1255</v>
      </c>
      <c r="G873">
        <v>123.4602143</v>
      </c>
      <c r="H873">
        <v>233</v>
      </c>
      <c r="I873">
        <v>0.192981972</v>
      </c>
      <c r="J873">
        <v>1488</v>
      </c>
      <c r="K873">
        <v>7710.5647980000003</v>
      </c>
      <c r="L873">
        <v>0.73799999999999999</v>
      </c>
      <c r="M873">
        <v>0.34416543599999999</v>
      </c>
      <c r="N873">
        <v>0</v>
      </c>
      <c r="O873" t="s">
        <v>620</v>
      </c>
      <c r="P873">
        <f t="shared" si="119"/>
        <v>16.317956200000001</v>
      </c>
      <c r="Q873">
        <f t="shared" si="120"/>
        <v>1.4999999999999999E-2</v>
      </c>
      <c r="R873">
        <f t="shared" si="121"/>
        <v>5.6000000000000001E-2</v>
      </c>
      <c r="S873">
        <f t="shared" si="122"/>
        <v>0.73799999999999999</v>
      </c>
      <c r="T873">
        <f t="shared" si="123"/>
        <v>1.804545455</v>
      </c>
      <c r="U873">
        <f t="shared" si="124"/>
        <v>10.00177858</v>
      </c>
      <c r="V873">
        <f t="shared" si="125"/>
        <v>4.7E-2</v>
      </c>
      <c r="W873">
        <f t="shared" si="126"/>
        <v>5.8999999999999997E-2</v>
      </c>
      <c r="X873">
        <f t="shared" si="127"/>
        <v>0.80600000000000005</v>
      </c>
      <c r="Y873">
        <v>98.420724199999995</v>
      </c>
      <c r="Z873">
        <v>0</v>
      </c>
      <c r="AA873">
        <v>77808</v>
      </c>
      <c r="AB873">
        <v>27489</v>
      </c>
      <c r="AC873">
        <v>1.1225541E-2</v>
      </c>
      <c r="AD873">
        <v>0.835708267</v>
      </c>
      <c r="AF873">
        <v>16.317956200000001</v>
      </c>
      <c r="AG873">
        <v>1.4999999999999999E-2</v>
      </c>
      <c r="AH873">
        <v>5.6000000000000001E-2</v>
      </c>
      <c r="AI873">
        <v>0.73799999999999999</v>
      </c>
      <c r="AJ873">
        <v>1.804545455</v>
      </c>
      <c r="AK873">
        <v>10.00177858</v>
      </c>
      <c r="AL873">
        <v>4.7E-2</v>
      </c>
      <c r="AM873">
        <v>5.8999999999999997E-2</v>
      </c>
      <c r="AN873">
        <v>0.80600000000000005</v>
      </c>
    </row>
    <row r="874" spans="1:40">
      <c r="A874">
        <v>2942</v>
      </c>
      <c r="B874" t="s">
        <v>698</v>
      </c>
      <c r="C874" t="s">
        <v>693</v>
      </c>
      <c r="D874" t="s">
        <v>694</v>
      </c>
      <c r="E874">
        <v>46</v>
      </c>
      <c r="F874">
        <v>46</v>
      </c>
      <c r="G874">
        <v>130.32766129999999</v>
      </c>
      <c r="H874">
        <v>9</v>
      </c>
      <c r="I874">
        <v>0.20371523599999999</v>
      </c>
      <c r="J874">
        <v>55</v>
      </c>
      <c r="K874">
        <v>269.9847153</v>
      </c>
      <c r="L874">
        <v>0.95799999999999996</v>
      </c>
      <c r="M874">
        <v>0.16363636400000001</v>
      </c>
      <c r="N874">
        <v>0</v>
      </c>
      <c r="O874" t="s">
        <v>620</v>
      </c>
      <c r="P874">
        <f t="shared" si="119"/>
        <v>24.92</v>
      </c>
      <c r="Q874">
        <f t="shared" si="120"/>
        <v>1.452380952380952E-2</v>
      </c>
      <c r="R874">
        <f t="shared" si="121"/>
        <v>2.0178861788617868E-2</v>
      </c>
      <c r="S874">
        <f t="shared" si="122"/>
        <v>0.95799999999999996</v>
      </c>
      <c r="T874">
        <f t="shared" si="123"/>
        <v>2.0047367888780485</v>
      </c>
      <c r="U874">
        <f t="shared" si="124"/>
        <v>9.7102173910000005</v>
      </c>
      <c r="V874">
        <f t="shared" si="125"/>
        <v>4.0705882352941189E-2</v>
      </c>
      <c r="W874">
        <f t="shared" si="126"/>
        <v>5.2166666666666632E-2</v>
      </c>
      <c r="X874">
        <f t="shared" si="127"/>
        <v>1</v>
      </c>
      <c r="Y874">
        <v>26.806028229999999</v>
      </c>
      <c r="Z874">
        <v>0</v>
      </c>
      <c r="AA874">
        <v>88250</v>
      </c>
      <c r="AB874">
        <v>31723</v>
      </c>
      <c r="AC874">
        <v>1.0795895999999999E-2</v>
      </c>
      <c r="AD874">
        <v>0.817760245</v>
      </c>
      <c r="AF874">
        <v>24.92</v>
      </c>
      <c r="AG874">
        <v>0</v>
      </c>
      <c r="AH874">
        <v>0</v>
      </c>
      <c r="AI874">
        <v>0.95799999999999996</v>
      </c>
      <c r="AK874">
        <v>9.7102173910000005</v>
      </c>
      <c r="AL874">
        <v>0</v>
      </c>
      <c r="AM874">
        <v>0</v>
      </c>
      <c r="AN874">
        <v>1</v>
      </c>
    </row>
    <row r="875" spans="1:40">
      <c r="A875">
        <v>2943</v>
      </c>
      <c r="B875" t="s">
        <v>707</v>
      </c>
      <c r="C875" t="s">
        <v>693</v>
      </c>
      <c r="D875" t="s">
        <v>694</v>
      </c>
      <c r="E875">
        <v>21</v>
      </c>
      <c r="F875">
        <v>68</v>
      </c>
      <c r="G875">
        <v>7317.808462</v>
      </c>
      <c r="H875">
        <v>19</v>
      </c>
      <c r="I875" s="515">
        <v>11.438687346815801</v>
      </c>
      <c r="J875">
        <v>87</v>
      </c>
      <c r="K875">
        <v>7.6057678089999996</v>
      </c>
      <c r="L875" s="515">
        <v>1</v>
      </c>
      <c r="M875">
        <v>0.47499999999999998</v>
      </c>
      <c r="N875">
        <v>0</v>
      </c>
      <c r="O875" t="s">
        <v>625</v>
      </c>
      <c r="P875">
        <f t="shared" si="119"/>
        <v>15.293076920000001</v>
      </c>
      <c r="Q875">
        <f t="shared" si="120"/>
        <v>2.0450000000000006E-2</v>
      </c>
      <c r="R875">
        <f t="shared" si="121"/>
        <v>7.2846153846153852E-2</v>
      </c>
      <c r="S875">
        <f t="shared" si="122"/>
        <v>1</v>
      </c>
      <c r="T875">
        <f t="shared" si="123"/>
        <v>2.2191326312692303</v>
      </c>
      <c r="U875">
        <f t="shared" si="124"/>
        <v>12.07325</v>
      </c>
      <c r="V875">
        <f t="shared" si="125"/>
        <v>0.11835714285714286</v>
      </c>
      <c r="W875">
        <f t="shared" si="126"/>
        <v>8.5526315789473686E-2</v>
      </c>
      <c r="X875">
        <f t="shared" si="127"/>
        <v>1</v>
      </c>
      <c r="Y875">
        <v>5.8936595049999996</v>
      </c>
      <c r="Z875">
        <v>0</v>
      </c>
      <c r="AA875">
        <v>21149</v>
      </c>
      <c r="AB875">
        <v>6968</v>
      </c>
      <c r="AC875">
        <v>1.6645858999999999E-2</v>
      </c>
      <c r="AD875">
        <v>0.89069218999999999</v>
      </c>
      <c r="AF875">
        <v>15.293076920000001</v>
      </c>
      <c r="AG875">
        <v>0</v>
      </c>
      <c r="AH875">
        <v>0</v>
      </c>
      <c r="AI875">
        <v>1</v>
      </c>
      <c r="AK875">
        <v>12.07325</v>
      </c>
      <c r="AL875">
        <v>0</v>
      </c>
      <c r="AM875">
        <v>0</v>
      </c>
      <c r="AN875">
        <v>1</v>
      </c>
    </row>
    <row r="876" spans="1:40">
      <c r="A876">
        <v>2944</v>
      </c>
      <c r="B876" t="s">
        <v>695</v>
      </c>
      <c r="C876" t="s">
        <v>696</v>
      </c>
      <c r="D876" t="s">
        <v>697</v>
      </c>
      <c r="E876">
        <v>0</v>
      </c>
      <c r="F876">
        <v>0</v>
      </c>
      <c r="G876">
        <v>370.92809260000001</v>
      </c>
      <c r="H876">
        <v>16</v>
      </c>
      <c r="I876">
        <v>0.57980999099999997</v>
      </c>
      <c r="J876">
        <v>16</v>
      </c>
      <c r="K876">
        <v>27.595247149999999</v>
      </c>
      <c r="L876">
        <v>0</v>
      </c>
      <c r="M876" s="515">
        <v>1</v>
      </c>
      <c r="N876">
        <v>0</v>
      </c>
      <c r="O876" t="s">
        <v>625</v>
      </c>
      <c r="P876">
        <f t="shared" si="119"/>
        <v>13.938797799795914</v>
      </c>
      <c r="Q876">
        <f t="shared" si="120"/>
        <v>2.7530612244897956E-2</v>
      </c>
      <c r="R876">
        <f t="shared" si="121"/>
        <v>2.5583333333333333E-2</v>
      </c>
      <c r="S876">
        <f t="shared" si="122"/>
        <v>0.81271428571428583</v>
      </c>
      <c r="T876">
        <f t="shared" si="123"/>
        <v>2.1049555554166663</v>
      </c>
      <c r="U876">
        <f t="shared" si="124"/>
        <v>8.1399988256530609</v>
      </c>
      <c r="V876">
        <f t="shared" si="125"/>
        <v>4.15609756097561E-2</v>
      </c>
      <c r="W876">
        <f t="shared" si="126"/>
        <v>0.1143125</v>
      </c>
      <c r="X876">
        <f t="shared" si="127"/>
        <v>0.82077551020408168</v>
      </c>
      <c r="Y876">
        <v>15.65824606</v>
      </c>
      <c r="Z876">
        <v>0</v>
      </c>
      <c r="AA876">
        <v>62139</v>
      </c>
      <c r="AB876">
        <v>22178</v>
      </c>
      <c r="AC876">
        <v>2.5956119999999999E-2</v>
      </c>
      <c r="AD876">
        <v>0.81129361</v>
      </c>
      <c r="AG876">
        <v>0</v>
      </c>
      <c r="AH876">
        <v>0</v>
      </c>
      <c r="AI876">
        <v>0</v>
      </c>
    </row>
    <row r="877" spans="1:40">
      <c r="A877">
        <v>2945</v>
      </c>
      <c r="B877" t="s">
        <v>698</v>
      </c>
      <c r="C877" t="s">
        <v>693</v>
      </c>
      <c r="D877" t="s">
        <v>694</v>
      </c>
      <c r="E877">
        <v>403</v>
      </c>
      <c r="F877">
        <v>1306</v>
      </c>
      <c r="G877">
        <v>290.98989089999998</v>
      </c>
      <c r="H877">
        <v>42</v>
      </c>
      <c r="I877">
        <v>0.454856286</v>
      </c>
      <c r="J877">
        <v>1348</v>
      </c>
      <c r="K877">
        <v>2963.5734219999999</v>
      </c>
      <c r="L877">
        <v>0.86099999999999999</v>
      </c>
      <c r="M877">
        <v>9.4382021999999996E-2</v>
      </c>
      <c r="N877">
        <v>0</v>
      </c>
      <c r="O877" t="s">
        <v>625</v>
      </c>
      <c r="P877">
        <f t="shared" si="119"/>
        <v>19.74653846</v>
      </c>
      <c r="Q877">
        <f t="shared" si="120"/>
        <v>3.0000000000000001E-3</v>
      </c>
      <c r="R877">
        <f t="shared" si="121"/>
        <v>2.4E-2</v>
      </c>
      <c r="S877">
        <f t="shared" si="122"/>
        <v>0.86099999999999999</v>
      </c>
      <c r="T877">
        <f t="shared" si="123"/>
        <v>2.6306250000000002</v>
      </c>
      <c r="U877">
        <f t="shared" si="124"/>
        <v>9.3755034720000001</v>
      </c>
      <c r="V877">
        <f t="shared" si="125"/>
        <v>1.7999999999999999E-2</v>
      </c>
      <c r="W877">
        <f t="shared" si="126"/>
        <v>1.7999999999999999E-2</v>
      </c>
      <c r="X877">
        <f t="shared" si="127"/>
        <v>0.94499999999999995</v>
      </c>
      <c r="Y877">
        <v>80.187568339999999</v>
      </c>
      <c r="Z877">
        <v>0</v>
      </c>
      <c r="AA877">
        <v>88250</v>
      </c>
      <c r="AB877">
        <v>31723</v>
      </c>
      <c r="AC877">
        <v>1.0795895999999999E-2</v>
      </c>
      <c r="AD877">
        <v>0.817760245</v>
      </c>
      <c r="AF877">
        <v>19.74653846</v>
      </c>
      <c r="AG877">
        <v>3.0000000000000001E-3</v>
      </c>
      <c r="AH877">
        <v>2.4E-2</v>
      </c>
      <c r="AI877">
        <v>0.86099999999999999</v>
      </c>
      <c r="AJ877">
        <v>2.6306250000000002</v>
      </c>
      <c r="AK877">
        <v>9.3755034720000001</v>
      </c>
      <c r="AL877">
        <v>1.7999999999999999E-2</v>
      </c>
      <c r="AM877">
        <v>1.7999999999999999E-2</v>
      </c>
      <c r="AN877">
        <v>0.94499999999999995</v>
      </c>
    </row>
    <row r="878" spans="1:40">
      <c r="A878">
        <v>2946</v>
      </c>
      <c r="B878" t="s">
        <v>699</v>
      </c>
      <c r="C878" t="s">
        <v>687</v>
      </c>
      <c r="D878" t="s">
        <v>688</v>
      </c>
      <c r="E878">
        <v>942</v>
      </c>
      <c r="F878">
        <v>4119</v>
      </c>
      <c r="G878">
        <v>129.86178330000001</v>
      </c>
      <c r="H878">
        <v>1647</v>
      </c>
      <c r="I878">
        <v>0.20299051800000001</v>
      </c>
      <c r="J878">
        <v>5766</v>
      </c>
      <c r="K878">
        <v>28405.267680000001</v>
      </c>
      <c r="L878">
        <v>0.755</v>
      </c>
      <c r="M878">
        <v>0.63615295500000002</v>
      </c>
      <c r="N878">
        <v>0</v>
      </c>
      <c r="O878" t="s">
        <v>613</v>
      </c>
      <c r="P878">
        <f t="shared" si="119"/>
        <v>15.25156962</v>
      </c>
      <c r="Q878">
        <f t="shared" si="120"/>
        <v>3.9E-2</v>
      </c>
      <c r="R878">
        <f t="shared" si="121"/>
        <v>2.1999999999999999E-2</v>
      </c>
      <c r="S878">
        <f t="shared" si="122"/>
        <v>0.755</v>
      </c>
      <c r="T878">
        <f t="shared" si="123"/>
        <v>2.183875</v>
      </c>
      <c r="U878">
        <f t="shared" si="124"/>
        <v>7.0554341430000003</v>
      </c>
      <c r="V878">
        <f t="shared" si="125"/>
        <v>5.7000000000000002E-2</v>
      </c>
      <c r="W878">
        <f t="shared" si="126"/>
        <v>0.108</v>
      </c>
      <c r="X878">
        <f t="shared" si="127"/>
        <v>0.77500000000000002</v>
      </c>
      <c r="Y878">
        <v>187.6027172</v>
      </c>
      <c r="Z878">
        <v>0</v>
      </c>
      <c r="AA878">
        <v>20912</v>
      </c>
      <c r="AB878">
        <v>7469</v>
      </c>
      <c r="AC878">
        <v>5.5261644999999998E-2</v>
      </c>
      <c r="AD878">
        <v>0.74284071299999999</v>
      </c>
      <c r="AF878">
        <v>15.25156962</v>
      </c>
      <c r="AG878">
        <v>3.9E-2</v>
      </c>
      <c r="AH878">
        <v>2.1999999999999999E-2</v>
      </c>
      <c r="AI878">
        <v>0.755</v>
      </c>
      <c r="AJ878">
        <v>2.183875</v>
      </c>
      <c r="AK878">
        <v>7.0554341430000003</v>
      </c>
      <c r="AL878">
        <v>5.7000000000000002E-2</v>
      </c>
      <c r="AM878">
        <v>0.108</v>
      </c>
      <c r="AN878">
        <v>0.77500000000000002</v>
      </c>
    </row>
    <row r="879" spans="1:40">
      <c r="A879">
        <v>2947</v>
      </c>
      <c r="B879" t="s">
        <v>691</v>
      </c>
      <c r="C879" t="s">
        <v>684</v>
      </c>
      <c r="D879" t="s">
        <v>685</v>
      </c>
      <c r="E879">
        <v>8</v>
      </c>
      <c r="F879">
        <v>22</v>
      </c>
      <c r="G879">
        <v>1691.3864980000001</v>
      </c>
      <c r="H879">
        <v>10</v>
      </c>
      <c r="I879" s="515">
        <v>2.6437786945542099</v>
      </c>
      <c r="J879">
        <v>32</v>
      </c>
      <c r="K879">
        <v>12.103887540000001</v>
      </c>
      <c r="L879" s="515">
        <v>1</v>
      </c>
      <c r="M879">
        <v>0.55555555599999995</v>
      </c>
      <c r="N879">
        <v>0</v>
      </c>
      <c r="O879" t="s">
        <v>625</v>
      </c>
      <c r="P879">
        <f t="shared" si="119"/>
        <v>24.466666669999999</v>
      </c>
      <c r="Q879">
        <f t="shared" si="120"/>
        <v>1.8070175438596476E-2</v>
      </c>
      <c r="R879">
        <f t="shared" si="121"/>
        <v>1.8486033519553042E-2</v>
      </c>
      <c r="S879">
        <f t="shared" si="122"/>
        <v>1</v>
      </c>
      <c r="T879">
        <f t="shared" si="123"/>
        <v>2.3004685426703912</v>
      </c>
      <c r="U879">
        <f t="shared" si="124"/>
        <v>11.28357143</v>
      </c>
      <c r="V879">
        <f t="shared" si="125"/>
        <v>3.5151315789473656E-2</v>
      </c>
      <c r="W879">
        <f t="shared" si="126"/>
        <v>5.9146341463414652E-2</v>
      </c>
      <c r="X879">
        <f t="shared" si="127"/>
        <v>1</v>
      </c>
      <c r="Y879">
        <v>4.7309049480000001</v>
      </c>
      <c r="Z879">
        <v>0</v>
      </c>
      <c r="AA879">
        <v>236250</v>
      </c>
      <c r="AB879">
        <v>76158</v>
      </c>
      <c r="AC879">
        <v>1.7652984E-2</v>
      </c>
      <c r="AD879">
        <v>0.84750225300000004</v>
      </c>
      <c r="AF879">
        <v>24.466666669999999</v>
      </c>
      <c r="AG879">
        <v>0</v>
      </c>
      <c r="AH879">
        <v>0</v>
      </c>
      <c r="AI879">
        <v>1</v>
      </c>
      <c r="AK879">
        <v>11.28357143</v>
      </c>
      <c r="AL879">
        <v>0</v>
      </c>
      <c r="AM879">
        <v>0</v>
      </c>
      <c r="AN879">
        <v>1</v>
      </c>
    </row>
    <row r="880" spans="1:40">
      <c r="A880">
        <v>2948</v>
      </c>
      <c r="B880" t="s">
        <v>691</v>
      </c>
      <c r="C880" t="s">
        <v>684</v>
      </c>
      <c r="D880" t="s">
        <v>685</v>
      </c>
      <c r="E880">
        <v>30</v>
      </c>
      <c r="F880">
        <v>101</v>
      </c>
      <c r="G880">
        <v>1226.477173</v>
      </c>
      <c r="H880">
        <v>24</v>
      </c>
      <c r="I880" s="515">
        <v>1.9170818542080399</v>
      </c>
      <c r="J880">
        <v>125</v>
      </c>
      <c r="K880">
        <v>65.203266999999997</v>
      </c>
      <c r="L880" s="515">
        <v>1</v>
      </c>
      <c r="M880">
        <v>0.44444444399999999</v>
      </c>
      <c r="N880">
        <v>0</v>
      </c>
      <c r="O880" t="s">
        <v>625</v>
      </c>
      <c r="P880">
        <f t="shared" si="119"/>
        <v>18.805833329999999</v>
      </c>
      <c r="Q880">
        <f t="shared" si="120"/>
        <v>1.8070175438596476E-2</v>
      </c>
      <c r="R880">
        <f t="shared" si="121"/>
        <v>1.8486033519553042E-2</v>
      </c>
      <c r="S880">
        <f t="shared" si="122"/>
        <v>1</v>
      </c>
      <c r="T880">
        <f t="shared" si="123"/>
        <v>2.3004685426703912</v>
      </c>
      <c r="U880">
        <f t="shared" si="124"/>
        <v>9.8266666669999996</v>
      </c>
      <c r="V880">
        <f t="shared" si="125"/>
        <v>3.5151315789473656E-2</v>
      </c>
      <c r="W880">
        <f t="shared" si="126"/>
        <v>5.9146341463414652E-2</v>
      </c>
      <c r="X880">
        <f t="shared" si="127"/>
        <v>1</v>
      </c>
      <c r="Y880">
        <v>12.52255611</v>
      </c>
      <c r="Z880">
        <v>0</v>
      </c>
      <c r="AA880">
        <v>236250</v>
      </c>
      <c r="AB880">
        <v>76158</v>
      </c>
      <c r="AC880">
        <v>1.7652984E-2</v>
      </c>
      <c r="AD880">
        <v>0.84750225300000004</v>
      </c>
      <c r="AF880">
        <v>18.805833329999999</v>
      </c>
      <c r="AG880">
        <v>0</v>
      </c>
      <c r="AH880">
        <v>0</v>
      </c>
      <c r="AI880">
        <v>1</v>
      </c>
      <c r="AK880">
        <v>9.8266666669999996</v>
      </c>
      <c r="AL880">
        <v>0</v>
      </c>
      <c r="AM880">
        <v>0</v>
      </c>
      <c r="AN880">
        <v>1</v>
      </c>
    </row>
    <row r="881" spans="1:40">
      <c r="A881">
        <v>2949</v>
      </c>
      <c r="B881" t="s">
        <v>689</v>
      </c>
      <c r="C881" t="s">
        <v>687</v>
      </c>
      <c r="D881" t="s">
        <v>688</v>
      </c>
      <c r="E881">
        <v>114</v>
      </c>
      <c r="F881">
        <v>316</v>
      </c>
      <c r="G881">
        <v>19.013608770000001</v>
      </c>
      <c r="H881">
        <v>158</v>
      </c>
      <c r="I881">
        <v>2.9720765999999999E-2</v>
      </c>
      <c r="J881">
        <v>474</v>
      </c>
      <c r="K881">
        <v>15948.444939999999</v>
      </c>
      <c r="L881">
        <v>0.747</v>
      </c>
      <c r="M881">
        <v>0.58088235300000002</v>
      </c>
      <c r="N881">
        <v>0</v>
      </c>
      <c r="O881" t="s">
        <v>613</v>
      </c>
      <c r="P881">
        <f t="shared" si="119"/>
        <v>13.49534884</v>
      </c>
      <c r="Q881">
        <f t="shared" si="120"/>
        <v>5.1999999999999998E-2</v>
      </c>
      <c r="R881">
        <f t="shared" si="121"/>
        <v>2.5000000000000001E-2</v>
      </c>
      <c r="S881">
        <f t="shared" si="122"/>
        <v>0.747</v>
      </c>
      <c r="T881">
        <f t="shared" si="123"/>
        <v>1.50125</v>
      </c>
      <c r="U881">
        <f t="shared" si="124"/>
        <v>6.7824347830000002</v>
      </c>
      <c r="V881">
        <f t="shared" si="125"/>
        <v>6.6000000000000003E-2</v>
      </c>
      <c r="W881">
        <f t="shared" si="126"/>
        <v>0.16400000000000001</v>
      </c>
      <c r="X881">
        <f t="shared" si="127"/>
        <v>0.70499999999999996</v>
      </c>
      <c r="Y881">
        <v>381.31445450000001</v>
      </c>
      <c r="Z881">
        <v>0</v>
      </c>
      <c r="AA881">
        <v>454184</v>
      </c>
      <c r="AB881">
        <v>170596</v>
      </c>
      <c r="AC881">
        <v>6.5715274000000004E-2</v>
      </c>
      <c r="AD881">
        <v>0.72549415100000003</v>
      </c>
      <c r="AF881">
        <v>13.49534884</v>
      </c>
      <c r="AG881">
        <v>5.1999999999999998E-2</v>
      </c>
      <c r="AH881">
        <v>2.5000000000000001E-2</v>
      </c>
      <c r="AI881">
        <v>0.747</v>
      </c>
      <c r="AJ881">
        <v>1.50125</v>
      </c>
      <c r="AK881">
        <v>6.7824347830000002</v>
      </c>
      <c r="AL881">
        <v>6.6000000000000003E-2</v>
      </c>
      <c r="AM881">
        <v>0.16400000000000001</v>
      </c>
      <c r="AN881">
        <v>0.70499999999999996</v>
      </c>
    </row>
    <row r="882" spans="1:40">
      <c r="A882">
        <v>2950</v>
      </c>
      <c r="B882" t="s">
        <v>689</v>
      </c>
      <c r="C882" t="s">
        <v>687</v>
      </c>
      <c r="D882" t="s">
        <v>688</v>
      </c>
      <c r="E882">
        <v>184</v>
      </c>
      <c r="F882">
        <v>461</v>
      </c>
      <c r="G882">
        <v>218.73467539999999</v>
      </c>
      <c r="H882">
        <v>263</v>
      </c>
      <c r="I882">
        <v>0.34190947599999999</v>
      </c>
      <c r="J882">
        <v>724</v>
      </c>
      <c r="K882">
        <v>2117.5195509999999</v>
      </c>
      <c r="L882">
        <v>0.88800000000000001</v>
      </c>
      <c r="M882">
        <v>0.58836688999999998</v>
      </c>
      <c r="N882">
        <v>0</v>
      </c>
      <c r="O882" t="s">
        <v>620</v>
      </c>
      <c r="P882">
        <f t="shared" si="119"/>
        <v>13.20797101</v>
      </c>
      <c r="Q882">
        <f t="shared" si="120"/>
        <v>1.0999999999999999E-2</v>
      </c>
      <c r="R882">
        <f t="shared" si="121"/>
        <v>1.7999999999999999E-2</v>
      </c>
      <c r="S882">
        <f t="shared" si="122"/>
        <v>0.88800000000000001</v>
      </c>
      <c r="T882">
        <f t="shared" si="123"/>
        <v>3.6589999999999998</v>
      </c>
      <c r="U882">
        <f t="shared" si="124"/>
        <v>8.2840631580000004</v>
      </c>
      <c r="V882">
        <f t="shared" si="125"/>
        <v>5.2999999999999999E-2</v>
      </c>
      <c r="W882">
        <f t="shared" si="126"/>
        <v>2.7E-2</v>
      </c>
      <c r="X882">
        <f t="shared" si="127"/>
        <v>0.92</v>
      </c>
      <c r="Y882">
        <v>114.4834905</v>
      </c>
      <c r="Z882">
        <v>0</v>
      </c>
      <c r="AA882">
        <v>454184</v>
      </c>
      <c r="AB882">
        <v>170596</v>
      </c>
      <c r="AC882">
        <v>6.5715274000000004E-2</v>
      </c>
      <c r="AD882">
        <v>0.72549415100000003</v>
      </c>
      <c r="AF882">
        <v>13.20797101</v>
      </c>
      <c r="AG882">
        <v>1.0999999999999999E-2</v>
      </c>
      <c r="AH882">
        <v>1.7999999999999999E-2</v>
      </c>
      <c r="AI882">
        <v>0.88800000000000001</v>
      </c>
      <c r="AJ882">
        <v>3.6589999999999998</v>
      </c>
      <c r="AK882">
        <v>8.2840631580000004</v>
      </c>
      <c r="AL882">
        <v>5.2999999999999999E-2</v>
      </c>
      <c r="AM882">
        <v>2.7E-2</v>
      </c>
      <c r="AN882">
        <v>0.92</v>
      </c>
    </row>
    <row r="883" spans="1:40">
      <c r="A883">
        <v>2951</v>
      </c>
      <c r="B883" t="s">
        <v>689</v>
      </c>
      <c r="C883" t="s">
        <v>687</v>
      </c>
      <c r="D883" t="s">
        <v>688</v>
      </c>
      <c r="E883">
        <v>331</v>
      </c>
      <c r="F883">
        <v>830</v>
      </c>
      <c r="G883">
        <v>159.04524559999999</v>
      </c>
      <c r="H883">
        <v>128</v>
      </c>
      <c r="I883">
        <v>0.248617172</v>
      </c>
      <c r="J883">
        <v>958</v>
      </c>
      <c r="K883">
        <v>3853.313881</v>
      </c>
      <c r="L883">
        <v>0.84599999999999997</v>
      </c>
      <c r="M883">
        <v>0.27886710199999998</v>
      </c>
      <c r="N883">
        <v>1</v>
      </c>
      <c r="O883" t="s">
        <v>620</v>
      </c>
      <c r="P883">
        <f t="shared" si="119"/>
        <v>12.628148149999999</v>
      </c>
      <c r="Q883">
        <f t="shared" si="120"/>
        <v>2.1000000000000001E-2</v>
      </c>
      <c r="R883">
        <f t="shared" si="121"/>
        <v>3.3000000000000002E-2</v>
      </c>
      <c r="S883">
        <f t="shared" si="122"/>
        <v>0.84599999999999997</v>
      </c>
      <c r="T883">
        <f t="shared" si="123"/>
        <v>3.42875</v>
      </c>
      <c r="U883">
        <f t="shared" si="124"/>
        <v>7.1036363639999998</v>
      </c>
      <c r="V883">
        <f t="shared" si="125"/>
        <v>0.129</v>
      </c>
      <c r="W883">
        <f t="shared" si="126"/>
        <v>8.5999999999999993E-2</v>
      </c>
      <c r="X883">
        <f t="shared" si="127"/>
        <v>0.77100000000000002</v>
      </c>
      <c r="Y883">
        <v>74.989744419999994</v>
      </c>
      <c r="Z883">
        <v>0</v>
      </c>
      <c r="AA883">
        <v>454184</v>
      </c>
      <c r="AB883">
        <v>170596</v>
      </c>
      <c r="AC883">
        <v>6.5715274000000004E-2</v>
      </c>
      <c r="AD883">
        <v>0.72549415100000003</v>
      </c>
      <c r="AF883">
        <v>12.628148149999999</v>
      </c>
      <c r="AG883">
        <v>2.1000000000000001E-2</v>
      </c>
      <c r="AH883">
        <v>3.3000000000000002E-2</v>
      </c>
      <c r="AI883">
        <v>0.84599999999999997</v>
      </c>
      <c r="AJ883">
        <v>3.42875</v>
      </c>
      <c r="AK883">
        <v>7.1036363639999998</v>
      </c>
      <c r="AL883">
        <v>0.129</v>
      </c>
      <c r="AM883">
        <v>8.5999999999999993E-2</v>
      </c>
      <c r="AN883">
        <v>0.77100000000000002</v>
      </c>
    </row>
    <row r="884" spans="1:40">
      <c r="A884">
        <v>2952</v>
      </c>
      <c r="B884" t="s">
        <v>698</v>
      </c>
      <c r="C884" t="s">
        <v>693</v>
      </c>
      <c r="D884" t="s">
        <v>694</v>
      </c>
      <c r="E884">
        <v>379</v>
      </c>
      <c r="F884">
        <v>1354</v>
      </c>
      <c r="G884">
        <v>130.8520834</v>
      </c>
      <c r="H884">
        <v>132</v>
      </c>
      <c r="I884">
        <v>0.204533926</v>
      </c>
      <c r="J884">
        <v>1486</v>
      </c>
      <c r="K884">
        <v>7265.298374</v>
      </c>
      <c r="L884">
        <v>0.75600000000000001</v>
      </c>
      <c r="M884">
        <v>0.25831702499999998</v>
      </c>
      <c r="N884">
        <v>0</v>
      </c>
      <c r="O884" t="s">
        <v>620</v>
      </c>
      <c r="P884">
        <f t="shared" si="119"/>
        <v>17.20748201</v>
      </c>
      <c r="Q884">
        <f t="shared" si="120"/>
        <v>6.0000000000000001E-3</v>
      </c>
      <c r="R884">
        <f t="shared" si="121"/>
        <v>0.02</v>
      </c>
      <c r="S884">
        <f t="shared" si="122"/>
        <v>0.75600000000000001</v>
      </c>
      <c r="T884">
        <f t="shared" si="123"/>
        <v>0.85550000000000004</v>
      </c>
      <c r="U884">
        <f t="shared" si="124"/>
        <v>7.2534473679999998</v>
      </c>
      <c r="V884">
        <f t="shared" si="125"/>
        <v>3.2000000000000001E-2</v>
      </c>
      <c r="W884">
        <f t="shared" si="126"/>
        <v>1.2999999999999999E-2</v>
      </c>
      <c r="X884">
        <f t="shared" si="127"/>
        <v>0.88</v>
      </c>
      <c r="Y884">
        <v>177.46233950000001</v>
      </c>
      <c r="Z884">
        <v>0</v>
      </c>
      <c r="AA884">
        <v>88250</v>
      </c>
      <c r="AB884">
        <v>31723</v>
      </c>
      <c r="AC884">
        <v>1.0795895999999999E-2</v>
      </c>
      <c r="AD884">
        <v>0.817760245</v>
      </c>
      <c r="AF884">
        <v>17.20748201</v>
      </c>
      <c r="AG884">
        <v>6.0000000000000001E-3</v>
      </c>
      <c r="AH884">
        <v>0.02</v>
      </c>
      <c r="AI884">
        <v>0.75600000000000001</v>
      </c>
      <c r="AJ884">
        <v>0.85550000000000004</v>
      </c>
      <c r="AK884">
        <v>7.2534473679999998</v>
      </c>
      <c r="AL884">
        <v>3.2000000000000001E-2</v>
      </c>
      <c r="AM884">
        <v>1.2999999999999999E-2</v>
      </c>
      <c r="AN884">
        <v>0.88</v>
      </c>
    </row>
    <row r="885" spans="1:40">
      <c r="A885">
        <v>2953</v>
      </c>
      <c r="B885" t="s">
        <v>691</v>
      </c>
      <c r="C885" t="s">
        <v>684</v>
      </c>
      <c r="D885" t="s">
        <v>685</v>
      </c>
      <c r="E885">
        <v>963</v>
      </c>
      <c r="F885">
        <v>2050</v>
      </c>
      <c r="G885">
        <v>92.146164659999997</v>
      </c>
      <c r="H885">
        <v>2255</v>
      </c>
      <c r="I885">
        <v>0.14402980500000001</v>
      </c>
      <c r="J885">
        <v>4305</v>
      </c>
      <c r="K885">
        <v>29889.646799999999</v>
      </c>
      <c r="L885">
        <v>0.76300000000000001</v>
      </c>
      <c r="M885">
        <v>0.70074580500000005</v>
      </c>
      <c r="N885">
        <v>1</v>
      </c>
      <c r="O885" t="s">
        <v>613</v>
      </c>
      <c r="P885">
        <f t="shared" si="119"/>
        <v>12.82016471</v>
      </c>
      <c r="Q885">
        <f t="shared" si="120"/>
        <v>3.9E-2</v>
      </c>
      <c r="R885">
        <f t="shared" si="121"/>
        <v>1.4999999999999999E-2</v>
      </c>
      <c r="S885">
        <f t="shared" si="122"/>
        <v>0.76300000000000001</v>
      </c>
      <c r="T885">
        <f t="shared" si="123"/>
        <v>2.6036000000000001</v>
      </c>
      <c r="U885">
        <f t="shared" si="124"/>
        <v>7.2982913600000003</v>
      </c>
      <c r="V885">
        <f t="shared" si="125"/>
        <v>3.5999999999999997E-2</v>
      </c>
      <c r="W885">
        <f t="shared" si="126"/>
        <v>0.125</v>
      </c>
      <c r="X885">
        <f t="shared" si="127"/>
        <v>0.75600000000000001</v>
      </c>
      <c r="Y885">
        <v>318.96950340000001</v>
      </c>
      <c r="Z885">
        <v>0</v>
      </c>
      <c r="AA885">
        <v>236250</v>
      </c>
      <c r="AB885">
        <v>76158</v>
      </c>
      <c r="AC885">
        <v>1.7652984E-2</v>
      </c>
      <c r="AD885">
        <v>0.84750225300000004</v>
      </c>
      <c r="AF885">
        <v>12.82016471</v>
      </c>
      <c r="AG885">
        <v>3.9E-2</v>
      </c>
      <c r="AH885">
        <v>1.4999999999999999E-2</v>
      </c>
      <c r="AI885">
        <v>0.76300000000000001</v>
      </c>
      <c r="AJ885">
        <v>2.6036000000000001</v>
      </c>
      <c r="AK885">
        <v>7.2982913600000003</v>
      </c>
      <c r="AL885">
        <v>3.5999999999999997E-2</v>
      </c>
      <c r="AM885">
        <v>0.125</v>
      </c>
      <c r="AN885">
        <v>0.75600000000000001</v>
      </c>
    </row>
    <row r="886" spans="1:40">
      <c r="A886">
        <v>2954</v>
      </c>
      <c r="B886" t="s">
        <v>692</v>
      </c>
      <c r="C886" t="s">
        <v>693</v>
      </c>
      <c r="D886" t="s">
        <v>694</v>
      </c>
      <c r="E886">
        <v>0</v>
      </c>
      <c r="F886">
        <v>0</v>
      </c>
      <c r="G886">
        <v>33.276159819999997</v>
      </c>
      <c r="H886">
        <v>555</v>
      </c>
      <c r="I886">
        <v>5.2012729000000001E-2</v>
      </c>
      <c r="J886">
        <v>555</v>
      </c>
      <c r="K886">
        <v>10670.46492</v>
      </c>
      <c r="L886">
        <v>0.90400000000000003</v>
      </c>
      <c r="M886" s="515">
        <v>1</v>
      </c>
      <c r="N886">
        <v>0</v>
      </c>
      <c r="O886" t="s">
        <v>620</v>
      </c>
      <c r="P886">
        <f t="shared" si="119"/>
        <v>13.58432099</v>
      </c>
      <c r="Q886">
        <f t="shared" si="120"/>
        <v>1.2828282828282822E-2</v>
      </c>
      <c r="R886">
        <f t="shared" si="121"/>
        <v>2.1000000000000001E-2</v>
      </c>
      <c r="S886">
        <f t="shared" si="122"/>
        <v>0.90400000000000003</v>
      </c>
      <c r="T886">
        <f t="shared" si="123"/>
        <v>1.9450000000000001</v>
      </c>
      <c r="U886">
        <f t="shared" si="124"/>
        <v>8.2380522569999997</v>
      </c>
      <c r="V886">
        <f t="shared" si="125"/>
        <v>4.3999999999999997E-2</v>
      </c>
      <c r="W886">
        <f t="shared" si="126"/>
        <v>4.7929411764705873E-2</v>
      </c>
      <c r="X886">
        <f t="shared" si="127"/>
        <v>0.9</v>
      </c>
      <c r="Y886">
        <v>128.51024760000001</v>
      </c>
      <c r="Z886">
        <v>0</v>
      </c>
      <c r="AA886">
        <v>77808</v>
      </c>
      <c r="AB886">
        <v>27489</v>
      </c>
      <c r="AC886">
        <v>1.1225541E-2</v>
      </c>
      <c r="AD886">
        <v>0.835708267</v>
      </c>
      <c r="AF886">
        <v>13.58432099</v>
      </c>
      <c r="AG886">
        <v>0</v>
      </c>
      <c r="AH886">
        <v>2.1000000000000001E-2</v>
      </c>
      <c r="AI886">
        <v>0.90400000000000003</v>
      </c>
      <c r="AJ886">
        <v>1.9450000000000001</v>
      </c>
      <c r="AK886">
        <v>8.2380522569999997</v>
      </c>
      <c r="AL886">
        <v>4.3999999999999997E-2</v>
      </c>
      <c r="AM886">
        <v>0</v>
      </c>
      <c r="AN886">
        <v>0.9</v>
      </c>
    </row>
    <row r="887" spans="1:40">
      <c r="A887">
        <v>2955</v>
      </c>
      <c r="B887" t="s">
        <v>707</v>
      </c>
      <c r="C887" t="s">
        <v>693</v>
      </c>
      <c r="D887" t="s">
        <v>694</v>
      </c>
      <c r="E887">
        <v>7</v>
      </c>
      <c r="F887">
        <v>88</v>
      </c>
      <c r="G887">
        <v>2059.019065</v>
      </c>
      <c r="H887">
        <v>19</v>
      </c>
      <c r="I887" s="515">
        <v>3.2184094872180098</v>
      </c>
      <c r="J887">
        <v>107</v>
      </c>
      <c r="K887">
        <v>33.246235579999997</v>
      </c>
      <c r="L887" s="515">
        <v>1</v>
      </c>
      <c r="M887">
        <v>0.73076923100000002</v>
      </c>
      <c r="N887">
        <v>0</v>
      </c>
      <c r="O887" t="s">
        <v>625</v>
      </c>
      <c r="P887">
        <f t="shared" si="119"/>
        <v>21.006666670000001</v>
      </c>
      <c r="Q887">
        <f t="shared" si="120"/>
        <v>2.0450000000000006E-2</v>
      </c>
      <c r="R887">
        <f t="shared" si="121"/>
        <v>7.2846153846153852E-2</v>
      </c>
      <c r="S887">
        <f t="shared" si="122"/>
        <v>1</v>
      </c>
      <c r="T887">
        <f t="shared" si="123"/>
        <v>2.2191326312692303</v>
      </c>
      <c r="U887">
        <f t="shared" si="124"/>
        <v>10.859090910000001</v>
      </c>
      <c r="V887">
        <f t="shared" si="125"/>
        <v>0.11835714285714286</v>
      </c>
      <c r="W887">
        <f t="shared" si="126"/>
        <v>8.5526315789473686E-2</v>
      </c>
      <c r="X887">
        <f t="shared" si="127"/>
        <v>1</v>
      </c>
      <c r="Y887">
        <v>12.049336070000001</v>
      </c>
      <c r="Z887">
        <v>0</v>
      </c>
      <c r="AA887">
        <v>21149</v>
      </c>
      <c r="AB887">
        <v>6968</v>
      </c>
      <c r="AC887">
        <v>1.6645858999999999E-2</v>
      </c>
      <c r="AD887">
        <v>0.89069218999999999</v>
      </c>
      <c r="AF887">
        <v>21.006666670000001</v>
      </c>
      <c r="AG887">
        <v>0</v>
      </c>
      <c r="AH887">
        <v>0</v>
      </c>
      <c r="AI887">
        <v>1</v>
      </c>
      <c r="AK887">
        <v>10.859090910000001</v>
      </c>
      <c r="AL887">
        <v>0</v>
      </c>
      <c r="AM887">
        <v>0</v>
      </c>
      <c r="AN887">
        <v>1</v>
      </c>
    </row>
    <row r="888" spans="1:40">
      <c r="A888">
        <v>2956</v>
      </c>
      <c r="B888" t="s">
        <v>698</v>
      </c>
      <c r="C888" t="s">
        <v>693</v>
      </c>
      <c r="D888" t="s">
        <v>694</v>
      </c>
      <c r="E888">
        <v>460</v>
      </c>
      <c r="F888">
        <v>1465</v>
      </c>
      <c r="G888">
        <v>90.080662029999999</v>
      </c>
      <c r="H888">
        <v>186</v>
      </c>
      <c r="I888">
        <v>0.14080999399999999</v>
      </c>
      <c r="J888">
        <v>1651</v>
      </c>
      <c r="K888">
        <v>11725.02003</v>
      </c>
      <c r="L888">
        <v>0.77200000000000002</v>
      </c>
      <c r="M888">
        <v>0.28792569699999998</v>
      </c>
      <c r="N888">
        <v>0</v>
      </c>
      <c r="O888" t="s">
        <v>620</v>
      </c>
      <c r="P888">
        <f t="shared" si="119"/>
        <v>15.50893082</v>
      </c>
      <c r="Q888">
        <f t="shared" si="120"/>
        <v>1.9E-2</v>
      </c>
      <c r="R888">
        <f t="shared" si="121"/>
        <v>1.7999999999999999E-2</v>
      </c>
      <c r="S888">
        <f t="shared" si="122"/>
        <v>0.77200000000000002</v>
      </c>
      <c r="T888">
        <f t="shared" si="123"/>
        <v>1.8883333330000001</v>
      </c>
      <c r="U888">
        <f t="shared" si="124"/>
        <v>6.9863742689999997</v>
      </c>
      <c r="V888">
        <f t="shared" si="125"/>
        <v>3.1E-2</v>
      </c>
      <c r="W888">
        <f t="shared" si="126"/>
        <v>6.2E-2</v>
      </c>
      <c r="X888">
        <f t="shared" si="127"/>
        <v>0.82399999999999995</v>
      </c>
      <c r="Y888">
        <v>135.05539289999999</v>
      </c>
      <c r="Z888">
        <v>0</v>
      </c>
      <c r="AA888">
        <v>88250</v>
      </c>
      <c r="AB888">
        <v>31723</v>
      </c>
      <c r="AC888">
        <v>1.0795895999999999E-2</v>
      </c>
      <c r="AD888">
        <v>0.817760245</v>
      </c>
      <c r="AF888">
        <v>15.50893082</v>
      </c>
      <c r="AG888">
        <v>1.9E-2</v>
      </c>
      <c r="AH888">
        <v>1.7999999999999999E-2</v>
      </c>
      <c r="AI888">
        <v>0.77200000000000002</v>
      </c>
      <c r="AJ888">
        <v>1.8883333330000001</v>
      </c>
      <c r="AK888">
        <v>6.9863742689999997</v>
      </c>
      <c r="AL888">
        <v>3.1E-2</v>
      </c>
      <c r="AM888">
        <v>6.2E-2</v>
      </c>
      <c r="AN888">
        <v>0.82399999999999995</v>
      </c>
    </row>
    <row r="889" spans="1:40">
      <c r="A889">
        <v>2957</v>
      </c>
      <c r="B889" t="s">
        <v>689</v>
      </c>
      <c r="C889" t="s">
        <v>687</v>
      </c>
      <c r="D889" t="s">
        <v>688</v>
      </c>
      <c r="E889">
        <v>0</v>
      </c>
      <c r="F889">
        <v>0</v>
      </c>
      <c r="G889">
        <v>647.96425750000003</v>
      </c>
      <c r="H889">
        <v>1119</v>
      </c>
      <c r="I889" s="515">
        <v>1.01287036564359</v>
      </c>
      <c r="J889">
        <v>1119</v>
      </c>
      <c r="K889">
        <v>1104.781064</v>
      </c>
      <c r="L889">
        <v>0.97199999999999998</v>
      </c>
      <c r="M889" s="515">
        <v>1</v>
      </c>
      <c r="N889">
        <v>0</v>
      </c>
      <c r="O889" t="s">
        <v>625</v>
      </c>
      <c r="P889">
        <f t="shared" si="119"/>
        <v>16.048659789999999</v>
      </c>
      <c r="Q889">
        <f t="shared" si="120"/>
        <v>6.0302483069977368E-2</v>
      </c>
      <c r="R889">
        <f t="shared" si="121"/>
        <v>1.2E-2</v>
      </c>
      <c r="S889">
        <f t="shared" si="122"/>
        <v>0.97199999999999998</v>
      </c>
      <c r="T889">
        <f t="shared" si="123"/>
        <v>5.26</v>
      </c>
      <c r="U889">
        <f t="shared" si="124"/>
        <v>12.302319150000001</v>
      </c>
      <c r="V889">
        <f t="shared" si="125"/>
        <v>0.02</v>
      </c>
      <c r="W889">
        <f t="shared" si="126"/>
        <v>0.17334782608695659</v>
      </c>
      <c r="X889">
        <f t="shared" si="127"/>
        <v>0.98</v>
      </c>
      <c r="Y889">
        <v>163.38196540000001</v>
      </c>
      <c r="Z889">
        <v>0</v>
      </c>
      <c r="AA889">
        <v>454184</v>
      </c>
      <c r="AB889">
        <v>170596</v>
      </c>
      <c r="AC889">
        <v>6.5715274000000004E-2</v>
      </c>
      <c r="AD889">
        <v>0.72549415100000003</v>
      </c>
      <c r="AF889">
        <v>16.048659789999999</v>
      </c>
      <c r="AG889">
        <v>0</v>
      </c>
      <c r="AH889">
        <v>1.2E-2</v>
      </c>
      <c r="AI889">
        <v>0.97199999999999998</v>
      </c>
      <c r="AJ889">
        <v>5.26</v>
      </c>
      <c r="AK889">
        <v>12.302319150000001</v>
      </c>
      <c r="AL889">
        <v>0.02</v>
      </c>
      <c r="AM889">
        <v>0</v>
      </c>
      <c r="AN889">
        <v>0.98</v>
      </c>
    </row>
    <row r="890" spans="1:40">
      <c r="A890">
        <v>2958</v>
      </c>
      <c r="B890" t="s">
        <v>690</v>
      </c>
      <c r="C890" t="s">
        <v>687</v>
      </c>
      <c r="D890" t="s">
        <v>688</v>
      </c>
      <c r="E890">
        <v>672</v>
      </c>
      <c r="F890">
        <v>2110</v>
      </c>
      <c r="G890">
        <v>114.1001509</v>
      </c>
      <c r="H890">
        <v>257</v>
      </c>
      <c r="I890">
        <v>0.17835578899999999</v>
      </c>
      <c r="J890">
        <v>2367</v>
      </c>
      <c r="K890">
        <v>13271.22609</v>
      </c>
      <c r="L890">
        <v>0.7</v>
      </c>
      <c r="M890">
        <v>0.27664155000000001</v>
      </c>
      <c r="N890">
        <v>0</v>
      </c>
      <c r="O890" t="s">
        <v>613</v>
      </c>
      <c r="P890">
        <f t="shared" si="119"/>
        <v>11.02472906</v>
      </c>
      <c r="Q890">
        <f t="shared" si="120"/>
        <v>6.7000000000000004E-2</v>
      </c>
      <c r="R890">
        <f t="shared" si="121"/>
        <v>0.03</v>
      </c>
      <c r="S890">
        <f t="shared" si="122"/>
        <v>0.7</v>
      </c>
      <c r="T890">
        <f t="shared" si="123"/>
        <v>2.2631818180000001</v>
      </c>
      <c r="U890">
        <f t="shared" si="124"/>
        <v>6.1949847719999998</v>
      </c>
      <c r="V890">
        <f t="shared" si="125"/>
        <v>6.9000000000000006E-2</v>
      </c>
      <c r="W890">
        <f t="shared" si="126"/>
        <v>0.18099999999999999</v>
      </c>
      <c r="X890">
        <f t="shared" si="127"/>
        <v>0.70499999999999996</v>
      </c>
      <c r="Y890">
        <v>342.96453989999998</v>
      </c>
      <c r="Z890">
        <v>0</v>
      </c>
      <c r="AA890">
        <v>82284</v>
      </c>
      <c r="AB890">
        <v>32030</v>
      </c>
      <c r="AC890">
        <v>4.7570397E-2</v>
      </c>
      <c r="AD890">
        <v>0.78974696300000002</v>
      </c>
      <c r="AF890">
        <v>11.02472906</v>
      </c>
      <c r="AG890">
        <v>6.7000000000000004E-2</v>
      </c>
      <c r="AH890">
        <v>0.03</v>
      </c>
      <c r="AI890">
        <v>0.7</v>
      </c>
      <c r="AJ890">
        <v>2.2631818180000001</v>
      </c>
      <c r="AK890">
        <v>6.1949847719999998</v>
      </c>
      <c r="AL890">
        <v>6.9000000000000006E-2</v>
      </c>
      <c r="AM890">
        <v>0.18099999999999999</v>
      </c>
      <c r="AN890">
        <v>0.70499999999999996</v>
      </c>
    </row>
    <row r="891" spans="1:40">
      <c r="A891">
        <v>2959</v>
      </c>
      <c r="B891" t="s">
        <v>689</v>
      </c>
      <c r="C891" t="s">
        <v>687</v>
      </c>
      <c r="D891" t="s">
        <v>688</v>
      </c>
      <c r="E891">
        <v>421</v>
      </c>
      <c r="F891">
        <v>800</v>
      </c>
      <c r="G891">
        <v>22.00317433</v>
      </c>
      <c r="H891">
        <v>1419</v>
      </c>
      <c r="I891">
        <v>3.4394806E-2</v>
      </c>
      <c r="J891">
        <v>2219</v>
      </c>
      <c r="K891">
        <v>64515.555050000003</v>
      </c>
      <c r="L891">
        <v>0.64200000000000002</v>
      </c>
      <c r="M891">
        <v>0.77119565199999995</v>
      </c>
      <c r="N891">
        <v>1</v>
      </c>
      <c r="O891" t="s">
        <v>606</v>
      </c>
      <c r="P891">
        <f t="shared" si="119"/>
        <v>12.646421050000001</v>
      </c>
      <c r="Q891">
        <f t="shared" si="120"/>
        <v>9.4E-2</v>
      </c>
      <c r="R891">
        <f t="shared" si="121"/>
        <v>2.7E-2</v>
      </c>
      <c r="S891">
        <f t="shared" si="122"/>
        <v>0.64200000000000002</v>
      </c>
      <c r="T891">
        <f t="shared" si="123"/>
        <v>1.7718367349999999</v>
      </c>
      <c r="U891">
        <f t="shared" si="124"/>
        <v>7.4587992830000003</v>
      </c>
      <c r="V891">
        <f t="shared" si="125"/>
        <v>5.2999999999999999E-2</v>
      </c>
      <c r="W891">
        <f t="shared" si="126"/>
        <v>0.28999999999999998</v>
      </c>
      <c r="X891">
        <f t="shared" si="127"/>
        <v>0.52900000000000003</v>
      </c>
      <c r="Y891">
        <v>156.12406129999999</v>
      </c>
      <c r="Z891">
        <v>0</v>
      </c>
      <c r="AA891">
        <v>454184</v>
      </c>
      <c r="AB891">
        <v>170596</v>
      </c>
      <c r="AC891">
        <v>6.5715274000000004E-2</v>
      </c>
      <c r="AD891">
        <v>0.72549415100000003</v>
      </c>
      <c r="AF891">
        <v>12.646421050000001</v>
      </c>
      <c r="AG891">
        <v>9.4E-2</v>
      </c>
      <c r="AH891">
        <v>2.7E-2</v>
      </c>
      <c r="AI891">
        <v>0.64200000000000002</v>
      </c>
      <c r="AJ891">
        <v>1.7718367349999999</v>
      </c>
      <c r="AK891">
        <v>7.4587992830000003</v>
      </c>
      <c r="AL891">
        <v>5.2999999999999999E-2</v>
      </c>
      <c r="AM891">
        <v>0.28999999999999998</v>
      </c>
      <c r="AN891">
        <v>0.52900000000000003</v>
      </c>
    </row>
    <row r="892" spans="1:40">
      <c r="A892">
        <v>2960</v>
      </c>
      <c r="B892" t="s">
        <v>707</v>
      </c>
      <c r="C892" t="s">
        <v>693</v>
      </c>
      <c r="D892" t="s">
        <v>694</v>
      </c>
      <c r="E892">
        <v>284</v>
      </c>
      <c r="F892">
        <v>1424</v>
      </c>
      <c r="G892">
        <v>1118.6754060000001</v>
      </c>
      <c r="H892">
        <v>118</v>
      </c>
      <c r="I892" s="515">
        <v>1.74862000520453</v>
      </c>
      <c r="J892">
        <v>1542</v>
      </c>
      <c r="K892">
        <v>881.83824700000002</v>
      </c>
      <c r="L892">
        <v>0.92800000000000005</v>
      </c>
      <c r="M892">
        <v>0.293532338</v>
      </c>
      <c r="N892">
        <v>0</v>
      </c>
      <c r="O892" t="s">
        <v>625</v>
      </c>
      <c r="P892">
        <f t="shared" si="119"/>
        <v>18.66153061</v>
      </c>
      <c r="Q892">
        <f t="shared" si="120"/>
        <v>8.9999999999999993E-3</v>
      </c>
      <c r="R892">
        <f t="shared" si="121"/>
        <v>2.4E-2</v>
      </c>
      <c r="S892">
        <f t="shared" si="122"/>
        <v>0.92800000000000005</v>
      </c>
      <c r="T892">
        <f t="shared" si="123"/>
        <v>2.7949999999999999</v>
      </c>
      <c r="U892">
        <f t="shared" si="124"/>
        <v>8.9293311039999992</v>
      </c>
      <c r="V892">
        <f t="shared" si="125"/>
        <v>1.9E-2</v>
      </c>
      <c r="W892">
        <f t="shared" si="126"/>
        <v>5.7000000000000002E-2</v>
      </c>
      <c r="X892">
        <f t="shared" si="127"/>
        <v>0.92500000000000004</v>
      </c>
      <c r="Y892">
        <v>21.857191619999998</v>
      </c>
      <c r="Z892">
        <v>0</v>
      </c>
      <c r="AA892">
        <v>21149</v>
      </c>
      <c r="AB892">
        <v>6968</v>
      </c>
      <c r="AC892">
        <v>1.6645858999999999E-2</v>
      </c>
      <c r="AD892">
        <v>0.89069218999999999</v>
      </c>
      <c r="AF892">
        <v>18.66153061</v>
      </c>
      <c r="AG892">
        <v>8.9999999999999993E-3</v>
      </c>
      <c r="AH892">
        <v>2.4E-2</v>
      </c>
      <c r="AI892">
        <v>0.92800000000000005</v>
      </c>
      <c r="AJ892">
        <v>2.7949999999999999</v>
      </c>
      <c r="AK892">
        <v>8.9293311039999992</v>
      </c>
      <c r="AL892">
        <v>1.9E-2</v>
      </c>
      <c r="AM892">
        <v>5.7000000000000002E-2</v>
      </c>
      <c r="AN892">
        <v>0.92500000000000004</v>
      </c>
    </row>
    <row r="893" spans="1:40">
      <c r="A893">
        <v>2961</v>
      </c>
      <c r="B893" t="s">
        <v>689</v>
      </c>
      <c r="C893" t="s">
        <v>687</v>
      </c>
      <c r="D893" t="s">
        <v>688</v>
      </c>
      <c r="E893">
        <v>88</v>
      </c>
      <c r="F893">
        <v>261</v>
      </c>
      <c r="G893">
        <v>21.920749669999999</v>
      </c>
      <c r="H893">
        <v>3111</v>
      </c>
      <c r="I893">
        <v>3.4266360000000003E-2</v>
      </c>
      <c r="J893">
        <v>3372</v>
      </c>
      <c r="K893">
        <v>98405.549929999994</v>
      </c>
      <c r="L893">
        <v>0.627</v>
      </c>
      <c r="M893">
        <v>0.972491404</v>
      </c>
      <c r="N893">
        <v>1</v>
      </c>
      <c r="O893" t="s">
        <v>606</v>
      </c>
      <c r="P893">
        <f t="shared" si="119"/>
        <v>14.01595174</v>
      </c>
      <c r="Q893">
        <f t="shared" si="120"/>
        <v>0.13600000000000001</v>
      </c>
      <c r="R893">
        <f t="shared" si="121"/>
        <v>3.5000000000000003E-2</v>
      </c>
      <c r="S893">
        <f t="shared" si="122"/>
        <v>0.627</v>
      </c>
      <c r="T893">
        <f t="shared" si="123"/>
        <v>2.1393650790000001</v>
      </c>
      <c r="U893">
        <f t="shared" si="124"/>
        <v>9.1941748440000008</v>
      </c>
      <c r="V893">
        <f t="shared" si="125"/>
        <v>4.1000000000000002E-2</v>
      </c>
      <c r="W893">
        <f t="shared" si="126"/>
        <v>0.28199999999999997</v>
      </c>
      <c r="X893">
        <f t="shared" si="127"/>
        <v>0.61199999999999999</v>
      </c>
      <c r="Y893">
        <v>290.23362550000002</v>
      </c>
      <c r="Z893">
        <v>0</v>
      </c>
      <c r="AA893">
        <v>454184</v>
      </c>
      <c r="AB893">
        <v>170596</v>
      </c>
      <c r="AC893">
        <v>6.5715274000000004E-2</v>
      </c>
      <c r="AD893">
        <v>0.72549415100000003</v>
      </c>
      <c r="AF893">
        <v>14.01595174</v>
      </c>
      <c r="AG893">
        <v>0.13600000000000001</v>
      </c>
      <c r="AH893">
        <v>3.5000000000000003E-2</v>
      </c>
      <c r="AI893">
        <v>0.627</v>
      </c>
      <c r="AJ893">
        <v>2.1393650790000001</v>
      </c>
      <c r="AK893">
        <v>9.1941748440000008</v>
      </c>
      <c r="AL893">
        <v>4.1000000000000002E-2</v>
      </c>
      <c r="AM893">
        <v>0.28199999999999997</v>
      </c>
      <c r="AN893">
        <v>0.61199999999999999</v>
      </c>
    </row>
    <row r="894" spans="1:40">
      <c r="A894">
        <v>2962</v>
      </c>
      <c r="B894" t="s">
        <v>707</v>
      </c>
      <c r="C894" t="s">
        <v>693</v>
      </c>
      <c r="D894" t="s">
        <v>694</v>
      </c>
      <c r="E894">
        <v>51</v>
      </c>
      <c r="F894">
        <v>165</v>
      </c>
      <c r="G894">
        <v>52868.912360000002</v>
      </c>
      <c r="H894">
        <v>194</v>
      </c>
      <c r="I894" s="515">
        <v>82.638134875511597</v>
      </c>
      <c r="J894">
        <v>359</v>
      </c>
      <c r="K894">
        <v>4.3442413179999999</v>
      </c>
      <c r="L894" s="515">
        <v>1</v>
      </c>
      <c r="M894">
        <v>0.79183673499999996</v>
      </c>
      <c r="N894">
        <v>0</v>
      </c>
      <c r="O894" t="s">
        <v>625</v>
      </c>
      <c r="P894">
        <f t="shared" si="119"/>
        <v>26.03458333</v>
      </c>
      <c r="Q894">
        <f t="shared" si="120"/>
        <v>2.0450000000000006E-2</v>
      </c>
      <c r="R894">
        <f t="shared" si="121"/>
        <v>7.2846153846153852E-2</v>
      </c>
      <c r="S894">
        <f t="shared" si="122"/>
        <v>1</v>
      </c>
      <c r="T894">
        <f t="shared" si="123"/>
        <v>2.2191326312692303</v>
      </c>
      <c r="U894">
        <f t="shared" si="124"/>
        <v>24.958200000000001</v>
      </c>
      <c r="V894">
        <f t="shared" si="125"/>
        <v>0.11835714285714286</v>
      </c>
      <c r="W894">
        <f t="shared" si="126"/>
        <v>8.5526315789473686E-2</v>
      </c>
      <c r="X894">
        <f t="shared" si="127"/>
        <v>1</v>
      </c>
      <c r="Y894">
        <v>1.6230319449999999</v>
      </c>
      <c r="Z894">
        <v>0</v>
      </c>
      <c r="AA894">
        <v>21149</v>
      </c>
      <c r="AB894">
        <v>6968</v>
      </c>
      <c r="AC894">
        <v>1.6645858999999999E-2</v>
      </c>
      <c r="AD894">
        <v>0.89069218999999999</v>
      </c>
      <c r="AF894">
        <v>26.03458333</v>
      </c>
      <c r="AG894">
        <v>0</v>
      </c>
      <c r="AH894">
        <v>0</v>
      </c>
      <c r="AI894">
        <v>1</v>
      </c>
      <c r="AK894">
        <v>24.958200000000001</v>
      </c>
      <c r="AL894">
        <v>0</v>
      </c>
      <c r="AM894">
        <v>0</v>
      </c>
      <c r="AN894">
        <v>1</v>
      </c>
    </row>
    <row r="895" spans="1:40">
      <c r="A895">
        <v>2963</v>
      </c>
      <c r="B895" t="s">
        <v>692</v>
      </c>
      <c r="C895" t="s">
        <v>693</v>
      </c>
      <c r="D895" t="s">
        <v>694</v>
      </c>
      <c r="E895">
        <v>1126</v>
      </c>
      <c r="F895">
        <v>2756</v>
      </c>
      <c r="G895">
        <v>119.85270850000001</v>
      </c>
      <c r="H895">
        <v>1136</v>
      </c>
      <c r="I895">
        <v>0.18733925100000001</v>
      </c>
      <c r="J895">
        <v>3892</v>
      </c>
      <c r="K895">
        <v>20775.14445</v>
      </c>
      <c r="L895">
        <v>0.76900000000000002</v>
      </c>
      <c r="M895">
        <v>0.50221043300000001</v>
      </c>
      <c r="N895">
        <v>0</v>
      </c>
      <c r="O895" t="s">
        <v>620</v>
      </c>
      <c r="P895">
        <f t="shared" si="119"/>
        <v>14.165350139999999</v>
      </c>
      <c r="Q895">
        <f t="shared" si="120"/>
        <v>1.2999999999999999E-2</v>
      </c>
      <c r="R895">
        <f t="shared" si="121"/>
        <v>1.6E-2</v>
      </c>
      <c r="S895">
        <f t="shared" si="122"/>
        <v>0.76900000000000002</v>
      </c>
      <c r="T895">
        <f t="shared" si="123"/>
        <v>1.463809524</v>
      </c>
      <c r="U895">
        <f t="shared" si="124"/>
        <v>7.697913486</v>
      </c>
      <c r="V895">
        <f t="shared" si="125"/>
        <v>0.03</v>
      </c>
      <c r="W895">
        <f t="shared" si="126"/>
        <v>0.04</v>
      </c>
      <c r="X895">
        <f t="shared" si="127"/>
        <v>0.88400000000000001</v>
      </c>
      <c r="Y895">
        <v>138.10989140000001</v>
      </c>
      <c r="Z895">
        <v>0</v>
      </c>
      <c r="AA895">
        <v>77808</v>
      </c>
      <c r="AB895">
        <v>27489</v>
      </c>
      <c r="AC895">
        <v>1.1225541E-2</v>
      </c>
      <c r="AD895">
        <v>0.835708267</v>
      </c>
      <c r="AF895">
        <v>14.165350139999999</v>
      </c>
      <c r="AG895">
        <v>1.2999999999999999E-2</v>
      </c>
      <c r="AH895">
        <v>1.6E-2</v>
      </c>
      <c r="AI895">
        <v>0.76900000000000002</v>
      </c>
      <c r="AJ895">
        <v>1.463809524</v>
      </c>
      <c r="AK895">
        <v>7.697913486</v>
      </c>
      <c r="AL895">
        <v>0.03</v>
      </c>
      <c r="AM895">
        <v>0.04</v>
      </c>
      <c r="AN895">
        <v>0.88400000000000001</v>
      </c>
    </row>
    <row r="896" spans="1:40">
      <c r="A896">
        <v>2964</v>
      </c>
      <c r="B896" t="s">
        <v>705</v>
      </c>
      <c r="C896" t="s">
        <v>696</v>
      </c>
      <c r="D896" t="s">
        <v>697</v>
      </c>
      <c r="E896">
        <v>267</v>
      </c>
      <c r="F896">
        <v>870</v>
      </c>
      <c r="G896">
        <v>46.622844280000002</v>
      </c>
      <c r="H896">
        <v>1031</v>
      </c>
      <c r="I896">
        <v>7.2882479E-2</v>
      </c>
      <c r="J896">
        <v>1901</v>
      </c>
      <c r="K896">
        <v>26083.086439999999</v>
      </c>
      <c r="L896">
        <v>0.87</v>
      </c>
      <c r="M896">
        <v>0.79429892099999999</v>
      </c>
      <c r="N896">
        <v>0</v>
      </c>
      <c r="O896" t="s">
        <v>620</v>
      </c>
      <c r="P896">
        <f t="shared" si="119"/>
        <v>10.703049999999999</v>
      </c>
      <c r="Q896">
        <f t="shared" si="120"/>
        <v>1.0999999999999999E-2</v>
      </c>
      <c r="R896">
        <f t="shared" si="121"/>
        <v>2.1999999999999999E-2</v>
      </c>
      <c r="S896">
        <f t="shared" si="122"/>
        <v>0.87</v>
      </c>
      <c r="T896">
        <f t="shared" si="123"/>
        <v>2.335217391</v>
      </c>
      <c r="U896">
        <f t="shared" si="124"/>
        <v>7.2744243790000001</v>
      </c>
      <c r="V896">
        <f t="shared" si="125"/>
        <v>4.8000000000000001E-2</v>
      </c>
      <c r="W896">
        <f t="shared" si="126"/>
        <v>3.5000000000000003E-2</v>
      </c>
      <c r="X896">
        <f t="shared" si="127"/>
        <v>0.877</v>
      </c>
      <c r="Y896">
        <v>167.396908</v>
      </c>
      <c r="Z896">
        <v>0</v>
      </c>
      <c r="AA896">
        <v>152832</v>
      </c>
      <c r="AB896">
        <v>45686</v>
      </c>
      <c r="AC896">
        <v>2.1596295000000001E-2</v>
      </c>
      <c r="AD896">
        <v>0.84212384500000004</v>
      </c>
      <c r="AF896">
        <v>10.703049999999999</v>
      </c>
      <c r="AG896">
        <v>1.0999999999999999E-2</v>
      </c>
      <c r="AH896">
        <v>2.1999999999999999E-2</v>
      </c>
      <c r="AI896">
        <v>0.87</v>
      </c>
      <c r="AJ896">
        <v>2.335217391</v>
      </c>
      <c r="AK896">
        <v>7.2744243790000001</v>
      </c>
      <c r="AL896">
        <v>4.8000000000000001E-2</v>
      </c>
      <c r="AM896">
        <v>3.5000000000000003E-2</v>
      </c>
      <c r="AN896">
        <v>0.877</v>
      </c>
    </row>
    <row r="897" spans="1:40">
      <c r="A897">
        <v>2965</v>
      </c>
      <c r="B897" t="s">
        <v>705</v>
      </c>
      <c r="C897" t="s">
        <v>696</v>
      </c>
      <c r="D897" t="s">
        <v>697</v>
      </c>
      <c r="E897">
        <v>288</v>
      </c>
      <c r="F897">
        <v>746</v>
      </c>
      <c r="G897">
        <v>37.06356529</v>
      </c>
      <c r="H897">
        <v>263</v>
      </c>
      <c r="I897">
        <v>5.7934429000000003E-2</v>
      </c>
      <c r="J897">
        <v>1009</v>
      </c>
      <c r="K897">
        <v>17416.241389999999</v>
      </c>
      <c r="L897">
        <v>0.82199999999999995</v>
      </c>
      <c r="M897">
        <v>0.477313975</v>
      </c>
      <c r="N897">
        <v>1</v>
      </c>
      <c r="O897" t="s">
        <v>613</v>
      </c>
      <c r="P897">
        <f t="shared" si="119"/>
        <v>17.874285709999999</v>
      </c>
      <c r="Q897">
        <f t="shared" si="120"/>
        <v>2.3E-2</v>
      </c>
      <c r="R897">
        <f t="shared" si="121"/>
        <v>0.01</v>
      </c>
      <c r="S897">
        <f t="shared" si="122"/>
        <v>0.82199999999999995</v>
      </c>
      <c r="T897">
        <f t="shared" si="123"/>
        <v>2.7266666669999999</v>
      </c>
      <c r="U897">
        <f t="shared" si="124"/>
        <v>7.8313360320000003</v>
      </c>
      <c r="V897">
        <f t="shared" si="125"/>
        <v>3.8837398373983721E-2</v>
      </c>
      <c r="W897">
        <f t="shared" si="126"/>
        <v>0.106</v>
      </c>
      <c r="X897">
        <f t="shared" si="127"/>
        <v>0.82399999999999995</v>
      </c>
      <c r="Y897">
        <v>201.5706017</v>
      </c>
      <c r="Z897">
        <v>0</v>
      </c>
      <c r="AA897">
        <v>152832</v>
      </c>
      <c r="AB897">
        <v>45686</v>
      </c>
      <c r="AC897">
        <v>2.1596295000000001E-2</v>
      </c>
      <c r="AD897">
        <v>0.84212384500000004</v>
      </c>
      <c r="AF897">
        <v>17.874285709999999</v>
      </c>
      <c r="AG897">
        <v>2.3E-2</v>
      </c>
      <c r="AH897">
        <v>0.01</v>
      </c>
      <c r="AI897">
        <v>0.82199999999999995</v>
      </c>
      <c r="AJ897">
        <v>2.7266666669999999</v>
      </c>
      <c r="AK897">
        <v>7.8313360320000003</v>
      </c>
      <c r="AL897">
        <v>0</v>
      </c>
      <c r="AM897">
        <v>0.106</v>
      </c>
      <c r="AN897">
        <v>0.82399999999999995</v>
      </c>
    </row>
    <row r="898" spans="1:40">
      <c r="A898">
        <v>2966</v>
      </c>
      <c r="B898" t="s">
        <v>705</v>
      </c>
      <c r="C898" t="s">
        <v>696</v>
      </c>
      <c r="D898" t="s">
        <v>697</v>
      </c>
      <c r="E898">
        <v>296</v>
      </c>
      <c r="F898">
        <v>1120</v>
      </c>
      <c r="G898">
        <v>101.4747232</v>
      </c>
      <c r="H898">
        <v>1585</v>
      </c>
      <c r="I898">
        <v>0.15861810900000001</v>
      </c>
      <c r="J898">
        <v>2705</v>
      </c>
      <c r="K898">
        <v>17053.53832</v>
      </c>
      <c r="L898">
        <v>0.83699999999999997</v>
      </c>
      <c r="M898">
        <v>0.84263689500000005</v>
      </c>
      <c r="N898">
        <v>0</v>
      </c>
      <c r="O898" t="s">
        <v>620</v>
      </c>
      <c r="P898">
        <f t="shared" si="119"/>
        <v>12.221346799999999</v>
      </c>
      <c r="Q898">
        <f t="shared" si="120"/>
        <v>1.6E-2</v>
      </c>
      <c r="R898">
        <f t="shared" si="121"/>
        <v>2.1999999999999999E-2</v>
      </c>
      <c r="S898">
        <f t="shared" si="122"/>
        <v>0.83699999999999997</v>
      </c>
      <c r="T898">
        <f t="shared" si="123"/>
        <v>1.456034483</v>
      </c>
      <c r="U898">
        <f t="shared" si="124"/>
        <v>7.2393677900000002</v>
      </c>
      <c r="V898">
        <f t="shared" si="125"/>
        <v>4.2999999999999997E-2</v>
      </c>
      <c r="W898">
        <f t="shared" si="126"/>
        <v>4.9000000000000002E-2</v>
      </c>
      <c r="X898">
        <f t="shared" si="127"/>
        <v>0.85599999999999998</v>
      </c>
      <c r="Y898">
        <v>102.2174897</v>
      </c>
      <c r="Z898">
        <v>0</v>
      </c>
      <c r="AA898">
        <v>152832</v>
      </c>
      <c r="AB898">
        <v>45686</v>
      </c>
      <c r="AC898">
        <v>2.1596295000000001E-2</v>
      </c>
      <c r="AD898">
        <v>0.84212384500000004</v>
      </c>
      <c r="AF898">
        <v>12.221346799999999</v>
      </c>
      <c r="AG898">
        <v>1.6E-2</v>
      </c>
      <c r="AH898">
        <v>2.1999999999999999E-2</v>
      </c>
      <c r="AI898">
        <v>0.83699999999999997</v>
      </c>
      <c r="AJ898">
        <v>1.456034483</v>
      </c>
      <c r="AK898">
        <v>7.2393677900000002</v>
      </c>
      <c r="AL898">
        <v>4.2999999999999997E-2</v>
      </c>
      <c r="AM898">
        <v>4.9000000000000002E-2</v>
      </c>
      <c r="AN898">
        <v>0.85599999999999998</v>
      </c>
    </row>
    <row r="899" spans="1:40">
      <c r="A899">
        <v>2967</v>
      </c>
      <c r="B899" t="s">
        <v>689</v>
      </c>
      <c r="C899" t="s">
        <v>687</v>
      </c>
      <c r="D899" t="s">
        <v>688</v>
      </c>
      <c r="E899">
        <v>3</v>
      </c>
      <c r="F899">
        <v>24</v>
      </c>
      <c r="G899">
        <v>160.43631070000001</v>
      </c>
      <c r="H899">
        <v>64</v>
      </c>
      <c r="I899">
        <v>0.25079066</v>
      </c>
      <c r="J899">
        <v>88</v>
      </c>
      <c r="K899">
        <v>350.89026039999999</v>
      </c>
      <c r="L899">
        <v>0.93899999999999995</v>
      </c>
      <c r="M899">
        <v>0.955223881</v>
      </c>
      <c r="N899">
        <v>0</v>
      </c>
      <c r="O899" t="s">
        <v>620</v>
      </c>
      <c r="P899">
        <f t="shared" si="119"/>
        <v>13.80619048</v>
      </c>
      <c r="Q899">
        <f t="shared" si="120"/>
        <v>6.0302483069977368E-2</v>
      </c>
      <c r="R899">
        <f t="shared" si="121"/>
        <v>3.1352808988764011E-2</v>
      </c>
      <c r="S899">
        <f t="shared" si="122"/>
        <v>0.93899999999999995</v>
      </c>
      <c r="T899">
        <f t="shared" si="123"/>
        <v>2.2353522564471904</v>
      </c>
      <c r="U899">
        <f t="shared" si="124"/>
        <v>9.8509677419999999</v>
      </c>
      <c r="V899">
        <f t="shared" si="125"/>
        <v>6.2414117647058849E-2</v>
      </c>
      <c r="W899">
        <f t="shared" si="126"/>
        <v>0.17334782608695659</v>
      </c>
      <c r="X899">
        <f t="shared" si="127"/>
        <v>1</v>
      </c>
      <c r="Y899">
        <v>111.6063369</v>
      </c>
      <c r="Z899">
        <v>0</v>
      </c>
      <c r="AA899">
        <v>454184</v>
      </c>
      <c r="AB899">
        <v>170596</v>
      </c>
      <c r="AC899">
        <v>6.5715274000000004E-2</v>
      </c>
      <c r="AD899">
        <v>0.72549415100000003</v>
      </c>
      <c r="AF899">
        <v>13.80619048</v>
      </c>
      <c r="AG899">
        <v>0</v>
      </c>
      <c r="AH899">
        <v>0</v>
      </c>
      <c r="AI899">
        <v>0.93899999999999995</v>
      </c>
      <c r="AK899">
        <v>9.8509677419999999</v>
      </c>
      <c r="AL899">
        <v>0</v>
      </c>
      <c r="AM899">
        <v>0</v>
      </c>
      <c r="AN899">
        <v>1</v>
      </c>
    </row>
    <row r="900" spans="1:40">
      <c r="A900">
        <v>2968</v>
      </c>
      <c r="B900" t="s">
        <v>689</v>
      </c>
      <c r="C900" t="s">
        <v>687</v>
      </c>
      <c r="D900" t="s">
        <v>688</v>
      </c>
      <c r="E900">
        <v>397</v>
      </c>
      <c r="F900">
        <v>745</v>
      </c>
      <c r="G900">
        <v>43.757498130000002</v>
      </c>
      <c r="H900">
        <v>2159</v>
      </c>
      <c r="I900">
        <v>6.8399696999999995E-2</v>
      </c>
      <c r="J900">
        <v>2904</v>
      </c>
      <c r="K900">
        <v>42456.328419999998</v>
      </c>
      <c r="L900">
        <v>0.68300000000000005</v>
      </c>
      <c r="M900">
        <v>0.84467918600000003</v>
      </c>
      <c r="N900">
        <v>1</v>
      </c>
      <c r="O900" t="s">
        <v>606</v>
      </c>
      <c r="P900">
        <f t="shared" si="119"/>
        <v>11.69802239</v>
      </c>
      <c r="Q900">
        <f t="shared" si="120"/>
        <v>0.10100000000000001</v>
      </c>
      <c r="R900">
        <f t="shared" si="121"/>
        <v>2.3E-2</v>
      </c>
      <c r="S900">
        <f t="shared" si="122"/>
        <v>0.68300000000000005</v>
      </c>
      <c r="T900">
        <f t="shared" si="123"/>
        <v>2.1636585369999999</v>
      </c>
      <c r="U900">
        <f t="shared" si="124"/>
        <v>7.361231697</v>
      </c>
      <c r="V900">
        <f t="shared" si="125"/>
        <v>4.7E-2</v>
      </c>
      <c r="W900">
        <f t="shared" si="126"/>
        <v>0.23799999999999999</v>
      </c>
      <c r="X900">
        <f t="shared" si="127"/>
        <v>0.626</v>
      </c>
      <c r="Y900">
        <v>399.90426869999999</v>
      </c>
      <c r="Z900">
        <v>0</v>
      </c>
      <c r="AA900">
        <v>454184</v>
      </c>
      <c r="AB900">
        <v>170596</v>
      </c>
      <c r="AC900">
        <v>6.5715274000000004E-2</v>
      </c>
      <c r="AD900">
        <v>0.72549415100000003</v>
      </c>
      <c r="AF900">
        <v>11.69802239</v>
      </c>
      <c r="AG900">
        <v>0.10100000000000001</v>
      </c>
      <c r="AH900">
        <v>2.3E-2</v>
      </c>
      <c r="AI900">
        <v>0.68300000000000005</v>
      </c>
      <c r="AJ900">
        <v>2.1636585369999999</v>
      </c>
      <c r="AK900">
        <v>7.361231697</v>
      </c>
      <c r="AL900">
        <v>4.7E-2</v>
      </c>
      <c r="AM900">
        <v>0.23799999999999999</v>
      </c>
      <c r="AN900">
        <v>0.626</v>
      </c>
    </row>
    <row r="901" spans="1:40">
      <c r="A901">
        <v>2969</v>
      </c>
      <c r="B901" t="s">
        <v>691</v>
      </c>
      <c r="C901" t="s">
        <v>684</v>
      </c>
      <c r="D901" t="s">
        <v>685</v>
      </c>
      <c r="E901">
        <v>1380</v>
      </c>
      <c r="F901">
        <v>3438</v>
      </c>
      <c r="G901">
        <v>82.719887139999997</v>
      </c>
      <c r="H901">
        <v>163</v>
      </c>
      <c r="I901">
        <v>0.12929939800000001</v>
      </c>
      <c r="J901">
        <v>3601</v>
      </c>
      <c r="K901">
        <v>27850.091</v>
      </c>
      <c r="L901">
        <v>0.77800000000000002</v>
      </c>
      <c r="M901">
        <v>0.105638367</v>
      </c>
      <c r="N901">
        <v>1</v>
      </c>
      <c r="O901" t="s">
        <v>613</v>
      </c>
      <c r="P901">
        <f t="shared" si="119"/>
        <v>13.090938510000001</v>
      </c>
      <c r="Q901">
        <f t="shared" si="120"/>
        <v>4.3999999999999997E-2</v>
      </c>
      <c r="R901">
        <f t="shared" si="121"/>
        <v>2.1999999999999999E-2</v>
      </c>
      <c r="S901">
        <f t="shared" si="122"/>
        <v>0.77800000000000002</v>
      </c>
      <c r="T901">
        <f t="shared" si="123"/>
        <v>2.012105263</v>
      </c>
      <c r="U901">
        <f t="shared" si="124"/>
        <v>7.0365801530000001</v>
      </c>
      <c r="V901">
        <f t="shared" si="125"/>
        <v>2.5000000000000001E-2</v>
      </c>
      <c r="W901">
        <f t="shared" si="126"/>
        <v>9.0999999999999998E-2</v>
      </c>
      <c r="X901">
        <f t="shared" si="127"/>
        <v>0.84899999999999998</v>
      </c>
      <c r="Y901">
        <v>159.2426293</v>
      </c>
      <c r="Z901">
        <v>0</v>
      </c>
      <c r="AA901">
        <v>236250</v>
      </c>
      <c r="AB901">
        <v>76158</v>
      </c>
      <c r="AC901">
        <v>1.7652984E-2</v>
      </c>
      <c r="AD901">
        <v>0.84750225300000004</v>
      </c>
      <c r="AF901">
        <v>13.090938510000001</v>
      </c>
      <c r="AG901">
        <v>4.3999999999999997E-2</v>
      </c>
      <c r="AH901">
        <v>2.1999999999999999E-2</v>
      </c>
      <c r="AI901">
        <v>0.77800000000000002</v>
      </c>
      <c r="AJ901">
        <v>2.012105263</v>
      </c>
      <c r="AK901">
        <v>7.0365801530000001</v>
      </c>
      <c r="AL901">
        <v>2.5000000000000001E-2</v>
      </c>
      <c r="AM901">
        <v>9.0999999999999998E-2</v>
      </c>
      <c r="AN901">
        <v>0.84899999999999998</v>
      </c>
    </row>
    <row r="902" spans="1:40">
      <c r="A902">
        <v>2970</v>
      </c>
      <c r="B902" t="s">
        <v>691</v>
      </c>
      <c r="C902" t="s">
        <v>684</v>
      </c>
      <c r="D902" t="s">
        <v>685</v>
      </c>
      <c r="E902">
        <v>0</v>
      </c>
      <c r="F902">
        <v>0</v>
      </c>
      <c r="G902">
        <v>94.227915330000002</v>
      </c>
      <c r="H902">
        <v>397</v>
      </c>
      <c r="I902">
        <v>0.14728756000000001</v>
      </c>
      <c r="J902">
        <v>397</v>
      </c>
      <c r="K902">
        <v>2695.4075419999999</v>
      </c>
      <c r="L902">
        <v>0.84799999999999998</v>
      </c>
      <c r="M902" s="515">
        <v>1</v>
      </c>
      <c r="N902">
        <v>0</v>
      </c>
      <c r="O902" t="s">
        <v>613</v>
      </c>
      <c r="P902">
        <f t="shared" si="119"/>
        <v>10.714807690000001</v>
      </c>
      <c r="Q902">
        <f t="shared" si="120"/>
        <v>5.3999999999999999E-2</v>
      </c>
      <c r="R902">
        <f t="shared" si="121"/>
        <v>0.02</v>
      </c>
      <c r="S902">
        <f t="shared" si="122"/>
        <v>0.84799999999999998</v>
      </c>
      <c r="T902">
        <f t="shared" si="123"/>
        <v>2.6549999999999998</v>
      </c>
      <c r="U902">
        <f t="shared" si="124"/>
        <v>8.3818326689999996</v>
      </c>
      <c r="V902">
        <f t="shared" si="125"/>
        <v>3.1E-2</v>
      </c>
      <c r="W902">
        <f t="shared" si="126"/>
        <v>0.16900000000000001</v>
      </c>
      <c r="X902">
        <f t="shared" si="127"/>
        <v>0.8</v>
      </c>
      <c r="Y902">
        <v>139.1503956</v>
      </c>
      <c r="Z902">
        <v>0</v>
      </c>
      <c r="AA902">
        <v>236250</v>
      </c>
      <c r="AB902">
        <v>76158</v>
      </c>
      <c r="AC902">
        <v>1.7652984E-2</v>
      </c>
      <c r="AD902">
        <v>0.84750225300000004</v>
      </c>
      <c r="AF902">
        <v>10.714807690000001</v>
      </c>
      <c r="AG902">
        <v>5.3999999999999999E-2</v>
      </c>
      <c r="AH902">
        <v>0.02</v>
      </c>
      <c r="AI902">
        <v>0.84799999999999998</v>
      </c>
      <c r="AJ902">
        <v>2.6549999999999998</v>
      </c>
      <c r="AK902">
        <v>8.3818326689999996</v>
      </c>
      <c r="AL902">
        <v>3.1E-2</v>
      </c>
      <c r="AM902">
        <v>0.16900000000000001</v>
      </c>
      <c r="AN902">
        <v>0.8</v>
      </c>
    </row>
    <row r="903" spans="1:40">
      <c r="A903">
        <v>2971</v>
      </c>
      <c r="B903" t="s">
        <v>709</v>
      </c>
      <c r="C903" t="s">
        <v>693</v>
      </c>
      <c r="D903" t="s">
        <v>694</v>
      </c>
      <c r="E903">
        <v>0</v>
      </c>
      <c r="F903">
        <v>1173</v>
      </c>
      <c r="G903">
        <v>286.3651304</v>
      </c>
      <c r="H903">
        <v>76</v>
      </c>
      <c r="I903">
        <v>0.44763665400000002</v>
      </c>
      <c r="J903">
        <v>1249</v>
      </c>
      <c r="K903">
        <v>2790.2094010000001</v>
      </c>
      <c r="L903" s="515">
        <v>1</v>
      </c>
      <c r="M903" s="515">
        <v>1</v>
      </c>
      <c r="N903">
        <v>0</v>
      </c>
      <c r="O903" t="s">
        <v>625</v>
      </c>
      <c r="P903">
        <f t="shared" si="119"/>
        <v>20.698333330000001</v>
      </c>
      <c r="Q903">
        <f t="shared" si="120"/>
        <v>1.5184210526315797E-2</v>
      </c>
      <c r="R903">
        <f t="shared" si="121"/>
        <v>2.3696202531645567E-2</v>
      </c>
      <c r="S903">
        <f t="shared" si="122"/>
        <v>1</v>
      </c>
      <c r="T903">
        <f t="shared" si="123"/>
        <v>2.2169408982405066</v>
      </c>
      <c r="U903">
        <f t="shared" si="124"/>
        <v>13.69085714</v>
      </c>
      <c r="V903">
        <f t="shared" si="125"/>
        <v>4.6644067796610157E-2</v>
      </c>
      <c r="W903">
        <f t="shared" si="126"/>
        <v>5.1076923076923055E-2</v>
      </c>
      <c r="X903">
        <f t="shared" si="127"/>
        <v>1</v>
      </c>
      <c r="Y903">
        <v>33.657979050000002</v>
      </c>
      <c r="Z903">
        <v>0</v>
      </c>
      <c r="AA903">
        <v>56865</v>
      </c>
      <c r="AB903">
        <v>22398</v>
      </c>
      <c r="AC903">
        <v>1.1143686E-2</v>
      </c>
      <c r="AD903">
        <v>0.81944707100000003</v>
      </c>
      <c r="AF903">
        <v>20.698333330000001</v>
      </c>
      <c r="AG903">
        <v>0</v>
      </c>
      <c r="AH903">
        <v>0</v>
      </c>
      <c r="AI903">
        <v>1</v>
      </c>
      <c r="AK903">
        <v>13.69085714</v>
      </c>
      <c r="AL903">
        <v>0</v>
      </c>
      <c r="AM903">
        <v>0</v>
      </c>
      <c r="AN903">
        <v>1</v>
      </c>
    </row>
    <row r="904" spans="1:40">
      <c r="A904">
        <v>2972</v>
      </c>
      <c r="B904" t="s">
        <v>705</v>
      </c>
      <c r="C904" t="s">
        <v>696</v>
      </c>
      <c r="D904" t="s">
        <v>697</v>
      </c>
      <c r="E904">
        <v>58</v>
      </c>
      <c r="F904">
        <v>219</v>
      </c>
      <c r="G904">
        <v>536.59931470000004</v>
      </c>
      <c r="H904">
        <v>6069</v>
      </c>
      <c r="I904">
        <v>0.83875452100000003</v>
      </c>
      <c r="J904">
        <v>6288</v>
      </c>
      <c r="K904">
        <v>7496.8299340000003</v>
      </c>
      <c r="L904">
        <v>0.90700000000000003</v>
      </c>
      <c r="M904">
        <v>0.99053370299999999</v>
      </c>
      <c r="N904">
        <v>0</v>
      </c>
      <c r="O904" t="s">
        <v>620</v>
      </c>
      <c r="P904">
        <f t="shared" si="119"/>
        <v>13.812192619999999</v>
      </c>
      <c r="Q904">
        <f t="shared" si="120"/>
        <v>1.0999999999999999E-2</v>
      </c>
      <c r="R904">
        <f t="shared" si="121"/>
        <v>1.6E-2</v>
      </c>
      <c r="S904">
        <f t="shared" si="122"/>
        <v>0.90700000000000003</v>
      </c>
      <c r="T904">
        <f t="shared" si="123"/>
        <v>3.3668181819999998</v>
      </c>
      <c r="U904">
        <f t="shared" si="124"/>
        <v>8.8546684140000007</v>
      </c>
      <c r="V904">
        <f t="shared" si="125"/>
        <v>0.04</v>
      </c>
      <c r="W904">
        <f t="shared" si="126"/>
        <v>2.8000000000000001E-2</v>
      </c>
      <c r="X904">
        <f t="shared" si="127"/>
        <v>0.92200000000000004</v>
      </c>
      <c r="Y904">
        <v>34.042710999999997</v>
      </c>
      <c r="Z904">
        <v>0</v>
      </c>
      <c r="AA904">
        <v>152832</v>
      </c>
      <c r="AB904">
        <v>45686</v>
      </c>
      <c r="AC904">
        <v>2.1596295000000001E-2</v>
      </c>
      <c r="AD904">
        <v>0.84212384500000004</v>
      </c>
      <c r="AF904">
        <v>13.812192619999999</v>
      </c>
      <c r="AG904">
        <v>1.0999999999999999E-2</v>
      </c>
      <c r="AH904">
        <v>1.6E-2</v>
      </c>
      <c r="AI904">
        <v>0.90700000000000003</v>
      </c>
      <c r="AJ904">
        <v>3.3668181819999998</v>
      </c>
      <c r="AK904">
        <v>8.8546684140000007</v>
      </c>
      <c r="AL904">
        <v>0.04</v>
      </c>
      <c r="AM904">
        <v>2.8000000000000001E-2</v>
      </c>
      <c r="AN904">
        <v>0.92200000000000004</v>
      </c>
    </row>
    <row r="905" spans="1:40">
      <c r="A905">
        <v>2973</v>
      </c>
      <c r="B905" t="s">
        <v>705</v>
      </c>
      <c r="C905" t="s">
        <v>696</v>
      </c>
      <c r="D905" t="s">
        <v>697</v>
      </c>
      <c r="E905">
        <v>243</v>
      </c>
      <c r="F905">
        <v>772</v>
      </c>
      <c r="G905">
        <v>68.531906370000002</v>
      </c>
      <c r="H905">
        <v>117</v>
      </c>
      <c r="I905">
        <v>0.107118136</v>
      </c>
      <c r="J905">
        <v>889</v>
      </c>
      <c r="K905">
        <v>8299.2482240000008</v>
      </c>
      <c r="L905">
        <v>0.84799999999999998</v>
      </c>
      <c r="M905">
        <v>0.32500000000000001</v>
      </c>
      <c r="N905">
        <v>1</v>
      </c>
      <c r="O905" t="s">
        <v>620</v>
      </c>
      <c r="P905">
        <f t="shared" si="119"/>
        <v>10.88013333</v>
      </c>
      <c r="Q905">
        <f t="shared" si="120"/>
        <v>6.8000000000000005E-2</v>
      </c>
      <c r="R905">
        <f t="shared" si="121"/>
        <v>6.0000000000000001E-3</v>
      </c>
      <c r="S905">
        <f t="shared" si="122"/>
        <v>0.84799999999999998</v>
      </c>
      <c r="T905">
        <f t="shared" si="123"/>
        <v>1.9650000000000001</v>
      </c>
      <c r="U905">
        <f t="shared" si="124"/>
        <v>7.7478181819999996</v>
      </c>
      <c r="V905">
        <f t="shared" si="125"/>
        <v>3.8837398373983721E-2</v>
      </c>
      <c r="W905">
        <f t="shared" si="126"/>
        <v>0.14799999999999999</v>
      </c>
      <c r="X905">
        <f t="shared" si="127"/>
        <v>0.85199999999999998</v>
      </c>
      <c r="Y905">
        <v>129.98146790000001</v>
      </c>
      <c r="Z905">
        <v>0</v>
      </c>
      <c r="AA905">
        <v>152832</v>
      </c>
      <c r="AB905">
        <v>45686</v>
      </c>
      <c r="AC905">
        <v>2.1596295000000001E-2</v>
      </c>
      <c r="AD905">
        <v>0.84212384500000004</v>
      </c>
      <c r="AF905">
        <v>10.88013333</v>
      </c>
      <c r="AG905">
        <v>6.8000000000000005E-2</v>
      </c>
      <c r="AH905">
        <v>6.0000000000000001E-3</v>
      </c>
      <c r="AI905">
        <v>0.84799999999999998</v>
      </c>
      <c r="AJ905">
        <v>1.9650000000000001</v>
      </c>
      <c r="AK905">
        <v>7.7478181819999996</v>
      </c>
      <c r="AL905">
        <v>0</v>
      </c>
      <c r="AM905">
        <v>0.14799999999999999</v>
      </c>
      <c r="AN905">
        <v>0.85199999999999998</v>
      </c>
    </row>
    <row r="906" spans="1:40">
      <c r="A906">
        <v>2974</v>
      </c>
      <c r="B906" t="s">
        <v>683</v>
      </c>
      <c r="C906" t="s">
        <v>684</v>
      </c>
      <c r="D906" t="s">
        <v>685</v>
      </c>
      <c r="E906">
        <v>513</v>
      </c>
      <c r="F906">
        <v>1608</v>
      </c>
      <c r="G906">
        <v>101.0447369</v>
      </c>
      <c r="H906">
        <v>13</v>
      </c>
      <c r="I906">
        <v>0.157944587</v>
      </c>
      <c r="J906">
        <v>1621</v>
      </c>
      <c r="K906">
        <v>10263.09309</v>
      </c>
      <c r="L906">
        <v>0.79200000000000004</v>
      </c>
      <c r="M906">
        <v>2.4714829000000001E-2</v>
      </c>
      <c r="N906">
        <v>0</v>
      </c>
      <c r="O906" t="s">
        <v>620</v>
      </c>
      <c r="P906">
        <f t="shared" si="119"/>
        <v>13.53833333</v>
      </c>
      <c r="Q906">
        <f t="shared" si="120"/>
        <v>4.5999999999999999E-2</v>
      </c>
      <c r="R906">
        <f t="shared" si="121"/>
        <v>8.9999999999999993E-3</v>
      </c>
      <c r="S906">
        <f t="shared" si="122"/>
        <v>0.79200000000000004</v>
      </c>
      <c r="T906">
        <f t="shared" si="123"/>
        <v>2.8312499999999998</v>
      </c>
      <c r="U906">
        <f t="shared" si="124"/>
        <v>6.5446385539999996</v>
      </c>
      <c r="V906">
        <f t="shared" si="125"/>
        <v>1.6E-2</v>
      </c>
      <c r="W906">
        <f t="shared" si="126"/>
        <v>0.161</v>
      </c>
      <c r="X906">
        <f t="shared" si="127"/>
        <v>0.82299999999999995</v>
      </c>
      <c r="Y906">
        <v>118.81384319999999</v>
      </c>
      <c r="Z906">
        <v>0</v>
      </c>
      <c r="AA906">
        <v>75370</v>
      </c>
      <c r="AB906">
        <v>21403</v>
      </c>
      <c r="AC906">
        <v>2.4597187E-2</v>
      </c>
      <c r="AD906">
        <v>0.84342094400000001</v>
      </c>
      <c r="AF906">
        <v>13.53833333</v>
      </c>
      <c r="AG906">
        <v>4.5999999999999999E-2</v>
      </c>
      <c r="AH906">
        <v>8.9999999999999993E-3</v>
      </c>
      <c r="AI906">
        <v>0.79200000000000004</v>
      </c>
      <c r="AJ906">
        <v>2.8312499999999998</v>
      </c>
      <c r="AK906">
        <v>6.5446385539999996</v>
      </c>
      <c r="AL906">
        <v>1.6E-2</v>
      </c>
      <c r="AM906">
        <v>0.161</v>
      </c>
      <c r="AN906">
        <v>0.82299999999999995</v>
      </c>
    </row>
    <row r="907" spans="1:40">
      <c r="A907">
        <v>2975</v>
      </c>
      <c r="B907" t="s">
        <v>690</v>
      </c>
      <c r="C907" t="s">
        <v>687</v>
      </c>
      <c r="D907" t="s">
        <v>688</v>
      </c>
      <c r="E907">
        <v>155</v>
      </c>
      <c r="F907">
        <v>451</v>
      </c>
      <c r="G907">
        <v>81.617963180000004</v>
      </c>
      <c r="H907">
        <v>1805</v>
      </c>
      <c r="I907">
        <v>0.12758531100000001</v>
      </c>
      <c r="J907">
        <v>2256</v>
      </c>
      <c r="K907">
        <v>17682.286329999999</v>
      </c>
      <c r="L907">
        <v>0.83199999999999996</v>
      </c>
      <c r="M907">
        <v>0.92091836699999996</v>
      </c>
      <c r="N907">
        <v>0</v>
      </c>
      <c r="O907" t="s">
        <v>613</v>
      </c>
      <c r="P907">
        <f t="shared" si="119"/>
        <v>14.30905594</v>
      </c>
      <c r="Q907">
        <f t="shared" si="120"/>
        <v>1.2999999999999999E-2</v>
      </c>
      <c r="R907">
        <f t="shared" si="121"/>
        <v>2.1999999999999999E-2</v>
      </c>
      <c r="S907">
        <f t="shared" si="122"/>
        <v>0.83199999999999996</v>
      </c>
      <c r="T907">
        <f t="shared" si="123"/>
        <v>2.6853125000000002</v>
      </c>
      <c r="U907">
        <f t="shared" si="124"/>
        <v>7.2286794089999997</v>
      </c>
      <c r="V907">
        <f t="shared" si="125"/>
        <v>4.8000000000000001E-2</v>
      </c>
      <c r="W907">
        <f t="shared" si="126"/>
        <v>5.0999999999999997E-2</v>
      </c>
      <c r="X907">
        <f t="shared" si="127"/>
        <v>0.85899999999999999</v>
      </c>
      <c r="Y907">
        <v>406.47499490000001</v>
      </c>
      <c r="Z907">
        <v>0</v>
      </c>
      <c r="AA907">
        <v>82284</v>
      </c>
      <c r="AB907">
        <v>32030</v>
      </c>
      <c r="AC907">
        <v>4.7570397E-2</v>
      </c>
      <c r="AD907">
        <v>0.78974696300000002</v>
      </c>
      <c r="AF907">
        <v>14.30905594</v>
      </c>
      <c r="AG907">
        <v>1.2999999999999999E-2</v>
      </c>
      <c r="AH907">
        <v>2.1999999999999999E-2</v>
      </c>
      <c r="AI907">
        <v>0.83199999999999996</v>
      </c>
      <c r="AJ907">
        <v>2.6853125000000002</v>
      </c>
      <c r="AK907">
        <v>7.2286794089999997</v>
      </c>
      <c r="AL907">
        <v>4.8000000000000001E-2</v>
      </c>
      <c r="AM907">
        <v>5.0999999999999997E-2</v>
      </c>
      <c r="AN907">
        <v>0.85899999999999999</v>
      </c>
    </row>
    <row r="908" spans="1:40">
      <c r="A908">
        <v>2976</v>
      </c>
      <c r="B908" t="s">
        <v>690</v>
      </c>
      <c r="C908" t="s">
        <v>687</v>
      </c>
      <c r="D908" t="s">
        <v>688</v>
      </c>
      <c r="E908">
        <v>276</v>
      </c>
      <c r="F908">
        <v>620</v>
      </c>
      <c r="G908">
        <v>40.270476279999997</v>
      </c>
      <c r="H908">
        <v>11</v>
      </c>
      <c r="I908">
        <v>6.2949570999999996E-2</v>
      </c>
      <c r="J908">
        <v>631</v>
      </c>
      <c r="K908">
        <v>10023.89675</v>
      </c>
      <c r="L908">
        <v>0.78</v>
      </c>
      <c r="M908">
        <v>3.8327526000000001E-2</v>
      </c>
      <c r="N908">
        <v>0</v>
      </c>
      <c r="O908" t="s">
        <v>613</v>
      </c>
      <c r="P908">
        <f t="shared" ref="P908:P971" si="128">IF(OR(IFERROR(AF908=0,TRUE),ISERROR(AF908)),AVERAGEIFS(AF:AF,$B:$B,$B908,AF:AF,"&gt;0"),AF908)</f>
        <v>10.17333333</v>
      </c>
      <c r="Q908">
        <f t="shared" ref="Q908:Q971" si="129">IF(OR(IFERROR(AG908=0,TRUE),ISERROR(AG908)),AVERAGEIFS(AG:AG,$B:$B,$B908,AG:AG,"&gt;0"),AG908)</f>
        <v>4.1000000000000002E-2</v>
      </c>
      <c r="R908">
        <f t="shared" ref="R908:R971" si="130">IF(OR(IFERROR(AH908=0,TRUE),ISERROR(AH908)),AVERAGEIFS(AH:AH,$B:$B,$B908,AH:AH,"&gt;0"),AH908)</f>
        <v>1.4E-2</v>
      </c>
      <c r="S908">
        <f t="shared" ref="S908:S971" si="131">IF(OR(IFERROR(AI908=0,TRUE),ISERROR(AI908)),AVERAGEIFS(AI:AI,$B:$B,$B908,AI:AI,"&gt;0"),AI908)</f>
        <v>0.78</v>
      </c>
      <c r="T908">
        <f t="shared" ref="T908:T971" si="132">IF(OR(IFERROR(AJ908=0,TRUE),ISERROR(AJ908)),AVERAGEIFS(AJ:AJ,$B:$B,$B908,AJ:AJ,"&gt;0"),AJ908)</f>
        <v>3.4933333329999998</v>
      </c>
      <c r="U908">
        <f t="shared" ref="U908:U971" si="133">IF(OR(IFERROR(AK908=0,TRUE),ISERROR(AK908)),AVERAGEIFS(AK:AK,$B:$B,$B908,AK:AK,"&gt;0"),AK908)</f>
        <v>6.0275907589999997</v>
      </c>
      <c r="V908">
        <f t="shared" ref="V908:V971" si="134">IF(OR(IFERROR(AL908=0,TRUE),ISERROR(AL908)),AVERAGEIFS(AL:AL,$B:$B,$B908,AL:AL,"&gt;0"),AL908)</f>
        <v>2.1000000000000001E-2</v>
      </c>
      <c r="W908">
        <f t="shared" ref="W908:W971" si="135">IF(OR(IFERROR(AM908=0,TRUE),ISERROR(AM908)),AVERAGEIFS(AM:AM,$B:$B,$B908,AM:AM,"&gt;0"),AM908)</f>
        <v>6.3E-2</v>
      </c>
      <c r="X908">
        <f t="shared" ref="X908:X971" si="136">IF(OR(IFERROR(AN908=0,TRUE),ISERROR(AN908)),AVERAGEIFS(AN:AN,$B:$B,$B908,AN:AN,"&gt;0"),AN908)</f>
        <v>0.91600000000000004</v>
      </c>
      <c r="Y908">
        <v>106.47583640000001</v>
      </c>
      <c r="Z908">
        <v>0</v>
      </c>
      <c r="AA908">
        <v>82284</v>
      </c>
      <c r="AB908">
        <v>32030</v>
      </c>
      <c r="AC908">
        <v>4.7570397E-2</v>
      </c>
      <c r="AD908">
        <v>0.78974696300000002</v>
      </c>
      <c r="AF908">
        <v>10.17333333</v>
      </c>
      <c r="AG908">
        <v>4.1000000000000002E-2</v>
      </c>
      <c r="AH908">
        <v>1.4E-2</v>
      </c>
      <c r="AI908">
        <v>0.78</v>
      </c>
      <c r="AJ908">
        <v>3.4933333329999998</v>
      </c>
      <c r="AK908">
        <v>6.0275907589999997</v>
      </c>
      <c r="AL908">
        <v>2.1000000000000001E-2</v>
      </c>
      <c r="AM908">
        <v>6.3E-2</v>
      </c>
      <c r="AN908">
        <v>0.91600000000000004</v>
      </c>
    </row>
    <row r="909" spans="1:40">
      <c r="A909">
        <v>2977</v>
      </c>
      <c r="B909" t="s">
        <v>705</v>
      </c>
      <c r="C909" t="s">
        <v>696</v>
      </c>
      <c r="D909" t="s">
        <v>697</v>
      </c>
      <c r="E909">
        <v>698</v>
      </c>
      <c r="F909">
        <v>3691</v>
      </c>
      <c r="G909">
        <v>480.28113089999999</v>
      </c>
      <c r="H909">
        <v>654</v>
      </c>
      <c r="I909">
        <v>0.75072308300000001</v>
      </c>
      <c r="J909">
        <v>4345</v>
      </c>
      <c r="K909">
        <v>5787.753299</v>
      </c>
      <c r="L909">
        <v>0.874</v>
      </c>
      <c r="M909">
        <v>0.48372781100000001</v>
      </c>
      <c r="N909">
        <v>0</v>
      </c>
      <c r="O909" t="s">
        <v>620</v>
      </c>
      <c r="P909">
        <f t="shared" si="128"/>
        <v>16.277806120000001</v>
      </c>
      <c r="Q909">
        <f t="shared" si="129"/>
        <v>2.3E-2</v>
      </c>
      <c r="R909">
        <f t="shared" si="130"/>
        <v>0.03</v>
      </c>
      <c r="S909">
        <f t="shared" si="131"/>
        <v>0.874</v>
      </c>
      <c r="T909">
        <f t="shared" si="132"/>
        <v>2.4700000000000002</v>
      </c>
      <c r="U909">
        <f t="shared" si="133"/>
        <v>10.157034639999999</v>
      </c>
      <c r="V909">
        <f t="shared" si="134"/>
        <v>1.7999999999999999E-2</v>
      </c>
      <c r="W909">
        <f t="shared" si="135"/>
        <v>8.5000000000000006E-2</v>
      </c>
      <c r="X909">
        <f t="shared" si="136"/>
        <v>0.879</v>
      </c>
      <c r="Y909">
        <v>148.19768790000001</v>
      </c>
      <c r="Z909">
        <v>0</v>
      </c>
      <c r="AA909">
        <v>152832</v>
      </c>
      <c r="AB909">
        <v>45686</v>
      </c>
      <c r="AC909">
        <v>2.1596295000000001E-2</v>
      </c>
      <c r="AD909">
        <v>0.84212384500000004</v>
      </c>
      <c r="AF909">
        <v>16.277806120000001</v>
      </c>
      <c r="AG909">
        <v>2.3E-2</v>
      </c>
      <c r="AH909">
        <v>0.03</v>
      </c>
      <c r="AI909">
        <v>0.874</v>
      </c>
      <c r="AJ909">
        <v>2.4700000000000002</v>
      </c>
      <c r="AK909">
        <v>10.157034639999999</v>
      </c>
      <c r="AL909">
        <v>1.7999999999999999E-2</v>
      </c>
      <c r="AM909">
        <v>8.5000000000000006E-2</v>
      </c>
      <c r="AN909">
        <v>0.879</v>
      </c>
    </row>
    <row r="910" spans="1:40">
      <c r="A910">
        <v>2978</v>
      </c>
      <c r="B910" t="s">
        <v>705</v>
      </c>
      <c r="C910" t="s">
        <v>696</v>
      </c>
      <c r="D910" t="s">
        <v>697</v>
      </c>
      <c r="E910">
        <v>201</v>
      </c>
      <c r="F910">
        <v>682</v>
      </c>
      <c r="G910">
        <v>38.393221750000002</v>
      </c>
      <c r="H910">
        <v>0</v>
      </c>
      <c r="I910">
        <v>6.0012339999999997E-2</v>
      </c>
      <c r="J910">
        <v>682</v>
      </c>
      <c r="K910">
        <v>11364.329400000001</v>
      </c>
      <c r="L910">
        <v>0.82799999999999996</v>
      </c>
      <c r="M910">
        <v>0</v>
      </c>
      <c r="N910">
        <v>0</v>
      </c>
      <c r="O910" t="s">
        <v>620</v>
      </c>
      <c r="P910">
        <f t="shared" si="128"/>
        <v>11.186231879999999</v>
      </c>
      <c r="Q910">
        <f t="shared" si="129"/>
        <v>3.3000000000000002E-2</v>
      </c>
      <c r="R910">
        <f t="shared" si="130"/>
        <v>2.1999999999999999E-2</v>
      </c>
      <c r="S910">
        <f t="shared" si="131"/>
        <v>0.82799999999999996</v>
      </c>
      <c r="T910">
        <f t="shared" si="132"/>
        <v>2.67</v>
      </c>
      <c r="U910">
        <f t="shared" si="133"/>
        <v>6.8727208480000002</v>
      </c>
      <c r="V910">
        <f t="shared" si="134"/>
        <v>3.8837398373983721E-2</v>
      </c>
      <c r="W910">
        <f t="shared" si="135"/>
        <v>0.10100000000000001</v>
      </c>
      <c r="X910">
        <f t="shared" si="136"/>
        <v>0.873</v>
      </c>
      <c r="Y910">
        <v>152.5285533</v>
      </c>
      <c r="Z910">
        <v>0</v>
      </c>
      <c r="AA910">
        <v>152832</v>
      </c>
      <c r="AB910">
        <v>45686</v>
      </c>
      <c r="AC910">
        <v>2.1596295000000001E-2</v>
      </c>
      <c r="AD910">
        <v>0.84212384500000004</v>
      </c>
      <c r="AF910">
        <v>11.186231879999999</v>
      </c>
      <c r="AG910">
        <v>3.3000000000000002E-2</v>
      </c>
      <c r="AH910">
        <v>2.1999999999999999E-2</v>
      </c>
      <c r="AI910">
        <v>0.82799999999999996</v>
      </c>
      <c r="AJ910">
        <v>2.67</v>
      </c>
      <c r="AK910">
        <v>6.8727208480000002</v>
      </c>
      <c r="AL910">
        <v>0</v>
      </c>
      <c r="AM910">
        <v>0.10100000000000001</v>
      </c>
      <c r="AN910">
        <v>0.873</v>
      </c>
    </row>
    <row r="911" spans="1:40">
      <c r="A911">
        <v>2979</v>
      </c>
      <c r="B911" t="s">
        <v>702</v>
      </c>
      <c r="C911" t="s">
        <v>696</v>
      </c>
      <c r="D911" t="s">
        <v>697</v>
      </c>
      <c r="E911">
        <v>720</v>
      </c>
      <c r="F911">
        <v>1723</v>
      </c>
      <c r="G911">
        <v>57.076453919999999</v>
      </c>
      <c r="H911">
        <v>421</v>
      </c>
      <c r="I911">
        <v>8.9217111000000002E-2</v>
      </c>
      <c r="J911">
        <v>2144</v>
      </c>
      <c r="K911">
        <v>24031.264589999999</v>
      </c>
      <c r="L911">
        <v>0.72499999999999998</v>
      </c>
      <c r="M911">
        <v>0.36897458399999999</v>
      </c>
      <c r="N911">
        <v>1</v>
      </c>
      <c r="O911" t="s">
        <v>613</v>
      </c>
      <c r="P911">
        <f t="shared" si="128"/>
        <v>10.978513510000001</v>
      </c>
      <c r="Q911">
        <f t="shared" si="129"/>
        <v>4.3999999999999997E-2</v>
      </c>
      <c r="R911">
        <f t="shared" si="130"/>
        <v>2.3E-2</v>
      </c>
      <c r="S911">
        <f t="shared" si="131"/>
        <v>0.72499999999999998</v>
      </c>
      <c r="T911">
        <f t="shared" si="132"/>
        <v>2.4323333329999999</v>
      </c>
      <c r="U911">
        <f t="shared" si="133"/>
        <v>6.2273165390000003</v>
      </c>
      <c r="V911">
        <f t="shared" si="134"/>
        <v>4.8000000000000001E-2</v>
      </c>
      <c r="W911">
        <f t="shared" si="135"/>
        <v>0.129</v>
      </c>
      <c r="X911">
        <f t="shared" si="136"/>
        <v>0.70799999999999996</v>
      </c>
      <c r="Y911">
        <v>170.01274520000001</v>
      </c>
      <c r="Z911">
        <v>0</v>
      </c>
      <c r="AA911">
        <v>90778</v>
      </c>
      <c r="AB911">
        <v>31662</v>
      </c>
      <c r="AC911">
        <v>3.1753482E-2</v>
      </c>
      <c r="AD911">
        <v>0.82960131100000001</v>
      </c>
      <c r="AF911">
        <v>10.978513510000001</v>
      </c>
      <c r="AG911">
        <v>4.3999999999999997E-2</v>
      </c>
      <c r="AH911">
        <v>2.3E-2</v>
      </c>
      <c r="AI911">
        <v>0.72499999999999998</v>
      </c>
      <c r="AJ911">
        <v>2.4323333329999999</v>
      </c>
      <c r="AK911">
        <v>6.2273165390000003</v>
      </c>
      <c r="AL911">
        <v>4.8000000000000001E-2</v>
      </c>
      <c r="AM911">
        <v>0.129</v>
      </c>
      <c r="AN911">
        <v>0.70799999999999996</v>
      </c>
    </row>
    <row r="912" spans="1:40">
      <c r="A912">
        <v>2980</v>
      </c>
      <c r="B912" t="s">
        <v>702</v>
      </c>
      <c r="C912" t="s">
        <v>696</v>
      </c>
      <c r="D912" t="s">
        <v>697</v>
      </c>
      <c r="E912">
        <v>586</v>
      </c>
      <c r="F912">
        <v>1367</v>
      </c>
      <c r="G912">
        <v>78.525641149999998</v>
      </c>
      <c r="H912">
        <v>3507</v>
      </c>
      <c r="I912">
        <v>0.122745523</v>
      </c>
      <c r="J912">
        <v>4874</v>
      </c>
      <c r="K912">
        <v>39708.16923</v>
      </c>
      <c r="L912">
        <v>0.76500000000000001</v>
      </c>
      <c r="M912">
        <v>0.85682873199999998</v>
      </c>
      <c r="N912">
        <v>1</v>
      </c>
      <c r="O912" t="s">
        <v>606</v>
      </c>
      <c r="P912">
        <f t="shared" si="128"/>
        <v>12.64479478</v>
      </c>
      <c r="Q912">
        <f t="shared" si="129"/>
        <v>4.5999999999999999E-2</v>
      </c>
      <c r="R912">
        <f t="shared" si="130"/>
        <v>2.1999999999999999E-2</v>
      </c>
      <c r="S912">
        <f t="shared" si="131"/>
        <v>0.76500000000000001</v>
      </c>
      <c r="T912">
        <f t="shared" si="132"/>
        <v>1.879126214</v>
      </c>
      <c r="U912">
        <f t="shared" si="133"/>
        <v>7.273241617</v>
      </c>
      <c r="V912">
        <f t="shared" si="134"/>
        <v>4.3999999999999997E-2</v>
      </c>
      <c r="W912">
        <f t="shared" si="135"/>
        <v>0.14699999999999999</v>
      </c>
      <c r="X912">
        <f t="shared" si="136"/>
        <v>0.72</v>
      </c>
      <c r="Y912">
        <v>216.3723493</v>
      </c>
      <c r="Z912">
        <v>0</v>
      </c>
      <c r="AA912">
        <v>90778</v>
      </c>
      <c r="AB912">
        <v>31662</v>
      </c>
      <c r="AC912">
        <v>3.1753482E-2</v>
      </c>
      <c r="AD912">
        <v>0.82960131100000001</v>
      </c>
      <c r="AF912">
        <v>12.64479478</v>
      </c>
      <c r="AG912">
        <v>4.5999999999999999E-2</v>
      </c>
      <c r="AH912">
        <v>2.1999999999999999E-2</v>
      </c>
      <c r="AI912">
        <v>0.76500000000000001</v>
      </c>
      <c r="AJ912">
        <v>1.879126214</v>
      </c>
      <c r="AK912">
        <v>7.273241617</v>
      </c>
      <c r="AL912">
        <v>4.3999999999999997E-2</v>
      </c>
      <c r="AM912">
        <v>0.14699999999999999</v>
      </c>
      <c r="AN912">
        <v>0.72</v>
      </c>
    </row>
    <row r="913" spans="1:40">
      <c r="A913">
        <v>2981</v>
      </c>
      <c r="B913" t="s">
        <v>705</v>
      </c>
      <c r="C913" t="s">
        <v>696</v>
      </c>
      <c r="D913" t="s">
        <v>697</v>
      </c>
      <c r="E913">
        <v>520</v>
      </c>
      <c r="F913">
        <v>1953</v>
      </c>
      <c r="G913">
        <v>114.15676860000001</v>
      </c>
      <c r="H913">
        <v>74</v>
      </c>
      <c r="I913">
        <v>0.17843044399999999</v>
      </c>
      <c r="J913">
        <v>2027</v>
      </c>
      <c r="K913">
        <v>11360.16901</v>
      </c>
      <c r="L913">
        <v>0.80800000000000005</v>
      </c>
      <c r="M913">
        <v>0.124579125</v>
      </c>
      <c r="N913">
        <v>0</v>
      </c>
      <c r="O913" t="s">
        <v>620</v>
      </c>
      <c r="P913">
        <f t="shared" si="128"/>
        <v>12.956823529999999</v>
      </c>
      <c r="Q913">
        <f t="shared" si="129"/>
        <v>2.5999999999999999E-2</v>
      </c>
      <c r="R913">
        <f t="shared" si="130"/>
        <v>2.3E-2</v>
      </c>
      <c r="S913">
        <f t="shared" si="131"/>
        <v>0.80800000000000005</v>
      </c>
      <c r="T913">
        <f t="shared" si="132"/>
        <v>1.625769231</v>
      </c>
      <c r="U913">
        <f t="shared" si="133"/>
        <v>7.6424717830000004</v>
      </c>
      <c r="V913">
        <f t="shared" si="134"/>
        <v>0.02</v>
      </c>
      <c r="W913">
        <f t="shared" si="135"/>
        <v>8.5000000000000006E-2</v>
      </c>
      <c r="X913">
        <f t="shared" si="136"/>
        <v>0.84599999999999997</v>
      </c>
      <c r="Y913">
        <v>145.32474010000001</v>
      </c>
      <c r="Z913">
        <v>0</v>
      </c>
      <c r="AA913">
        <v>152832</v>
      </c>
      <c r="AB913">
        <v>45686</v>
      </c>
      <c r="AC913">
        <v>2.1596295000000001E-2</v>
      </c>
      <c r="AD913">
        <v>0.84212384500000004</v>
      </c>
      <c r="AF913">
        <v>12.956823529999999</v>
      </c>
      <c r="AG913">
        <v>2.5999999999999999E-2</v>
      </c>
      <c r="AH913">
        <v>2.3E-2</v>
      </c>
      <c r="AI913">
        <v>0.80800000000000005</v>
      </c>
      <c r="AJ913">
        <v>1.625769231</v>
      </c>
      <c r="AK913">
        <v>7.6424717830000004</v>
      </c>
      <c r="AL913">
        <v>0.02</v>
      </c>
      <c r="AM913">
        <v>8.5000000000000006E-2</v>
      </c>
      <c r="AN913">
        <v>0.84599999999999997</v>
      </c>
    </row>
    <row r="914" spans="1:40">
      <c r="A914">
        <v>2982</v>
      </c>
      <c r="B914" t="s">
        <v>705</v>
      </c>
      <c r="C914" t="s">
        <v>696</v>
      </c>
      <c r="D914" t="s">
        <v>697</v>
      </c>
      <c r="E914">
        <v>480</v>
      </c>
      <c r="F914">
        <v>1364</v>
      </c>
      <c r="G914">
        <v>145.58673099999999</v>
      </c>
      <c r="H914">
        <v>111</v>
      </c>
      <c r="I914">
        <v>0.22756611600000001</v>
      </c>
      <c r="J914">
        <v>1475</v>
      </c>
      <c r="K914">
        <v>6481.6327929999998</v>
      </c>
      <c r="L914">
        <v>0.82299999999999995</v>
      </c>
      <c r="M914">
        <v>0.18781725899999999</v>
      </c>
      <c r="N914">
        <v>0</v>
      </c>
      <c r="O914" t="s">
        <v>620</v>
      </c>
      <c r="P914">
        <f t="shared" si="128"/>
        <v>13.915298010000001</v>
      </c>
      <c r="Q914">
        <f t="shared" si="129"/>
        <v>0.02</v>
      </c>
      <c r="R914">
        <f t="shared" si="130"/>
        <v>2.4E-2</v>
      </c>
      <c r="S914">
        <f t="shared" si="131"/>
        <v>0.82299999999999995</v>
      </c>
      <c r="T914">
        <f t="shared" si="132"/>
        <v>1.8196428570000001</v>
      </c>
      <c r="U914">
        <f t="shared" si="133"/>
        <v>7.2264456519999998</v>
      </c>
      <c r="V914">
        <f t="shared" si="134"/>
        <v>3.4000000000000002E-2</v>
      </c>
      <c r="W914">
        <f t="shared" si="135"/>
        <v>0.10199999999999999</v>
      </c>
      <c r="X914">
        <f t="shared" si="136"/>
        <v>0.85299999999999998</v>
      </c>
      <c r="Y914">
        <v>61.745140749999997</v>
      </c>
      <c r="Z914">
        <v>0</v>
      </c>
      <c r="AA914">
        <v>152832</v>
      </c>
      <c r="AB914">
        <v>45686</v>
      </c>
      <c r="AC914">
        <v>2.1596295000000001E-2</v>
      </c>
      <c r="AD914">
        <v>0.84212384500000004</v>
      </c>
      <c r="AF914">
        <v>13.915298010000001</v>
      </c>
      <c r="AG914">
        <v>0.02</v>
      </c>
      <c r="AH914">
        <v>2.4E-2</v>
      </c>
      <c r="AI914">
        <v>0.82299999999999995</v>
      </c>
      <c r="AJ914">
        <v>1.8196428570000001</v>
      </c>
      <c r="AK914">
        <v>7.2264456519999998</v>
      </c>
      <c r="AL914">
        <v>3.4000000000000002E-2</v>
      </c>
      <c r="AM914">
        <v>0.10199999999999999</v>
      </c>
      <c r="AN914">
        <v>0.85299999999999998</v>
      </c>
    </row>
    <row r="915" spans="1:40">
      <c r="A915">
        <v>2983</v>
      </c>
      <c r="B915" t="s">
        <v>705</v>
      </c>
      <c r="C915" t="s">
        <v>696</v>
      </c>
      <c r="D915" t="s">
        <v>697</v>
      </c>
      <c r="E915">
        <v>197</v>
      </c>
      <c r="F915">
        <v>709</v>
      </c>
      <c r="G915">
        <v>79.253324300000003</v>
      </c>
      <c r="H915">
        <v>455</v>
      </c>
      <c r="I915">
        <v>0.12388692599999999</v>
      </c>
      <c r="J915">
        <v>1164</v>
      </c>
      <c r="K915">
        <v>9395.6645590000007</v>
      </c>
      <c r="L915">
        <v>0.85599999999999998</v>
      </c>
      <c r="M915">
        <v>0.69785276100000004</v>
      </c>
      <c r="N915">
        <v>0</v>
      </c>
      <c r="O915" t="s">
        <v>620</v>
      </c>
      <c r="P915">
        <f t="shared" si="128"/>
        <v>11.52776699</v>
      </c>
      <c r="Q915">
        <f t="shared" si="129"/>
        <v>1.7999999999999999E-2</v>
      </c>
      <c r="R915">
        <f t="shared" si="130"/>
        <v>1.4999999999999999E-2</v>
      </c>
      <c r="S915">
        <f t="shared" si="131"/>
        <v>0.85599999999999998</v>
      </c>
      <c r="T915">
        <f t="shared" si="132"/>
        <v>2.0160869570000002</v>
      </c>
      <c r="U915">
        <f t="shared" si="133"/>
        <v>6.3488871099999997</v>
      </c>
      <c r="V915">
        <f t="shared" si="134"/>
        <v>0.05</v>
      </c>
      <c r="W915">
        <f t="shared" si="135"/>
        <v>8.3000000000000004E-2</v>
      </c>
      <c r="X915">
        <f t="shared" si="136"/>
        <v>0.85099999999999998</v>
      </c>
      <c r="Y915">
        <v>100.4003676</v>
      </c>
      <c r="Z915">
        <v>0</v>
      </c>
      <c r="AA915">
        <v>152832</v>
      </c>
      <c r="AB915">
        <v>45686</v>
      </c>
      <c r="AC915">
        <v>2.1596295000000001E-2</v>
      </c>
      <c r="AD915">
        <v>0.84212384500000004</v>
      </c>
      <c r="AF915">
        <v>11.52776699</v>
      </c>
      <c r="AG915">
        <v>1.7999999999999999E-2</v>
      </c>
      <c r="AH915">
        <v>1.4999999999999999E-2</v>
      </c>
      <c r="AI915">
        <v>0.85599999999999998</v>
      </c>
      <c r="AJ915">
        <v>2.0160869570000002</v>
      </c>
      <c r="AK915">
        <v>6.3488871099999997</v>
      </c>
      <c r="AL915">
        <v>0.05</v>
      </c>
      <c r="AM915">
        <v>8.3000000000000004E-2</v>
      </c>
      <c r="AN915">
        <v>0.85099999999999998</v>
      </c>
    </row>
    <row r="916" spans="1:40">
      <c r="A916">
        <v>2984</v>
      </c>
      <c r="B916" t="s">
        <v>691</v>
      </c>
      <c r="C916" t="s">
        <v>684</v>
      </c>
      <c r="D916" t="s">
        <v>685</v>
      </c>
      <c r="E916">
        <v>188</v>
      </c>
      <c r="F916">
        <v>615</v>
      </c>
      <c r="G916">
        <v>258.34413979999999</v>
      </c>
      <c r="H916">
        <v>26</v>
      </c>
      <c r="I916">
        <v>0.40381613399999999</v>
      </c>
      <c r="J916">
        <v>641</v>
      </c>
      <c r="K916">
        <v>1587.3560910000001</v>
      </c>
      <c r="L916">
        <v>0.86499999999999999</v>
      </c>
      <c r="M916">
        <v>0.121495327</v>
      </c>
      <c r="N916">
        <v>0</v>
      </c>
      <c r="O916" t="s">
        <v>625</v>
      </c>
      <c r="P916">
        <f t="shared" si="128"/>
        <v>14.52028571</v>
      </c>
      <c r="Q916">
        <f t="shared" si="129"/>
        <v>5.0000000000000001E-3</v>
      </c>
      <c r="R916">
        <f t="shared" si="130"/>
        <v>2.1999999999999999E-2</v>
      </c>
      <c r="S916">
        <f t="shared" si="131"/>
        <v>0.86499999999999999</v>
      </c>
      <c r="T916">
        <f t="shared" si="132"/>
        <v>2.12</v>
      </c>
      <c r="U916">
        <f t="shared" si="133"/>
        <v>8.8607046979999993</v>
      </c>
      <c r="V916">
        <f t="shared" si="134"/>
        <v>3.5151315789473656E-2</v>
      </c>
      <c r="W916">
        <f t="shared" si="135"/>
        <v>5.9146341463414652E-2</v>
      </c>
      <c r="X916">
        <f t="shared" si="136"/>
        <v>1</v>
      </c>
      <c r="Y916">
        <v>38.89789356</v>
      </c>
      <c r="Z916">
        <v>0</v>
      </c>
      <c r="AA916">
        <v>236250</v>
      </c>
      <c r="AB916">
        <v>76158</v>
      </c>
      <c r="AC916">
        <v>1.7652984E-2</v>
      </c>
      <c r="AD916">
        <v>0.84750225300000004</v>
      </c>
      <c r="AF916">
        <v>14.52028571</v>
      </c>
      <c r="AG916">
        <v>5.0000000000000001E-3</v>
      </c>
      <c r="AH916">
        <v>2.1999999999999999E-2</v>
      </c>
      <c r="AI916">
        <v>0.86499999999999999</v>
      </c>
      <c r="AJ916">
        <v>2.12</v>
      </c>
      <c r="AK916">
        <v>8.8607046979999993</v>
      </c>
      <c r="AL916">
        <v>0</v>
      </c>
      <c r="AM916">
        <v>0</v>
      </c>
      <c r="AN916">
        <v>1</v>
      </c>
    </row>
    <row r="917" spans="1:40">
      <c r="A917">
        <v>2985</v>
      </c>
      <c r="B917" t="s">
        <v>691</v>
      </c>
      <c r="C917" t="s">
        <v>684</v>
      </c>
      <c r="D917" t="s">
        <v>685</v>
      </c>
      <c r="E917">
        <v>585</v>
      </c>
      <c r="F917">
        <v>1930</v>
      </c>
      <c r="G917">
        <v>143.41215840000001</v>
      </c>
      <c r="H917">
        <v>5</v>
      </c>
      <c r="I917">
        <v>0.22416298300000001</v>
      </c>
      <c r="J917">
        <v>1935</v>
      </c>
      <c r="K917">
        <v>8632.1121089999997</v>
      </c>
      <c r="L917">
        <v>0.873</v>
      </c>
      <c r="M917">
        <v>8.4745759999999993E-3</v>
      </c>
      <c r="N917">
        <v>0</v>
      </c>
      <c r="O917" t="s">
        <v>620</v>
      </c>
      <c r="P917">
        <f t="shared" si="128"/>
        <v>13.57583333</v>
      </c>
      <c r="Q917">
        <f t="shared" si="129"/>
        <v>4.0000000000000001E-3</v>
      </c>
      <c r="R917">
        <f t="shared" si="130"/>
        <v>1.4E-2</v>
      </c>
      <c r="S917">
        <f t="shared" si="131"/>
        <v>0.873</v>
      </c>
      <c r="T917">
        <f t="shared" si="132"/>
        <v>0.66500000000000004</v>
      </c>
      <c r="U917">
        <f t="shared" si="133"/>
        <v>7.3657728340000004</v>
      </c>
      <c r="V917">
        <f t="shared" si="134"/>
        <v>2.9000000000000001E-2</v>
      </c>
      <c r="W917">
        <f t="shared" si="135"/>
        <v>2.9000000000000001E-2</v>
      </c>
      <c r="X917">
        <f t="shared" si="136"/>
        <v>0.94299999999999995</v>
      </c>
      <c r="Y917">
        <v>148.97718660000001</v>
      </c>
      <c r="Z917">
        <v>0</v>
      </c>
      <c r="AA917">
        <v>236250</v>
      </c>
      <c r="AB917">
        <v>76158</v>
      </c>
      <c r="AC917">
        <v>1.7652984E-2</v>
      </c>
      <c r="AD917">
        <v>0.84750225300000004</v>
      </c>
      <c r="AF917">
        <v>13.57583333</v>
      </c>
      <c r="AG917">
        <v>4.0000000000000001E-3</v>
      </c>
      <c r="AH917">
        <v>1.4E-2</v>
      </c>
      <c r="AI917">
        <v>0.873</v>
      </c>
      <c r="AJ917">
        <v>0.66500000000000004</v>
      </c>
      <c r="AK917">
        <v>7.3657728340000004</v>
      </c>
      <c r="AL917">
        <v>2.9000000000000001E-2</v>
      </c>
      <c r="AM917">
        <v>2.9000000000000001E-2</v>
      </c>
      <c r="AN917">
        <v>0.94299999999999995</v>
      </c>
    </row>
    <row r="918" spans="1:40">
      <c r="A918">
        <v>2986</v>
      </c>
      <c r="B918" t="s">
        <v>691</v>
      </c>
      <c r="C918" t="s">
        <v>684</v>
      </c>
      <c r="D918" t="s">
        <v>685</v>
      </c>
      <c r="E918">
        <v>402</v>
      </c>
      <c r="F918">
        <v>1241</v>
      </c>
      <c r="G918">
        <v>95.289298810000005</v>
      </c>
      <c r="H918">
        <v>520</v>
      </c>
      <c r="I918">
        <v>0.14894397200000001</v>
      </c>
      <c r="J918">
        <v>1761</v>
      </c>
      <c r="K918">
        <v>11823.237800000001</v>
      </c>
      <c r="L918">
        <v>0.76800000000000002</v>
      </c>
      <c r="M918">
        <v>0.56399132299999999</v>
      </c>
      <c r="N918">
        <v>0</v>
      </c>
      <c r="O918" t="s">
        <v>620</v>
      </c>
      <c r="P918">
        <f t="shared" si="128"/>
        <v>12.53908333</v>
      </c>
      <c r="Q918">
        <f t="shared" si="129"/>
        <v>1.2999999999999999E-2</v>
      </c>
      <c r="R918">
        <f t="shared" si="130"/>
        <v>3.2000000000000001E-2</v>
      </c>
      <c r="S918">
        <f t="shared" si="131"/>
        <v>0.76800000000000002</v>
      </c>
      <c r="T918">
        <f t="shared" si="132"/>
        <v>1.760384615</v>
      </c>
      <c r="U918">
        <f t="shared" si="133"/>
        <v>7.4726629119999997</v>
      </c>
      <c r="V918">
        <f t="shared" si="134"/>
        <v>8.5999999999999993E-2</v>
      </c>
      <c r="W918">
        <f t="shared" si="135"/>
        <v>2.1999999999999999E-2</v>
      </c>
      <c r="X918">
        <f t="shared" si="136"/>
        <v>0.86299999999999999</v>
      </c>
      <c r="Y918">
        <v>40.445711979999999</v>
      </c>
      <c r="Z918">
        <v>0</v>
      </c>
      <c r="AA918">
        <v>236250</v>
      </c>
      <c r="AB918">
        <v>76158</v>
      </c>
      <c r="AC918">
        <v>1.7652984E-2</v>
      </c>
      <c r="AD918">
        <v>0.84750225300000004</v>
      </c>
      <c r="AF918">
        <v>12.53908333</v>
      </c>
      <c r="AG918">
        <v>1.2999999999999999E-2</v>
      </c>
      <c r="AH918">
        <v>3.2000000000000001E-2</v>
      </c>
      <c r="AI918">
        <v>0.76800000000000002</v>
      </c>
      <c r="AJ918">
        <v>1.760384615</v>
      </c>
      <c r="AK918">
        <v>7.4726629119999997</v>
      </c>
      <c r="AL918">
        <v>8.5999999999999993E-2</v>
      </c>
      <c r="AM918">
        <v>2.1999999999999999E-2</v>
      </c>
      <c r="AN918">
        <v>0.86299999999999999</v>
      </c>
    </row>
    <row r="919" spans="1:40">
      <c r="A919">
        <v>2987</v>
      </c>
      <c r="B919" t="s">
        <v>691</v>
      </c>
      <c r="C919" t="s">
        <v>684</v>
      </c>
      <c r="D919" t="s">
        <v>685</v>
      </c>
      <c r="E919">
        <v>613</v>
      </c>
      <c r="F919">
        <v>2063</v>
      </c>
      <c r="G919">
        <v>124.3822526</v>
      </c>
      <c r="H919">
        <v>103</v>
      </c>
      <c r="I919">
        <v>0.19441607</v>
      </c>
      <c r="J919">
        <v>2166</v>
      </c>
      <c r="K919">
        <v>11141.054340000001</v>
      </c>
      <c r="L919">
        <v>0.80200000000000005</v>
      </c>
      <c r="M919">
        <v>0.143854749</v>
      </c>
      <c r="N919">
        <v>0</v>
      </c>
      <c r="O919" t="s">
        <v>620</v>
      </c>
      <c r="P919">
        <f t="shared" si="128"/>
        <v>13.919707320000001</v>
      </c>
      <c r="Q919">
        <f t="shared" si="129"/>
        <v>1.6E-2</v>
      </c>
      <c r="R919">
        <f t="shared" si="130"/>
        <v>2.1000000000000001E-2</v>
      </c>
      <c r="S919">
        <f t="shared" si="131"/>
        <v>0.80200000000000005</v>
      </c>
      <c r="T919">
        <f t="shared" si="132"/>
        <v>2.1875</v>
      </c>
      <c r="U919">
        <f t="shared" si="133"/>
        <v>8.2598788550000002</v>
      </c>
      <c r="V919">
        <f t="shared" si="134"/>
        <v>1.7999999999999999E-2</v>
      </c>
      <c r="W919">
        <f t="shared" si="135"/>
        <v>0.05</v>
      </c>
      <c r="X919">
        <f t="shared" si="136"/>
        <v>0.92300000000000004</v>
      </c>
      <c r="Y919">
        <v>107.88363560000001</v>
      </c>
      <c r="Z919">
        <v>0</v>
      </c>
      <c r="AA919">
        <v>236250</v>
      </c>
      <c r="AB919">
        <v>76158</v>
      </c>
      <c r="AC919">
        <v>1.7652984E-2</v>
      </c>
      <c r="AD919">
        <v>0.84750225300000004</v>
      </c>
      <c r="AF919">
        <v>13.919707320000001</v>
      </c>
      <c r="AG919">
        <v>1.6E-2</v>
      </c>
      <c r="AH919">
        <v>2.1000000000000001E-2</v>
      </c>
      <c r="AI919">
        <v>0.80200000000000005</v>
      </c>
      <c r="AJ919">
        <v>2.1875</v>
      </c>
      <c r="AK919">
        <v>8.2598788550000002</v>
      </c>
      <c r="AL919">
        <v>1.7999999999999999E-2</v>
      </c>
      <c r="AM919">
        <v>0.05</v>
      </c>
      <c r="AN919">
        <v>0.92300000000000004</v>
      </c>
    </row>
    <row r="920" spans="1:40">
      <c r="A920">
        <v>2988</v>
      </c>
      <c r="B920" t="s">
        <v>691</v>
      </c>
      <c r="C920" t="s">
        <v>684</v>
      </c>
      <c r="D920" t="s">
        <v>685</v>
      </c>
      <c r="E920">
        <v>103</v>
      </c>
      <c r="F920">
        <v>253</v>
      </c>
      <c r="G920">
        <v>112.7817457</v>
      </c>
      <c r="H920">
        <v>342</v>
      </c>
      <c r="I920">
        <v>0.17629519099999999</v>
      </c>
      <c r="J920">
        <v>595</v>
      </c>
      <c r="K920">
        <v>3375.0211599999998</v>
      </c>
      <c r="L920">
        <v>0.92</v>
      </c>
      <c r="M920">
        <v>0.76853932599999997</v>
      </c>
      <c r="N920">
        <v>0</v>
      </c>
      <c r="O920" t="s">
        <v>620</v>
      </c>
      <c r="P920">
        <f t="shared" si="128"/>
        <v>11.81126214</v>
      </c>
      <c r="Q920">
        <f t="shared" si="129"/>
        <v>1.8070175438596476E-2</v>
      </c>
      <c r="R920">
        <f t="shared" si="130"/>
        <v>3.2000000000000001E-2</v>
      </c>
      <c r="S920">
        <f t="shared" si="131"/>
        <v>0.92</v>
      </c>
      <c r="T920">
        <f t="shared" si="132"/>
        <v>1.566875</v>
      </c>
      <c r="U920">
        <f t="shared" si="133"/>
        <v>8.2125333329999997</v>
      </c>
      <c r="V920">
        <f t="shared" si="134"/>
        <v>3.5999999999999997E-2</v>
      </c>
      <c r="W920">
        <f t="shared" si="135"/>
        <v>5.9146341463414652E-2</v>
      </c>
      <c r="X920">
        <f t="shared" si="136"/>
        <v>0.93600000000000005</v>
      </c>
      <c r="Y920">
        <v>41.285164450000003</v>
      </c>
      <c r="Z920">
        <v>0</v>
      </c>
      <c r="AA920">
        <v>236250</v>
      </c>
      <c r="AB920">
        <v>76158</v>
      </c>
      <c r="AC920">
        <v>1.7652984E-2</v>
      </c>
      <c r="AD920">
        <v>0.84750225300000004</v>
      </c>
      <c r="AF920">
        <v>11.81126214</v>
      </c>
      <c r="AG920">
        <v>0</v>
      </c>
      <c r="AH920">
        <v>3.2000000000000001E-2</v>
      </c>
      <c r="AI920">
        <v>0.92</v>
      </c>
      <c r="AJ920">
        <v>1.566875</v>
      </c>
      <c r="AK920">
        <v>8.2125333329999997</v>
      </c>
      <c r="AL920">
        <v>3.5999999999999997E-2</v>
      </c>
      <c r="AM920">
        <v>0</v>
      </c>
      <c r="AN920">
        <v>0.93600000000000005</v>
      </c>
    </row>
    <row r="921" spans="1:40">
      <c r="A921">
        <v>2989</v>
      </c>
      <c r="B921" t="s">
        <v>689</v>
      </c>
      <c r="C921" t="s">
        <v>687</v>
      </c>
      <c r="D921" t="s">
        <v>688</v>
      </c>
      <c r="E921">
        <v>0</v>
      </c>
      <c r="F921">
        <v>0</v>
      </c>
      <c r="G921">
        <v>2404.1141250000001</v>
      </c>
      <c r="H921">
        <v>1698</v>
      </c>
      <c r="I921" s="515">
        <v>3.7579530589871299</v>
      </c>
      <c r="J921">
        <v>1698</v>
      </c>
      <c r="K921">
        <v>451.84172699999999</v>
      </c>
      <c r="L921">
        <v>0.95099999999999996</v>
      </c>
      <c r="M921" s="515">
        <v>1</v>
      </c>
      <c r="N921">
        <v>1</v>
      </c>
      <c r="O921" t="s">
        <v>625</v>
      </c>
      <c r="P921">
        <f t="shared" si="128"/>
        <v>17.037737230000001</v>
      </c>
      <c r="Q921">
        <f t="shared" si="129"/>
        <v>2.4E-2</v>
      </c>
      <c r="R921">
        <f t="shared" si="130"/>
        <v>0.02</v>
      </c>
      <c r="S921">
        <f t="shared" si="131"/>
        <v>0.95099999999999996</v>
      </c>
      <c r="T921">
        <f t="shared" si="132"/>
        <v>2.9762499999999998</v>
      </c>
      <c r="U921">
        <f t="shared" si="133"/>
        <v>11.736350460000001</v>
      </c>
      <c r="V921">
        <f t="shared" si="134"/>
        <v>2.4E-2</v>
      </c>
      <c r="W921">
        <f t="shared" si="135"/>
        <v>2.8000000000000001E-2</v>
      </c>
      <c r="X921">
        <f t="shared" si="136"/>
        <v>0.94799999999999995</v>
      </c>
      <c r="Y921">
        <v>11.75573951</v>
      </c>
      <c r="Z921">
        <v>0</v>
      </c>
      <c r="AA921">
        <v>454184</v>
      </c>
      <c r="AB921">
        <v>170596</v>
      </c>
      <c r="AC921">
        <v>6.5715274000000004E-2</v>
      </c>
      <c r="AD921">
        <v>0.72549415100000003</v>
      </c>
      <c r="AF921">
        <v>17.037737230000001</v>
      </c>
      <c r="AG921">
        <v>2.4E-2</v>
      </c>
      <c r="AH921">
        <v>0.02</v>
      </c>
      <c r="AI921">
        <v>0.95099999999999996</v>
      </c>
      <c r="AJ921">
        <v>2.9762499999999998</v>
      </c>
      <c r="AK921">
        <v>11.736350460000001</v>
      </c>
      <c r="AL921">
        <v>2.4E-2</v>
      </c>
      <c r="AM921">
        <v>2.8000000000000001E-2</v>
      </c>
      <c r="AN921">
        <v>0.94799999999999995</v>
      </c>
    </row>
    <row r="922" spans="1:40">
      <c r="A922">
        <v>2990</v>
      </c>
      <c r="B922" t="s">
        <v>689</v>
      </c>
      <c r="C922" t="s">
        <v>687</v>
      </c>
      <c r="D922" t="s">
        <v>688</v>
      </c>
      <c r="E922">
        <v>308</v>
      </c>
      <c r="F922">
        <v>1124</v>
      </c>
      <c r="G922">
        <v>120.2564811</v>
      </c>
      <c r="H922">
        <v>1173</v>
      </c>
      <c r="I922">
        <v>0.18798980800000001</v>
      </c>
      <c r="J922">
        <v>2297</v>
      </c>
      <c r="K922">
        <v>12218.747520000001</v>
      </c>
      <c r="L922">
        <v>0.88700000000000001</v>
      </c>
      <c r="M922">
        <v>0.79203241099999999</v>
      </c>
      <c r="N922">
        <v>0</v>
      </c>
      <c r="O922" t="s">
        <v>620</v>
      </c>
      <c r="P922">
        <f t="shared" si="128"/>
        <v>12.25193966</v>
      </c>
      <c r="Q922">
        <f t="shared" si="129"/>
        <v>2.9000000000000001E-2</v>
      </c>
      <c r="R922">
        <f t="shared" si="130"/>
        <v>1.7000000000000001E-2</v>
      </c>
      <c r="S922">
        <f t="shared" si="131"/>
        <v>0.88700000000000001</v>
      </c>
      <c r="T922">
        <f t="shared" si="132"/>
        <v>2.4315384619999998</v>
      </c>
      <c r="U922">
        <f t="shared" si="133"/>
        <v>7.6607861640000001</v>
      </c>
      <c r="V922">
        <f t="shared" si="134"/>
        <v>1.9E-2</v>
      </c>
      <c r="W922">
        <f t="shared" si="135"/>
        <v>8.4000000000000005E-2</v>
      </c>
      <c r="X922">
        <f t="shared" si="136"/>
        <v>0.88500000000000001</v>
      </c>
      <c r="Y922">
        <v>61.975704890000003</v>
      </c>
      <c r="Z922">
        <v>0</v>
      </c>
      <c r="AA922">
        <v>454184</v>
      </c>
      <c r="AB922">
        <v>170596</v>
      </c>
      <c r="AC922">
        <v>6.5715274000000004E-2</v>
      </c>
      <c r="AD922">
        <v>0.72549415100000003</v>
      </c>
      <c r="AF922">
        <v>12.25193966</v>
      </c>
      <c r="AG922">
        <v>2.9000000000000001E-2</v>
      </c>
      <c r="AH922">
        <v>1.7000000000000001E-2</v>
      </c>
      <c r="AI922">
        <v>0.88700000000000001</v>
      </c>
      <c r="AJ922">
        <v>2.4315384619999998</v>
      </c>
      <c r="AK922">
        <v>7.6607861640000001</v>
      </c>
      <c r="AL922">
        <v>1.9E-2</v>
      </c>
      <c r="AM922">
        <v>8.4000000000000005E-2</v>
      </c>
      <c r="AN922">
        <v>0.88500000000000001</v>
      </c>
    </row>
    <row r="923" spans="1:40">
      <c r="A923">
        <v>2991</v>
      </c>
      <c r="B923" t="s">
        <v>690</v>
      </c>
      <c r="C923" t="s">
        <v>687</v>
      </c>
      <c r="D923" t="s">
        <v>688</v>
      </c>
      <c r="E923">
        <v>486</v>
      </c>
      <c r="F923">
        <v>1146</v>
      </c>
      <c r="G923">
        <v>59.157420770000002</v>
      </c>
      <c r="H923">
        <v>26</v>
      </c>
      <c r="I923">
        <v>9.2470188999999994E-2</v>
      </c>
      <c r="J923">
        <v>1172</v>
      </c>
      <c r="K923">
        <v>12674.35498</v>
      </c>
      <c r="L923">
        <v>0.78800000000000003</v>
      </c>
      <c r="M923">
        <v>5.078125E-2</v>
      </c>
      <c r="N923">
        <v>0</v>
      </c>
      <c r="O923" t="s">
        <v>613</v>
      </c>
      <c r="P923">
        <f t="shared" si="128"/>
        <v>10.724444439999999</v>
      </c>
      <c r="Q923">
        <f t="shared" si="129"/>
        <v>4.5999999999999999E-2</v>
      </c>
      <c r="R923">
        <f t="shared" si="130"/>
        <v>2.1999999999999999E-2</v>
      </c>
      <c r="S923">
        <f t="shared" si="131"/>
        <v>0.78800000000000003</v>
      </c>
      <c r="T923">
        <f t="shared" si="132"/>
        <v>2.5914285709999998</v>
      </c>
      <c r="U923">
        <f t="shared" si="133"/>
        <v>6.1837195119999997</v>
      </c>
      <c r="V923">
        <f t="shared" si="134"/>
        <v>4.1000000000000002E-2</v>
      </c>
      <c r="W923">
        <f t="shared" si="135"/>
        <v>0.124</v>
      </c>
      <c r="X923">
        <f t="shared" si="136"/>
        <v>0.80700000000000005</v>
      </c>
      <c r="Y923">
        <v>83.404605419999996</v>
      </c>
      <c r="Z923">
        <v>0</v>
      </c>
      <c r="AA923">
        <v>82284</v>
      </c>
      <c r="AB923">
        <v>32030</v>
      </c>
      <c r="AC923">
        <v>4.7570397E-2</v>
      </c>
      <c r="AD923">
        <v>0.78974696300000002</v>
      </c>
      <c r="AF923">
        <v>10.724444439999999</v>
      </c>
      <c r="AG923">
        <v>4.5999999999999999E-2</v>
      </c>
      <c r="AH923">
        <v>2.1999999999999999E-2</v>
      </c>
      <c r="AI923">
        <v>0.78800000000000003</v>
      </c>
      <c r="AJ923">
        <v>2.5914285709999998</v>
      </c>
      <c r="AK923">
        <v>6.1837195119999997</v>
      </c>
      <c r="AL923">
        <v>4.1000000000000002E-2</v>
      </c>
      <c r="AM923">
        <v>0.124</v>
      </c>
      <c r="AN923">
        <v>0.80700000000000005</v>
      </c>
    </row>
    <row r="924" spans="1:40">
      <c r="A924">
        <v>2992</v>
      </c>
      <c r="B924" t="s">
        <v>689</v>
      </c>
      <c r="C924" t="s">
        <v>687</v>
      </c>
      <c r="D924" t="s">
        <v>688</v>
      </c>
      <c r="E924">
        <v>169</v>
      </c>
      <c r="F924">
        <v>377</v>
      </c>
      <c r="G924">
        <v>23.121387160000001</v>
      </c>
      <c r="H924">
        <v>1093</v>
      </c>
      <c r="I924">
        <v>3.6142215999999998E-2</v>
      </c>
      <c r="J924">
        <v>1470</v>
      </c>
      <c r="K924">
        <v>40672.658259999997</v>
      </c>
      <c r="L924">
        <v>0.74099999999999999</v>
      </c>
      <c r="M924">
        <v>0.86608557799999997</v>
      </c>
      <c r="N924">
        <v>1</v>
      </c>
      <c r="O924" t="s">
        <v>606</v>
      </c>
      <c r="P924">
        <f t="shared" si="128"/>
        <v>13.61378947</v>
      </c>
      <c r="Q924">
        <f t="shared" si="129"/>
        <v>7.4999999999999997E-2</v>
      </c>
      <c r="R924">
        <f t="shared" si="130"/>
        <v>3.7999999999999999E-2</v>
      </c>
      <c r="S924">
        <f t="shared" si="131"/>
        <v>0.74099999999999999</v>
      </c>
      <c r="T924">
        <f t="shared" si="132"/>
        <v>2.284772727</v>
      </c>
      <c r="U924">
        <f t="shared" si="133"/>
        <v>7.7145988020000003</v>
      </c>
      <c r="V924">
        <f t="shared" si="134"/>
        <v>0.08</v>
      </c>
      <c r="W924">
        <f t="shared" si="135"/>
        <v>0.153</v>
      </c>
      <c r="X924">
        <f t="shared" si="136"/>
        <v>0.69299999999999995</v>
      </c>
      <c r="Y924">
        <v>170.47630950000001</v>
      </c>
      <c r="Z924">
        <v>0</v>
      </c>
      <c r="AA924">
        <v>454184</v>
      </c>
      <c r="AB924">
        <v>170596</v>
      </c>
      <c r="AC924">
        <v>6.5715274000000004E-2</v>
      </c>
      <c r="AD924">
        <v>0.72549415100000003</v>
      </c>
      <c r="AF924">
        <v>13.61378947</v>
      </c>
      <c r="AG924">
        <v>7.4999999999999997E-2</v>
      </c>
      <c r="AH924">
        <v>3.7999999999999999E-2</v>
      </c>
      <c r="AI924">
        <v>0.74099999999999999</v>
      </c>
      <c r="AJ924">
        <v>2.284772727</v>
      </c>
      <c r="AK924">
        <v>7.7145988020000003</v>
      </c>
      <c r="AL924">
        <v>0.08</v>
      </c>
      <c r="AM924">
        <v>0.153</v>
      </c>
      <c r="AN924">
        <v>0.69299999999999995</v>
      </c>
    </row>
    <row r="925" spans="1:40">
      <c r="A925">
        <v>2993</v>
      </c>
      <c r="B925" t="s">
        <v>686</v>
      </c>
      <c r="C925" t="s">
        <v>687</v>
      </c>
      <c r="D925" t="s">
        <v>688</v>
      </c>
      <c r="E925">
        <v>100</v>
      </c>
      <c r="F925">
        <v>3001</v>
      </c>
      <c r="G925">
        <v>15.096784700000001</v>
      </c>
      <c r="H925">
        <v>5103</v>
      </c>
      <c r="I925">
        <v>2.3597301000000001E-2</v>
      </c>
      <c r="J925">
        <v>8104</v>
      </c>
      <c r="K925">
        <v>343429.1066</v>
      </c>
      <c r="L925">
        <v>0.47399999999999998</v>
      </c>
      <c r="M925">
        <v>0.98078031899999996</v>
      </c>
      <c r="N925">
        <v>0</v>
      </c>
      <c r="O925" t="s">
        <v>606</v>
      </c>
      <c r="P925">
        <f t="shared" si="128"/>
        <v>14.89239852</v>
      </c>
      <c r="Q925">
        <f t="shared" si="129"/>
        <v>8.1000000000000003E-2</v>
      </c>
      <c r="R925">
        <f t="shared" si="130"/>
        <v>5.8000000000000003E-2</v>
      </c>
      <c r="S925">
        <f t="shared" si="131"/>
        <v>0.47399999999999998</v>
      </c>
      <c r="T925">
        <f t="shared" si="132"/>
        <v>1.435384615</v>
      </c>
      <c r="U925">
        <f t="shared" si="133"/>
        <v>7.7861224489999996</v>
      </c>
      <c r="V925">
        <f t="shared" si="134"/>
        <v>0.10100000000000001</v>
      </c>
      <c r="W925">
        <f t="shared" si="135"/>
        <v>0.24199999999999999</v>
      </c>
      <c r="X925">
        <f t="shared" si="136"/>
        <v>0.48099999999999998</v>
      </c>
      <c r="Y925">
        <v>401.04753890000001</v>
      </c>
      <c r="Z925">
        <v>1</v>
      </c>
      <c r="AA925">
        <v>140316</v>
      </c>
      <c r="AB925">
        <v>49638</v>
      </c>
      <c r="AC925">
        <v>9.1283894000000004E-2</v>
      </c>
      <c r="AD925">
        <v>0.60339869999999995</v>
      </c>
      <c r="AF925">
        <v>14.89239852</v>
      </c>
      <c r="AG925">
        <v>8.1000000000000003E-2</v>
      </c>
      <c r="AH925">
        <v>5.8000000000000003E-2</v>
      </c>
      <c r="AI925">
        <v>0.47399999999999998</v>
      </c>
      <c r="AJ925">
        <v>1.435384615</v>
      </c>
      <c r="AK925">
        <v>7.7861224489999996</v>
      </c>
      <c r="AL925">
        <v>0.10100000000000001</v>
      </c>
      <c r="AM925">
        <v>0.24199999999999999</v>
      </c>
      <c r="AN925">
        <v>0.48099999999999998</v>
      </c>
    </row>
    <row r="926" spans="1:40">
      <c r="A926">
        <v>2994</v>
      </c>
      <c r="B926" t="s">
        <v>692</v>
      </c>
      <c r="C926" t="s">
        <v>693</v>
      </c>
      <c r="D926" t="s">
        <v>694</v>
      </c>
      <c r="E926">
        <v>131</v>
      </c>
      <c r="F926">
        <v>391</v>
      </c>
      <c r="G926">
        <v>143.63905600000001</v>
      </c>
      <c r="H926">
        <v>405</v>
      </c>
      <c r="I926">
        <v>0.224527543</v>
      </c>
      <c r="J926">
        <v>796</v>
      </c>
      <c r="K926">
        <v>3545.2220670000002</v>
      </c>
      <c r="L926">
        <v>0.89200000000000002</v>
      </c>
      <c r="M926">
        <v>0.75559701499999998</v>
      </c>
      <c r="N926">
        <v>0</v>
      </c>
      <c r="O926" t="s">
        <v>620</v>
      </c>
      <c r="P926">
        <f t="shared" si="128"/>
        <v>14.340714289999999</v>
      </c>
      <c r="Q926">
        <f t="shared" si="129"/>
        <v>8.9999999999999993E-3</v>
      </c>
      <c r="R926">
        <f t="shared" si="130"/>
        <v>1.4E-2</v>
      </c>
      <c r="S926">
        <f t="shared" si="131"/>
        <v>0.89200000000000002</v>
      </c>
      <c r="T926">
        <f t="shared" si="132"/>
        <v>2.3220000000000001</v>
      </c>
      <c r="U926">
        <f t="shared" si="133"/>
        <v>7.8567215819999996</v>
      </c>
      <c r="V926">
        <f t="shared" si="134"/>
        <v>2.1000000000000001E-2</v>
      </c>
      <c r="W926">
        <f t="shared" si="135"/>
        <v>6.4000000000000001E-2</v>
      </c>
      <c r="X926">
        <f t="shared" si="136"/>
        <v>0.89400000000000002</v>
      </c>
      <c r="Y926">
        <v>127.5133294</v>
      </c>
      <c r="Z926">
        <v>0</v>
      </c>
      <c r="AA926">
        <v>77808</v>
      </c>
      <c r="AB926">
        <v>27489</v>
      </c>
      <c r="AC926">
        <v>1.1225541E-2</v>
      </c>
      <c r="AD926">
        <v>0.835708267</v>
      </c>
      <c r="AF926">
        <v>14.340714289999999</v>
      </c>
      <c r="AG926">
        <v>8.9999999999999993E-3</v>
      </c>
      <c r="AH926">
        <v>1.4E-2</v>
      </c>
      <c r="AI926">
        <v>0.89200000000000002</v>
      </c>
      <c r="AJ926">
        <v>2.3220000000000001</v>
      </c>
      <c r="AK926">
        <v>7.8567215819999996</v>
      </c>
      <c r="AL926">
        <v>2.1000000000000001E-2</v>
      </c>
      <c r="AM926">
        <v>6.4000000000000001E-2</v>
      </c>
      <c r="AN926">
        <v>0.89400000000000002</v>
      </c>
    </row>
    <row r="927" spans="1:40">
      <c r="A927">
        <v>2995</v>
      </c>
      <c r="B927" t="s">
        <v>698</v>
      </c>
      <c r="C927" t="s">
        <v>693</v>
      </c>
      <c r="D927" t="s">
        <v>694</v>
      </c>
      <c r="E927">
        <v>316</v>
      </c>
      <c r="F927">
        <v>868</v>
      </c>
      <c r="G927">
        <v>97.041218270000002</v>
      </c>
      <c r="H927">
        <v>45</v>
      </c>
      <c r="I927">
        <v>0.15168313899999999</v>
      </c>
      <c r="J927">
        <v>913</v>
      </c>
      <c r="K927">
        <v>6019.1264899999996</v>
      </c>
      <c r="L927">
        <v>0.76700000000000002</v>
      </c>
      <c r="M927">
        <v>0.12465374</v>
      </c>
      <c r="N927">
        <v>0</v>
      </c>
      <c r="O927" t="s">
        <v>625</v>
      </c>
      <c r="P927">
        <f t="shared" si="128"/>
        <v>20.513619049999999</v>
      </c>
      <c r="Q927">
        <f t="shared" si="129"/>
        <v>1.4999999999999999E-2</v>
      </c>
      <c r="R927">
        <f t="shared" si="130"/>
        <v>0.02</v>
      </c>
      <c r="S927">
        <f t="shared" si="131"/>
        <v>0.76700000000000002</v>
      </c>
      <c r="T927">
        <f t="shared" si="132"/>
        <v>1.854545455</v>
      </c>
      <c r="U927">
        <f t="shared" si="133"/>
        <v>9.5126252979999997</v>
      </c>
      <c r="V927">
        <f t="shared" si="134"/>
        <v>4.0705882352941189E-2</v>
      </c>
      <c r="W927">
        <f t="shared" si="135"/>
        <v>5.3999999999999999E-2</v>
      </c>
      <c r="X927">
        <f t="shared" si="136"/>
        <v>0.93799999999999994</v>
      </c>
      <c r="Y927">
        <v>87.863511239999994</v>
      </c>
      <c r="Z927">
        <v>0</v>
      </c>
      <c r="AA927">
        <v>88250</v>
      </c>
      <c r="AB927">
        <v>31723</v>
      </c>
      <c r="AC927">
        <v>1.0795895999999999E-2</v>
      </c>
      <c r="AD927">
        <v>0.817760245</v>
      </c>
      <c r="AF927">
        <v>20.513619049999999</v>
      </c>
      <c r="AG927">
        <v>1.4999999999999999E-2</v>
      </c>
      <c r="AH927">
        <v>0.02</v>
      </c>
      <c r="AI927">
        <v>0.76700000000000002</v>
      </c>
      <c r="AJ927">
        <v>1.854545455</v>
      </c>
      <c r="AK927">
        <v>9.5126252979999997</v>
      </c>
      <c r="AL927">
        <v>0</v>
      </c>
      <c r="AM927">
        <v>5.3999999999999999E-2</v>
      </c>
      <c r="AN927">
        <v>0.93799999999999994</v>
      </c>
    </row>
    <row r="928" spans="1:40">
      <c r="A928">
        <v>2996</v>
      </c>
      <c r="B928" t="s">
        <v>698</v>
      </c>
      <c r="C928" t="s">
        <v>693</v>
      </c>
      <c r="D928" t="s">
        <v>694</v>
      </c>
      <c r="E928">
        <v>380</v>
      </c>
      <c r="F928">
        <v>565</v>
      </c>
      <c r="G928">
        <v>152.79354739999999</v>
      </c>
      <c r="H928">
        <v>0</v>
      </c>
      <c r="I928">
        <v>0.238832348</v>
      </c>
      <c r="J928">
        <v>565</v>
      </c>
      <c r="K928">
        <v>2365.6761940000001</v>
      </c>
      <c r="L928">
        <v>0.84399999999999997</v>
      </c>
      <c r="M928">
        <v>0</v>
      </c>
      <c r="N928">
        <v>0</v>
      </c>
      <c r="O928" t="s">
        <v>625</v>
      </c>
      <c r="P928">
        <f t="shared" si="128"/>
        <v>20.053125000000001</v>
      </c>
      <c r="Q928">
        <f t="shared" si="129"/>
        <v>1.4E-2</v>
      </c>
      <c r="R928">
        <f t="shared" si="130"/>
        <v>2.7E-2</v>
      </c>
      <c r="S928">
        <f t="shared" si="131"/>
        <v>0.84399999999999997</v>
      </c>
      <c r="T928">
        <f t="shared" si="132"/>
        <v>2.8639999999999999</v>
      </c>
      <c r="U928">
        <f t="shared" si="133"/>
        <v>8.6946885250000001</v>
      </c>
      <c r="V928">
        <f t="shared" si="134"/>
        <v>4.0705882352941189E-2</v>
      </c>
      <c r="W928">
        <f t="shared" si="135"/>
        <v>5.2166666666666632E-2</v>
      </c>
      <c r="X928">
        <f t="shared" si="136"/>
        <v>1</v>
      </c>
      <c r="Y928">
        <v>113.1113448</v>
      </c>
      <c r="Z928">
        <v>0</v>
      </c>
      <c r="AA928">
        <v>88250</v>
      </c>
      <c r="AB928">
        <v>31723</v>
      </c>
      <c r="AC928">
        <v>1.0795895999999999E-2</v>
      </c>
      <c r="AD928">
        <v>0.817760245</v>
      </c>
      <c r="AF928">
        <v>20.053125000000001</v>
      </c>
      <c r="AG928">
        <v>1.4E-2</v>
      </c>
      <c r="AH928">
        <v>2.7E-2</v>
      </c>
      <c r="AI928">
        <v>0.84399999999999997</v>
      </c>
      <c r="AJ928">
        <v>2.8639999999999999</v>
      </c>
      <c r="AK928">
        <v>8.6946885250000001</v>
      </c>
      <c r="AL928">
        <v>0</v>
      </c>
      <c r="AM928">
        <v>0</v>
      </c>
      <c r="AN928">
        <v>1</v>
      </c>
    </row>
    <row r="929" spans="1:40">
      <c r="A929">
        <v>2997</v>
      </c>
      <c r="B929" t="s">
        <v>691</v>
      </c>
      <c r="C929" t="s">
        <v>684</v>
      </c>
      <c r="D929" t="s">
        <v>685</v>
      </c>
      <c r="E929">
        <v>365</v>
      </c>
      <c r="F929">
        <v>1071</v>
      </c>
      <c r="G929">
        <v>44.659996399999997</v>
      </c>
      <c r="H929">
        <v>235</v>
      </c>
      <c r="I929">
        <v>6.9803100000000007E-2</v>
      </c>
      <c r="J929">
        <v>1306</v>
      </c>
      <c r="K929">
        <v>18709.770769999999</v>
      </c>
      <c r="L929">
        <v>0.82799999999999996</v>
      </c>
      <c r="M929">
        <v>0.39166666700000002</v>
      </c>
      <c r="N929">
        <v>0</v>
      </c>
      <c r="O929" t="s">
        <v>620</v>
      </c>
      <c r="P929">
        <f t="shared" si="128"/>
        <v>12.96544304</v>
      </c>
      <c r="Q929">
        <f t="shared" si="129"/>
        <v>0.02</v>
      </c>
      <c r="R929">
        <f t="shared" si="130"/>
        <v>2.5999999999999999E-2</v>
      </c>
      <c r="S929">
        <f t="shared" si="131"/>
        <v>0.82799999999999996</v>
      </c>
      <c r="T929">
        <f t="shared" si="132"/>
        <v>1.544166667</v>
      </c>
      <c r="U929">
        <f t="shared" si="133"/>
        <v>7.3180250349999998</v>
      </c>
      <c r="V929">
        <f t="shared" si="134"/>
        <v>3.4000000000000002E-2</v>
      </c>
      <c r="W929">
        <f t="shared" si="135"/>
        <v>6.7000000000000004E-2</v>
      </c>
      <c r="X929">
        <f t="shared" si="136"/>
        <v>0.88300000000000001</v>
      </c>
      <c r="Y929">
        <v>202.06800490000001</v>
      </c>
      <c r="Z929">
        <v>0</v>
      </c>
      <c r="AA929">
        <v>236250</v>
      </c>
      <c r="AB929">
        <v>76158</v>
      </c>
      <c r="AC929">
        <v>1.7652984E-2</v>
      </c>
      <c r="AD929">
        <v>0.84750225300000004</v>
      </c>
      <c r="AF929">
        <v>12.96544304</v>
      </c>
      <c r="AG929">
        <v>0.02</v>
      </c>
      <c r="AH929">
        <v>2.5999999999999999E-2</v>
      </c>
      <c r="AI929">
        <v>0.82799999999999996</v>
      </c>
      <c r="AJ929">
        <v>1.544166667</v>
      </c>
      <c r="AK929">
        <v>7.3180250349999998</v>
      </c>
      <c r="AL929">
        <v>3.4000000000000002E-2</v>
      </c>
      <c r="AM929">
        <v>6.7000000000000004E-2</v>
      </c>
      <c r="AN929">
        <v>0.88300000000000001</v>
      </c>
    </row>
    <row r="930" spans="1:40">
      <c r="A930">
        <v>2998</v>
      </c>
      <c r="B930" t="s">
        <v>691</v>
      </c>
      <c r="C930" t="s">
        <v>684</v>
      </c>
      <c r="D930" t="s">
        <v>685</v>
      </c>
      <c r="E930">
        <v>635</v>
      </c>
      <c r="F930">
        <v>1849</v>
      </c>
      <c r="G930">
        <v>153.3795653</v>
      </c>
      <c r="H930">
        <v>143</v>
      </c>
      <c r="I930">
        <v>0.239749147</v>
      </c>
      <c r="J930">
        <v>1992</v>
      </c>
      <c r="K930">
        <v>8308.6844099999998</v>
      </c>
      <c r="L930">
        <v>0.83499999999999996</v>
      </c>
      <c r="M930">
        <v>0.183804627</v>
      </c>
      <c r="N930">
        <v>0</v>
      </c>
      <c r="O930" t="s">
        <v>620</v>
      </c>
      <c r="P930">
        <f t="shared" si="128"/>
        <v>12.715783780000001</v>
      </c>
      <c r="Q930">
        <f t="shared" si="129"/>
        <v>1.4999999999999999E-2</v>
      </c>
      <c r="R930">
        <f t="shared" si="130"/>
        <v>1.4999999999999999E-2</v>
      </c>
      <c r="S930">
        <f t="shared" si="131"/>
        <v>0.83499999999999996</v>
      </c>
      <c r="T930">
        <f t="shared" si="132"/>
        <v>1.894242424</v>
      </c>
      <c r="U930">
        <f t="shared" si="133"/>
        <v>6.388960752</v>
      </c>
      <c r="V930">
        <f t="shared" si="134"/>
        <v>3.5151315789473656E-2</v>
      </c>
      <c r="W930">
        <f t="shared" si="135"/>
        <v>6.0999999999999999E-2</v>
      </c>
      <c r="X930">
        <f t="shared" si="136"/>
        <v>0.93400000000000005</v>
      </c>
      <c r="Y930">
        <v>108.6689039</v>
      </c>
      <c r="Z930">
        <v>0</v>
      </c>
      <c r="AA930">
        <v>236250</v>
      </c>
      <c r="AB930">
        <v>76158</v>
      </c>
      <c r="AC930">
        <v>1.7652984E-2</v>
      </c>
      <c r="AD930">
        <v>0.84750225300000004</v>
      </c>
      <c r="AF930">
        <v>12.715783780000001</v>
      </c>
      <c r="AG930">
        <v>1.4999999999999999E-2</v>
      </c>
      <c r="AH930">
        <v>1.4999999999999999E-2</v>
      </c>
      <c r="AI930">
        <v>0.83499999999999996</v>
      </c>
      <c r="AJ930">
        <v>1.894242424</v>
      </c>
      <c r="AK930">
        <v>6.388960752</v>
      </c>
      <c r="AL930">
        <v>0</v>
      </c>
      <c r="AM930">
        <v>6.0999999999999999E-2</v>
      </c>
      <c r="AN930">
        <v>0.93400000000000005</v>
      </c>
    </row>
    <row r="931" spans="1:40">
      <c r="A931">
        <v>2999</v>
      </c>
      <c r="B931" t="s">
        <v>691</v>
      </c>
      <c r="C931" t="s">
        <v>684</v>
      </c>
      <c r="D931" t="s">
        <v>685</v>
      </c>
      <c r="E931">
        <v>656</v>
      </c>
      <c r="F931">
        <v>1847</v>
      </c>
      <c r="G931">
        <v>104.2760155</v>
      </c>
      <c r="H931">
        <v>355</v>
      </c>
      <c r="I931">
        <v>0.16299101799999999</v>
      </c>
      <c r="J931">
        <v>2202</v>
      </c>
      <c r="K931">
        <v>13509.946910000001</v>
      </c>
      <c r="L931">
        <v>0.82499999999999996</v>
      </c>
      <c r="M931">
        <v>0.351137488</v>
      </c>
      <c r="N931">
        <v>0</v>
      </c>
      <c r="O931" t="s">
        <v>620</v>
      </c>
      <c r="P931">
        <f t="shared" si="128"/>
        <v>11.96357143</v>
      </c>
      <c r="Q931">
        <f t="shared" si="129"/>
        <v>1.2999999999999999E-2</v>
      </c>
      <c r="R931">
        <f t="shared" si="130"/>
        <v>5.0000000000000001E-3</v>
      </c>
      <c r="S931">
        <f t="shared" si="131"/>
        <v>0.82499999999999996</v>
      </c>
      <c r="T931">
        <f t="shared" si="132"/>
        <v>2.2962500000000001</v>
      </c>
      <c r="U931">
        <f t="shared" si="133"/>
        <v>6.4078436209999996</v>
      </c>
      <c r="V931">
        <f t="shared" si="134"/>
        <v>1.9E-2</v>
      </c>
      <c r="W931">
        <f t="shared" si="135"/>
        <v>6.7000000000000004E-2</v>
      </c>
      <c r="X931">
        <f t="shared" si="136"/>
        <v>0.875</v>
      </c>
      <c r="Y931">
        <v>132.55809009999999</v>
      </c>
      <c r="Z931">
        <v>0</v>
      </c>
      <c r="AA931">
        <v>236250</v>
      </c>
      <c r="AB931">
        <v>76158</v>
      </c>
      <c r="AC931">
        <v>1.7652984E-2</v>
      </c>
      <c r="AD931">
        <v>0.84750225300000004</v>
      </c>
      <c r="AF931">
        <v>11.96357143</v>
      </c>
      <c r="AG931">
        <v>1.2999999999999999E-2</v>
      </c>
      <c r="AH931">
        <v>5.0000000000000001E-3</v>
      </c>
      <c r="AI931">
        <v>0.82499999999999996</v>
      </c>
      <c r="AJ931">
        <v>2.2962500000000001</v>
      </c>
      <c r="AK931">
        <v>6.4078436209999996</v>
      </c>
      <c r="AL931">
        <v>1.9E-2</v>
      </c>
      <c r="AM931">
        <v>6.7000000000000004E-2</v>
      </c>
      <c r="AN931">
        <v>0.875</v>
      </c>
    </row>
    <row r="932" spans="1:40">
      <c r="A932">
        <v>3000</v>
      </c>
      <c r="B932" t="s">
        <v>691</v>
      </c>
      <c r="C932" t="s">
        <v>684</v>
      </c>
      <c r="D932" t="s">
        <v>685</v>
      </c>
      <c r="E932">
        <v>442</v>
      </c>
      <c r="F932">
        <v>1493</v>
      </c>
      <c r="G932">
        <v>214.43514160000001</v>
      </c>
      <c r="H932">
        <v>170</v>
      </c>
      <c r="I932">
        <v>0.335187348</v>
      </c>
      <c r="J932">
        <v>1663</v>
      </c>
      <c r="K932">
        <v>4961.40445</v>
      </c>
      <c r="L932">
        <v>0.83099999999999996</v>
      </c>
      <c r="M932">
        <v>0.27777777799999998</v>
      </c>
      <c r="N932">
        <v>0</v>
      </c>
      <c r="O932" t="s">
        <v>620</v>
      </c>
      <c r="P932">
        <f t="shared" si="128"/>
        <v>13.57477707</v>
      </c>
      <c r="Q932">
        <f t="shared" si="129"/>
        <v>1.2E-2</v>
      </c>
      <c r="R932">
        <f t="shared" si="130"/>
        <v>2.1000000000000001E-2</v>
      </c>
      <c r="S932">
        <f t="shared" si="131"/>
        <v>0.83099999999999996</v>
      </c>
      <c r="T932">
        <f t="shared" si="132"/>
        <v>2.8404545450000001</v>
      </c>
      <c r="U932">
        <f t="shared" si="133"/>
        <v>8.6515357139999995</v>
      </c>
      <c r="V932">
        <f t="shared" si="134"/>
        <v>2.8000000000000001E-2</v>
      </c>
      <c r="W932">
        <f t="shared" si="135"/>
        <v>5.0999999999999997E-2</v>
      </c>
      <c r="X932">
        <f t="shared" si="136"/>
        <v>0.88700000000000001</v>
      </c>
      <c r="Y932">
        <v>39.74442526</v>
      </c>
      <c r="Z932">
        <v>0</v>
      </c>
      <c r="AA932">
        <v>236250</v>
      </c>
      <c r="AB932">
        <v>76158</v>
      </c>
      <c r="AC932">
        <v>1.7652984E-2</v>
      </c>
      <c r="AD932">
        <v>0.84750225300000004</v>
      </c>
      <c r="AF932">
        <v>13.57477707</v>
      </c>
      <c r="AG932">
        <v>1.2E-2</v>
      </c>
      <c r="AH932">
        <v>2.1000000000000001E-2</v>
      </c>
      <c r="AI932">
        <v>0.83099999999999996</v>
      </c>
      <c r="AJ932">
        <v>2.8404545450000001</v>
      </c>
      <c r="AK932">
        <v>8.6515357139999995</v>
      </c>
      <c r="AL932">
        <v>2.8000000000000001E-2</v>
      </c>
      <c r="AM932">
        <v>5.0999999999999997E-2</v>
      </c>
      <c r="AN932">
        <v>0.88700000000000001</v>
      </c>
    </row>
    <row r="933" spans="1:40">
      <c r="A933">
        <v>3001</v>
      </c>
      <c r="B933" t="s">
        <v>706</v>
      </c>
      <c r="C933" t="s">
        <v>684</v>
      </c>
      <c r="D933" t="s">
        <v>685</v>
      </c>
      <c r="E933">
        <v>518</v>
      </c>
      <c r="F933">
        <v>1580</v>
      </c>
      <c r="G933">
        <v>147.3080799</v>
      </c>
      <c r="H933">
        <v>990</v>
      </c>
      <c r="I933">
        <v>0.23025674400000001</v>
      </c>
      <c r="J933">
        <v>2570</v>
      </c>
      <c r="K933">
        <v>11161.45376</v>
      </c>
      <c r="L933">
        <v>0.88400000000000001</v>
      </c>
      <c r="M933">
        <v>0.65649867399999995</v>
      </c>
      <c r="N933">
        <v>0</v>
      </c>
      <c r="O933" t="s">
        <v>620</v>
      </c>
      <c r="P933">
        <f t="shared" si="128"/>
        <v>16.32800847</v>
      </c>
      <c r="Q933">
        <f t="shared" si="129"/>
        <v>8.9999999999999993E-3</v>
      </c>
      <c r="R933">
        <f t="shared" si="130"/>
        <v>1.2E-2</v>
      </c>
      <c r="S933">
        <f t="shared" si="131"/>
        <v>0.88400000000000001</v>
      </c>
      <c r="T933">
        <f t="shared" si="132"/>
        <v>2.903333333</v>
      </c>
      <c r="U933">
        <f t="shared" si="133"/>
        <v>7.3517366839999996</v>
      </c>
      <c r="V933">
        <f t="shared" si="134"/>
        <v>1.6E-2</v>
      </c>
      <c r="W933">
        <f t="shared" si="135"/>
        <v>3.5000000000000003E-2</v>
      </c>
      <c r="X933">
        <f t="shared" si="136"/>
        <v>0.92900000000000005</v>
      </c>
      <c r="Y933">
        <v>85.117828009999997</v>
      </c>
      <c r="Z933">
        <v>0</v>
      </c>
      <c r="AA933">
        <v>47401</v>
      </c>
      <c r="AB933">
        <v>14616</v>
      </c>
      <c r="AC933">
        <v>1.1721782E-2</v>
      </c>
      <c r="AD933">
        <v>0.85588417900000002</v>
      </c>
      <c r="AF933">
        <v>16.32800847</v>
      </c>
      <c r="AG933">
        <v>8.9999999999999993E-3</v>
      </c>
      <c r="AH933">
        <v>1.2E-2</v>
      </c>
      <c r="AI933">
        <v>0.88400000000000001</v>
      </c>
      <c r="AJ933">
        <v>2.903333333</v>
      </c>
      <c r="AK933">
        <v>7.3517366839999996</v>
      </c>
      <c r="AL933">
        <v>1.6E-2</v>
      </c>
      <c r="AM933">
        <v>3.5000000000000003E-2</v>
      </c>
      <c r="AN933">
        <v>0.92900000000000005</v>
      </c>
    </row>
    <row r="934" spans="1:40">
      <c r="A934">
        <v>3002</v>
      </c>
      <c r="B934" t="s">
        <v>686</v>
      </c>
      <c r="C934" t="s">
        <v>687</v>
      </c>
      <c r="D934" t="s">
        <v>688</v>
      </c>
      <c r="E934">
        <v>334</v>
      </c>
      <c r="F934">
        <v>761</v>
      </c>
      <c r="G934">
        <v>52.474709199999999</v>
      </c>
      <c r="H934">
        <v>181</v>
      </c>
      <c r="I934">
        <v>8.2029876000000002E-2</v>
      </c>
      <c r="J934">
        <v>942</v>
      </c>
      <c r="K934">
        <v>11483.620919999999</v>
      </c>
      <c r="L934">
        <v>0.77900000000000003</v>
      </c>
      <c r="M934">
        <v>0.35145631100000002</v>
      </c>
      <c r="N934">
        <v>0</v>
      </c>
      <c r="O934" t="s">
        <v>613</v>
      </c>
      <c r="P934">
        <f t="shared" si="128"/>
        <v>9.8117073169999998</v>
      </c>
      <c r="Q934">
        <f t="shared" si="129"/>
        <v>0.04</v>
      </c>
      <c r="R934">
        <f t="shared" si="130"/>
        <v>1.7999999999999999E-2</v>
      </c>
      <c r="S934">
        <f t="shared" si="131"/>
        <v>0.77900000000000003</v>
      </c>
      <c r="T934">
        <f t="shared" si="132"/>
        <v>2.2891666669999999</v>
      </c>
      <c r="U934">
        <f t="shared" si="133"/>
        <v>6.1953968250000004</v>
      </c>
      <c r="V934">
        <f t="shared" si="134"/>
        <v>5.8999999999999997E-2</v>
      </c>
      <c r="W934">
        <f t="shared" si="135"/>
        <v>9.8000000000000004E-2</v>
      </c>
      <c r="X934">
        <f t="shared" si="136"/>
        <v>0.80400000000000005</v>
      </c>
      <c r="Y934">
        <v>336.19943230000001</v>
      </c>
      <c r="Z934">
        <v>1</v>
      </c>
      <c r="AA934">
        <v>140316</v>
      </c>
      <c r="AB934">
        <v>49638</v>
      </c>
      <c r="AC934">
        <v>9.1283894000000004E-2</v>
      </c>
      <c r="AD934">
        <v>0.60339869999999995</v>
      </c>
      <c r="AF934">
        <v>9.8117073169999998</v>
      </c>
      <c r="AG934">
        <v>0.04</v>
      </c>
      <c r="AH934">
        <v>1.7999999999999999E-2</v>
      </c>
      <c r="AI934">
        <v>0.77900000000000003</v>
      </c>
      <c r="AJ934">
        <v>2.2891666669999999</v>
      </c>
      <c r="AK934">
        <v>6.1953968250000004</v>
      </c>
      <c r="AL934">
        <v>5.8999999999999997E-2</v>
      </c>
      <c r="AM934">
        <v>9.8000000000000004E-2</v>
      </c>
      <c r="AN934">
        <v>0.80400000000000005</v>
      </c>
    </row>
    <row r="935" spans="1:40">
      <c r="A935">
        <v>3003</v>
      </c>
      <c r="B935" t="s">
        <v>686</v>
      </c>
      <c r="C935" t="s">
        <v>687</v>
      </c>
      <c r="D935" t="s">
        <v>688</v>
      </c>
      <c r="E935">
        <v>408</v>
      </c>
      <c r="F935">
        <v>1124</v>
      </c>
      <c r="G935">
        <v>32.825751850000003</v>
      </c>
      <c r="H935">
        <v>239</v>
      </c>
      <c r="I935">
        <v>5.1312225000000003E-2</v>
      </c>
      <c r="J935">
        <v>1363</v>
      </c>
      <c r="K935">
        <v>26562.870739999998</v>
      </c>
      <c r="L935">
        <v>0.73399999999999999</v>
      </c>
      <c r="M935">
        <v>0.36939721800000003</v>
      </c>
      <c r="N935">
        <v>1</v>
      </c>
      <c r="O935" t="s">
        <v>613</v>
      </c>
      <c r="P935">
        <f t="shared" si="128"/>
        <v>9.2030357140000003</v>
      </c>
      <c r="Q935">
        <f t="shared" si="129"/>
        <v>3.9E-2</v>
      </c>
      <c r="R935">
        <f t="shared" si="130"/>
        <v>5.8999999999999997E-2</v>
      </c>
      <c r="S935">
        <f t="shared" si="131"/>
        <v>0.73399999999999999</v>
      </c>
      <c r="T935">
        <f t="shared" si="132"/>
        <v>1.7858208959999999</v>
      </c>
      <c r="U935">
        <f t="shared" si="133"/>
        <v>5.047628993</v>
      </c>
      <c r="V935">
        <f t="shared" si="134"/>
        <v>0.09</v>
      </c>
      <c r="W935">
        <f t="shared" si="135"/>
        <v>0.17399999999999999</v>
      </c>
      <c r="X935">
        <f t="shared" si="136"/>
        <v>0.67100000000000004</v>
      </c>
      <c r="Y935">
        <v>227.04752680000001</v>
      </c>
      <c r="Z935">
        <v>1</v>
      </c>
      <c r="AA935">
        <v>140316</v>
      </c>
      <c r="AB935">
        <v>49638</v>
      </c>
      <c r="AC935">
        <v>9.1283894000000004E-2</v>
      </c>
      <c r="AD935">
        <v>0.60339869999999995</v>
      </c>
      <c r="AF935">
        <v>9.2030357140000003</v>
      </c>
      <c r="AG935">
        <v>3.9E-2</v>
      </c>
      <c r="AH935">
        <v>5.8999999999999997E-2</v>
      </c>
      <c r="AI935">
        <v>0.73399999999999999</v>
      </c>
      <c r="AJ935">
        <v>1.7858208959999999</v>
      </c>
      <c r="AK935">
        <v>5.047628993</v>
      </c>
      <c r="AL935">
        <v>0.09</v>
      </c>
      <c r="AM935">
        <v>0.17399999999999999</v>
      </c>
      <c r="AN935">
        <v>0.67100000000000004</v>
      </c>
    </row>
    <row r="936" spans="1:40">
      <c r="A936">
        <v>3004</v>
      </c>
      <c r="B936" t="s">
        <v>698</v>
      </c>
      <c r="C936" t="s">
        <v>693</v>
      </c>
      <c r="D936" t="s">
        <v>694</v>
      </c>
      <c r="E936">
        <v>437</v>
      </c>
      <c r="F936">
        <v>1044</v>
      </c>
      <c r="G936">
        <v>203.39124140000001</v>
      </c>
      <c r="H936">
        <v>8</v>
      </c>
      <c r="I936">
        <v>0.31792525999999999</v>
      </c>
      <c r="J936">
        <v>1052</v>
      </c>
      <c r="K936">
        <v>3308.9538090000001</v>
      </c>
      <c r="L936">
        <v>0.82599999999999996</v>
      </c>
      <c r="M936">
        <v>1.7977528E-2</v>
      </c>
      <c r="N936">
        <v>0</v>
      </c>
      <c r="O936" t="s">
        <v>620</v>
      </c>
      <c r="P936">
        <f t="shared" si="128"/>
        <v>13.69528302</v>
      </c>
      <c r="Q936">
        <f t="shared" si="129"/>
        <v>5.0000000000000001E-3</v>
      </c>
      <c r="R936">
        <f t="shared" si="130"/>
        <v>2.4E-2</v>
      </c>
      <c r="S936">
        <f t="shared" si="131"/>
        <v>0.82599999999999996</v>
      </c>
      <c r="T936">
        <f t="shared" si="132"/>
        <v>1.4179999999999999</v>
      </c>
      <c r="U936">
        <f t="shared" si="133"/>
        <v>6.3084164219999996</v>
      </c>
      <c r="V936">
        <f t="shared" si="134"/>
        <v>4.0705882352941189E-2</v>
      </c>
      <c r="W936">
        <f t="shared" si="135"/>
        <v>5.2166666666666632E-2</v>
      </c>
      <c r="X936">
        <f t="shared" si="136"/>
        <v>1</v>
      </c>
      <c r="Y936">
        <v>60.623978510000001</v>
      </c>
      <c r="Z936">
        <v>0</v>
      </c>
      <c r="AA936">
        <v>88250</v>
      </c>
      <c r="AB936">
        <v>31723</v>
      </c>
      <c r="AC936">
        <v>1.0795895999999999E-2</v>
      </c>
      <c r="AD936">
        <v>0.817760245</v>
      </c>
      <c r="AF936">
        <v>13.69528302</v>
      </c>
      <c r="AG936">
        <v>5.0000000000000001E-3</v>
      </c>
      <c r="AH936">
        <v>2.4E-2</v>
      </c>
      <c r="AI936">
        <v>0.82599999999999996</v>
      </c>
      <c r="AJ936">
        <v>1.4179999999999999</v>
      </c>
      <c r="AK936">
        <v>6.3084164219999996</v>
      </c>
      <c r="AL936">
        <v>0</v>
      </c>
      <c r="AM936">
        <v>0</v>
      </c>
      <c r="AN936">
        <v>1</v>
      </c>
    </row>
    <row r="937" spans="1:40">
      <c r="A937">
        <v>3005</v>
      </c>
      <c r="B937" t="s">
        <v>691</v>
      </c>
      <c r="C937" t="s">
        <v>684</v>
      </c>
      <c r="D937" t="s">
        <v>685</v>
      </c>
      <c r="E937">
        <v>260</v>
      </c>
      <c r="F937">
        <v>1014</v>
      </c>
      <c r="G937">
        <v>1675.4477489999999</v>
      </c>
      <c r="H937">
        <v>389</v>
      </c>
      <c r="I937" s="515">
        <v>2.6188554879749302</v>
      </c>
      <c r="J937">
        <v>1403</v>
      </c>
      <c r="K937">
        <v>535.73020980000001</v>
      </c>
      <c r="L937">
        <v>0.86899999999999999</v>
      </c>
      <c r="M937">
        <v>0.59938366700000001</v>
      </c>
      <c r="N937">
        <v>0</v>
      </c>
      <c r="O937" t="s">
        <v>625</v>
      </c>
      <c r="P937">
        <f t="shared" si="128"/>
        <v>17.362719999999999</v>
      </c>
      <c r="Q937">
        <f t="shared" si="129"/>
        <v>1.4999999999999999E-2</v>
      </c>
      <c r="R937">
        <f t="shared" si="130"/>
        <v>3.1E-2</v>
      </c>
      <c r="S937">
        <f t="shared" si="131"/>
        <v>0.86899999999999999</v>
      </c>
      <c r="T937">
        <f t="shared" si="132"/>
        <v>2.6949999999999998</v>
      </c>
      <c r="U937">
        <f t="shared" si="133"/>
        <v>10.069390439999999</v>
      </c>
      <c r="V937">
        <f t="shared" si="134"/>
        <v>4.2999999999999997E-2</v>
      </c>
      <c r="W937">
        <f t="shared" si="135"/>
        <v>5.0999999999999997E-2</v>
      </c>
      <c r="X937">
        <f t="shared" si="136"/>
        <v>0.90600000000000003</v>
      </c>
      <c r="Y937">
        <v>16.511259679999998</v>
      </c>
      <c r="Z937">
        <v>0</v>
      </c>
      <c r="AA937">
        <v>236250</v>
      </c>
      <c r="AB937">
        <v>76158</v>
      </c>
      <c r="AC937">
        <v>1.7652984E-2</v>
      </c>
      <c r="AD937">
        <v>0.84750225300000004</v>
      </c>
      <c r="AF937">
        <v>17.362719999999999</v>
      </c>
      <c r="AG937">
        <v>1.4999999999999999E-2</v>
      </c>
      <c r="AH937">
        <v>3.1E-2</v>
      </c>
      <c r="AI937">
        <v>0.86899999999999999</v>
      </c>
      <c r="AJ937">
        <v>2.6949999999999998</v>
      </c>
      <c r="AK937">
        <v>10.069390439999999</v>
      </c>
      <c r="AL937">
        <v>4.2999999999999997E-2</v>
      </c>
      <c r="AM937">
        <v>5.0999999999999997E-2</v>
      </c>
      <c r="AN937">
        <v>0.90600000000000003</v>
      </c>
    </row>
    <row r="938" spans="1:40">
      <c r="A938">
        <v>3006</v>
      </c>
      <c r="B938" t="s">
        <v>705</v>
      </c>
      <c r="C938" t="s">
        <v>696</v>
      </c>
      <c r="D938" t="s">
        <v>697</v>
      </c>
      <c r="E938">
        <v>152</v>
      </c>
      <c r="F938">
        <v>543</v>
      </c>
      <c r="G938">
        <v>37.652806699999999</v>
      </c>
      <c r="H938">
        <v>136</v>
      </c>
      <c r="I938">
        <v>5.8854581000000003E-2</v>
      </c>
      <c r="J938">
        <v>679</v>
      </c>
      <c r="K938">
        <v>11536.90993</v>
      </c>
      <c r="L938">
        <v>0.80400000000000005</v>
      </c>
      <c r="M938">
        <v>0.47222222200000002</v>
      </c>
      <c r="N938">
        <v>1</v>
      </c>
      <c r="O938" t="s">
        <v>620</v>
      </c>
      <c r="P938">
        <f t="shared" si="128"/>
        <v>14.368947370000001</v>
      </c>
      <c r="Q938">
        <f t="shared" si="129"/>
        <v>3.2000000000000001E-2</v>
      </c>
      <c r="R938">
        <f t="shared" si="130"/>
        <v>3.2000000000000001E-2</v>
      </c>
      <c r="S938">
        <f t="shared" si="131"/>
        <v>0.80400000000000005</v>
      </c>
      <c r="T938">
        <f t="shared" si="132"/>
        <v>2.3704999999999998</v>
      </c>
      <c r="U938">
        <f t="shared" si="133"/>
        <v>6.3062757200000004</v>
      </c>
      <c r="V938">
        <f t="shared" si="134"/>
        <v>8.7999999999999995E-2</v>
      </c>
      <c r="W938">
        <f t="shared" si="135"/>
        <v>7.3999999999999996E-2</v>
      </c>
      <c r="X938">
        <f t="shared" si="136"/>
        <v>0.83799999999999997</v>
      </c>
      <c r="Y938">
        <v>193.079262</v>
      </c>
      <c r="Z938">
        <v>0</v>
      </c>
      <c r="AA938">
        <v>152832</v>
      </c>
      <c r="AB938">
        <v>45686</v>
      </c>
      <c r="AC938">
        <v>2.1596295000000001E-2</v>
      </c>
      <c r="AD938">
        <v>0.84212384500000004</v>
      </c>
      <c r="AF938">
        <v>14.368947370000001</v>
      </c>
      <c r="AG938">
        <v>3.2000000000000001E-2</v>
      </c>
      <c r="AH938">
        <v>3.2000000000000001E-2</v>
      </c>
      <c r="AI938">
        <v>0.80400000000000005</v>
      </c>
      <c r="AJ938">
        <v>2.3704999999999998</v>
      </c>
      <c r="AK938">
        <v>6.3062757200000004</v>
      </c>
      <c r="AL938">
        <v>8.7999999999999995E-2</v>
      </c>
      <c r="AM938">
        <v>7.3999999999999996E-2</v>
      </c>
      <c r="AN938">
        <v>0.83799999999999997</v>
      </c>
    </row>
    <row r="939" spans="1:40">
      <c r="A939">
        <v>3007</v>
      </c>
      <c r="B939" t="s">
        <v>692</v>
      </c>
      <c r="C939" t="s">
        <v>693</v>
      </c>
      <c r="D939" t="s">
        <v>694</v>
      </c>
      <c r="E939">
        <v>275</v>
      </c>
      <c r="F939">
        <v>774</v>
      </c>
      <c r="G939">
        <v>57.442295489999999</v>
      </c>
      <c r="H939">
        <v>1</v>
      </c>
      <c r="I939">
        <v>8.9786640000000001E-2</v>
      </c>
      <c r="J939">
        <v>775</v>
      </c>
      <c r="K939">
        <v>8631.5736949999991</v>
      </c>
      <c r="L939">
        <v>0.82199999999999995</v>
      </c>
      <c r="M939">
        <v>3.6231879999999998E-3</v>
      </c>
      <c r="N939">
        <v>0</v>
      </c>
      <c r="O939" t="s">
        <v>620</v>
      </c>
      <c r="P939">
        <f t="shared" si="128"/>
        <v>18.072500000000002</v>
      </c>
      <c r="Q939">
        <f t="shared" si="129"/>
        <v>1.2E-2</v>
      </c>
      <c r="R939">
        <f t="shared" si="130"/>
        <v>0.02</v>
      </c>
      <c r="S939">
        <f t="shared" si="131"/>
        <v>0.82199999999999995</v>
      </c>
      <c r="T939">
        <f t="shared" si="132"/>
        <v>2.851</v>
      </c>
      <c r="U939">
        <f t="shared" si="133"/>
        <v>7.6004810129999996</v>
      </c>
      <c r="V939">
        <f t="shared" si="134"/>
        <v>4.1000000000000002E-2</v>
      </c>
      <c r="W939">
        <f t="shared" si="135"/>
        <v>8.2000000000000003E-2</v>
      </c>
      <c r="X939">
        <f t="shared" si="136"/>
        <v>0.877</v>
      </c>
      <c r="Y939">
        <v>170.5885202</v>
      </c>
      <c r="Z939">
        <v>0</v>
      </c>
      <c r="AA939">
        <v>77808</v>
      </c>
      <c r="AB939">
        <v>27489</v>
      </c>
      <c r="AC939">
        <v>1.1225541E-2</v>
      </c>
      <c r="AD939">
        <v>0.835708267</v>
      </c>
      <c r="AF939">
        <v>18.072500000000002</v>
      </c>
      <c r="AG939">
        <v>1.2E-2</v>
      </c>
      <c r="AH939">
        <v>0.02</v>
      </c>
      <c r="AI939">
        <v>0.82199999999999995</v>
      </c>
      <c r="AJ939">
        <v>2.851</v>
      </c>
      <c r="AK939">
        <v>7.6004810129999996</v>
      </c>
      <c r="AL939">
        <v>4.1000000000000002E-2</v>
      </c>
      <c r="AM939">
        <v>8.2000000000000003E-2</v>
      </c>
      <c r="AN939">
        <v>0.877</v>
      </c>
    </row>
    <row r="940" spans="1:40">
      <c r="A940">
        <v>3008</v>
      </c>
      <c r="B940" t="s">
        <v>706</v>
      </c>
      <c r="C940" t="s">
        <v>684</v>
      </c>
      <c r="D940" t="s">
        <v>685</v>
      </c>
      <c r="E940">
        <v>596</v>
      </c>
      <c r="F940">
        <v>2188</v>
      </c>
      <c r="G940">
        <v>312.42200689999999</v>
      </c>
      <c r="H940">
        <v>327</v>
      </c>
      <c r="I940">
        <v>0.488330916</v>
      </c>
      <c r="J940">
        <v>2515</v>
      </c>
      <c r="K940">
        <v>5150.1961430000001</v>
      </c>
      <c r="L940">
        <v>0.89300000000000002</v>
      </c>
      <c r="M940">
        <v>0.35427952299999999</v>
      </c>
      <c r="N940">
        <v>0</v>
      </c>
      <c r="O940" t="s">
        <v>620</v>
      </c>
      <c r="P940">
        <f t="shared" si="128"/>
        <v>14.48974359</v>
      </c>
      <c r="Q940">
        <f t="shared" si="129"/>
        <v>1.4999999999999999E-2</v>
      </c>
      <c r="R940">
        <f t="shared" si="130"/>
        <v>1.7999999999999999E-2</v>
      </c>
      <c r="S940">
        <f t="shared" si="131"/>
        <v>0.89300000000000002</v>
      </c>
      <c r="T940">
        <f t="shared" si="132"/>
        <v>1.6766666670000001</v>
      </c>
      <c r="U940">
        <f t="shared" si="133"/>
        <v>9.1234886030000002</v>
      </c>
      <c r="V940">
        <f t="shared" si="134"/>
        <v>0.02</v>
      </c>
      <c r="W940">
        <f t="shared" si="135"/>
        <v>4.8000000000000001E-2</v>
      </c>
      <c r="X940">
        <f t="shared" si="136"/>
        <v>0.93200000000000005</v>
      </c>
      <c r="Y940">
        <v>48.32426529</v>
      </c>
      <c r="Z940">
        <v>0</v>
      </c>
      <c r="AA940">
        <v>47401</v>
      </c>
      <c r="AB940">
        <v>14616</v>
      </c>
      <c r="AC940">
        <v>1.1721782E-2</v>
      </c>
      <c r="AD940">
        <v>0.85588417900000002</v>
      </c>
      <c r="AF940">
        <v>14.48974359</v>
      </c>
      <c r="AG940">
        <v>1.4999999999999999E-2</v>
      </c>
      <c r="AH940">
        <v>1.7999999999999999E-2</v>
      </c>
      <c r="AI940">
        <v>0.89300000000000002</v>
      </c>
      <c r="AJ940">
        <v>1.6766666670000001</v>
      </c>
      <c r="AK940">
        <v>9.1234886030000002</v>
      </c>
      <c r="AL940">
        <v>0.02</v>
      </c>
      <c r="AM940">
        <v>4.8000000000000001E-2</v>
      </c>
      <c r="AN940">
        <v>0.93200000000000005</v>
      </c>
    </row>
    <row r="941" spans="1:40">
      <c r="A941">
        <v>3009</v>
      </c>
      <c r="B941" t="s">
        <v>706</v>
      </c>
      <c r="C941" t="s">
        <v>684</v>
      </c>
      <c r="D941" t="s">
        <v>685</v>
      </c>
      <c r="E941">
        <v>1136</v>
      </c>
      <c r="F941">
        <v>2227</v>
      </c>
      <c r="G941">
        <v>244.72538309999999</v>
      </c>
      <c r="H941">
        <v>3920</v>
      </c>
      <c r="I941">
        <v>0.38251853400000002</v>
      </c>
      <c r="J941">
        <v>6147</v>
      </c>
      <c r="K941">
        <v>16069.809569999999</v>
      </c>
      <c r="L941">
        <v>0.85099999999999998</v>
      </c>
      <c r="M941">
        <v>0.77531645599999999</v>
      </c>
      <c r="N941">
        <v>0</v>
      </c>
      <c r="O941" t="s">
        <v>620</v>
      </c>
      <c r="P941">
        <f t="shared" si="128"/>
        <v>13.67071823</v>
      </c>
      <c r="Q941">
        <f t="shared" si="129"/>
        <v>4.0000000000000001E-3</v>
      </c>
      <c r="R941">
        <f t="shared" si="130"/>
        <v>1.2E-2</v>
      </c>
      <c r="S941">
        <f t="shared" si="131"/>
        <v>0.85099999999999998</v>
      </c>
      <c r="T941">
        <f t="shared" si="132"/>
        <v>1.837272727</v>
      </c>
      <c r="U941">
        <f t="shared" si="133"/>
        <v>6.4838989949999997</v>
      </c>
      <c r="V941">
        <f t="shared" si="134"/>
        <v>2.4E-2</v>
      </c>
      <c r="W941">
        <f t="shared" si="135"/>
        <v>2.7E-2</v>
      </c>
      <c r="X941">
        <f t="shared" si="136"/>
        <v>0.92</v>
      </c>
      <c r="Y941">
        <v>152.5040108</v>
      </c>
      <c r="Z941">
        <v>0</v>
      </c>
      <c r="AA941">
        <v>47401</v>
      </c>
      <c r="AB941">
        <v>14616</v>
      </c>
      <c r="AC941">
        <v>1.1721782E-2</v>
      </c>
      <c r="AD941">
        <v>0.85588417900000002</v>
      </c>
      <c r="AF941">
        <v>13.67071823</v>
      </c>
      <c r="AG941">
        <v>4.0000000000000001E-3</v>
      </c>
      <c r="AH941">
        <v>1.2E-2</v>
      </c>
      <c r="AI941">
        <v>0.85099999999999998</v>
      </c>
      <c r="AJ941">
        <v>1.837272727</v>
      </c>
      <c r="AK941">
        <v>6.4838989949999997</v>
      </c>
      <c r="AL941">
        <v>2.4E-2</v>
      </c>
      <c r="AM941">
        <v>2.7E-2</v>
      </c>
      <c r="AN941">
        <v>0.92</v>
      </c>
    </row>
    <row r="942" spans="1:40">
      <c r="A942">
        <v>3010</v>
      </c>
      <c r="B942" t="s">
        <v>706</v>
      </c>
      <c r="C942" t="s">
        <v>684</v>
      </c>
      <c r="D942" t="s">
        <v>685</v>
      </c>
      <c r="E942">
        <v>23</v>
      </c>
      <c r="F942">
        <v>70</v>
      </c>
      <c r="G942">
        <v>262.99369519999999</v>
      </c>
      <c r="H942">
        <v>1532</v>
      </c>
      <c r="I942">
        <v>0.41107789300000003</v>
      </c>
      <c r="J942">
        <v>1602</v>
      </c>
      <c r="K942">
        <v>3897.0716430000002</v>
      </c>
      <c r="L942">
        <v>0.91500000000000004</v>
      </c>
      <c r="M942">
        <v>0.98520900300000003</v>
      </c>
      <c r="N942">
        <v>0</v>
      </c>
      <c r="O942" t="s">
        <v>620</v>
      </c>
      <c r="P942">
        <f t="shared" si="128"/>
        <v>13.93960199</v>
      </c>
      <c r="Q942">
        <f t="shared" si="129"/>
        <v>0.01</v>
      </c>
      <c r="R942">
        <f t="shared" si="130"/>
        <v>7.0000000000000001E-3</v>
      </c>
      <c r="S942">
        <f t="shared" si="131"/>
        <v>0.91500000000000004</v>
      </c>
      <c r="T942">
        <f t="shared" si="132"/>
        <v>3.5175000000000001</v>
      </c>
      <c r="U942">
        <f t="shared" si="133"/>
        <v>7.5645400399999998</v>
      </c>
      <c r="V942">
        <f t="shared" si="134"/>
        <v>2.8000000000000001E-2</v>
      </c>
      <c r="W942">
        <f t="shared" si="135"/>
        <v>4.1000000000000002E-2</v>
      </c>
      <c r="X942">
        <f t="shared" si="136"/>
        <v>0.92200000000000004</v>
      </c>
      <c r="Y942">
        <v>48.597558710000001</v>
      </c>
      <c r="Z942">
        <v>0</v>
      </c>
      <c r="AA942">
        <v>47401</v>
      </c>
      <c r="AB942">
        <v>14616</v>
      </c>
      <c r="AC942">
        <v>1.1721782E-2</v>
      </c>
      <c r="AD942">
        <v>0.85588417900000002</v>
      </c>
      <c r="AF942">
        <v>13.93960199</v>
      </c>
      <c r="AG942">
        <v>0.01</v>
      </c>
      <c r="AH942">
        <v>7.0000000000000001E-3</v>
      </c>
      <c r="AI942">
        <v>0.91500000000000004</v>
      </c>
      <c r="AJ942">
        <v>3.5175000000000001</v>
      </c>
      <c r="AK942">
        <v>7.5645400399999998</v>
      </c>
      <c r="AL942">
        <v>2.8000000000000001E-2</v>
      </c>
      <c r="AM942">
        <v>4.1000000000000002E-2</v>
      </c>
      <c r="AN942">
        <v>0.92200000000000004</v>
      </c>
    </row>
    <row r="943" spans="1:40">
      <c r="A943">
        <v>3011</v>
      </c>
      <c r="B943" t="s">
        <v>706</v>
      </c>
      <c r="C943" t="s">
        <v>684</v>
      </c>
      <c r="D943" t="s">
        <v>685</v>
      </c>
      <c r="E943">
        <v>452</v>
      </c>
      <c r="F943">
        <v>1323</v>
      </c>
      <c r="G943">
        <v>160.12959810000001</v>
      </c>
      <c r="H943">
        <v>585</v>
      </c>
      <c r="I943">
        <v>0.25029538800000001</v>
      </c>
      <c r="J943">
        <v>1908</v>
      </c>
      <c r="K943">
        <v>7622.9930370000002</v>
      </c>
      <c r="L943">
        <v>0.86499999999999999</v>
      </c>
      <c r="M943">
        <v>0.56412728999999995</v>
      </c>
      <c r="N943">
        <v>0</v>
      </c>
      <c r="O943" t="s">
        <v>620</v>
      </c>
      <c r="P943">
        <f t="shared" si="128"/>
        <v>14.69198864</v>
      </c>
      <c r="Q943">
        <f t="shared" si="129"/>
        <v>8.0000000000000002E-3</v>
      </c>
      <c r="R943">
        <f t="shared" si="130"/>
        <v>0.01</v>
      </c>
      <c r="S943">
        <f t="shared" si="131"/>
        <v>0.86499999999999999</v>
      </c>
      <c r="T943">
        <f t="shared" si="132"/>
        <v>2.4506250000000001</v>
      </c>
      <c r="U943">
        <f t="shared" si="133"/>
        <v>6.8370745429999999</v>
      </c>
      <c r="V943">
        <f t="shared" si="134"/>
        <v>4.2999999999999997E-2</v>
      </c>
      <c r="W943">
        <f t="shared" si="135"/>
        <v>2.1000000000000001E-2</v>
      </c>
      <c r="X943">
        <f t="shared" si="136"/>
        <v>0.93600000000000005</v>
      </c>
      <c r="Y943">
        <v>142.94445690000001</v>
      </c>
      <c r="Z943">
        <v>0</v>
      </c>
      <c r="AA943">
        <v>47401</v>
      </c>
      <c r="AB943">
        <v>14616</v>
      </c>
      <c r="AC943">
        <v>1.1721782E-2</v>
      </c>
      <c r="AD943">
        <v>0.85588417900000002</v>
      </c>
      <c r="AF943">
        <v>14.69198864</v>
      </c>
      <c r="AG943">
        <v>8.0000000000000002E-3</v>
      </c>
      <c r="AH943">
        <v>0.01</v>
      </c>
      <c r="AI943">
        <v>0.86499999999999999</v>
      </c>
      <c r="AJ943">
        <v>2.4506250000000001</v>
      </c>
      <c r="AK943">
        <v>6.8370745429999999</v>
      </c>
      <c r="AL943">
        <v>4.2999999999999997E-2</v>
      </c>
      <c r="AM943">
        <v>2.1000000000000001E-2</v>
      </c>
      <c r="AN943">
        <v>0.93600000000000005</v>
      </c>
    </row>
    <row r="944" spans="1:40">
      <c r="A944">
        <v>3012</v>
      </c>
      <c r="B944" t="s">
        <v>692</v>
      </c>
      <c r="C944" t="s">
        <v>693</v>
      </c>
      <c r="D944" t="s">
        <v>694</v>
      </c>
      <c r="E944">
        <v>327</v>
      </c>
      <c r="F944">
        <v>928</v>
      </c>
      <c r="G944">
        <v>160.7179222</v>
      </c>
      <c r="H944">
        <v>992</v>
      </c>
      <c r="I944">
        <v>0.25121386699999998</v>
      </c>
      <c r="J944">
        <v>1920</v>
      </c>
      <c r="K944">
        <v>7642.8901910000004</v>
      </c>
      <c r="L944">
        <v>0.92</v>
      </c>
      <c r="M944">
        <v>0.75208491300000002</v>
      </c>
      <c r="N944">
        <v>0</v>
      </c>
      <c r="O944" t="s">
        <v>620</v>
      </c>
      <c r="P944">
        <f t="shared" si="128"/>
        <v>17.496111110000001</v>
      </c>
      <c r="Q944">
        <f t="shared" si="129"/>
        <v>6.0000000000000001E-3</v>
      </c>
      <c r="R944">
        <f t="shared" si="130"/>
        <v>1.0999999999999999E-2</v>
      </c>
      <c r="S944">
        <f t="shared" si="131"/>
        <v>0.92</v>
      </c>
      <c r="T944">
        <f t="shared" si="132"/>
        <v>3.4834999999999998</v>
      </c>
      <c r="U944">
        <f t="shared" si="133"/>
        <v>9.3018425980000004</v>
      </c>
      <c r="V944">
        <f t="shared" si="134"/>
        <v>3.1E-2</v>
      </c>
      <c r="W944">
        <f t="shared" si="135"/>
        <v>1.4E-2</v>
      </c>
      <c r="X944">
        <f t="shared" si="136"/>
        <v>0.93400000000000005</v>
      </c>
      <c r="Y944">
        <v>131.46619140000001</v>
      </c>
      <c r="Z944">
        <v>0</v>
      </c>
      <c r="AA944">
        <v>77808</v>
      </c>
      <c r="AB944">
        <v>27489</v>
      </c>
      <c r="AC944">
        <v>1.1225541E-2</v>
      </c>
      <c r="AD944">
        <v>0.835708267</v>
      </c>
      <c r="AF944">
        <v>17.496111110000001</v>
      </c>
      <c r="AG944">
        <v>6.0000000000000001E-3</v>
      </c>
      <c r="AH944">
        <v>1.0999999999999999E-2</v>
      </c>
      <c r="AI944">
        <v>0.92</v>
      </c>
      <c r="AJ944">
        <v>3.4834999999999998</v>
      </c>
      <c r="AK944">
        <v>9.3018425980000004</v>
      </c>
      <c r="AL944">
        <v>3.1E-2</v>
      </c>
      <c r="AM944">
        <v>1.4E-2</v>
      </c>
      <c r="AN944">
        <v>0.93400000000000005</v>
      </c>
    </row>
    <row r="945" spans="1:40">
      <c r="A945">
        <v>3013</v>
      </c>
      <c r="B945" t="s">
        <v>692</v>
      </c>
      <c r="C945" t="s">
        <v>693</v>
      </c>
      <c r="D945" t="s">
        <v>694</v>
      </c>
      <c r="E945">
        <v>0</v>
      </c>
      <c r="F945">
        <v>0</v>
      </c>
      <c r="G945">
        <v>147.29993930000001</v>
      </c>
      <c r="H945">
        <v>92</v>
      </c>
      <c r="I945">
        <v>0.23025116900000001</v>
      </c>
      <c r="J945">
        <v>92</v>
      </c>
      <c r="K945">
        <v>399.56366079999998</v>
      </c>
      <c r="L945">
        <v>0.84099999999999997</v>
      </c>
      <c r="M945" s="515">
        <v>1</v>
      </c>
      <c r="N945">
        <v>0</v>
      </c>
      <c r="O945" t="s">
        <v>625</v>
      </c>
      <c r="P945">
        <f t="shared" si="128"/>
        <v>17.877727270000001</v>
      </c>
      <c r="Q945">
        <f t="shared" si="129"/>
        <v>4.4999999999999998E-2</v>
      </c>
      <c r="R945">
        <f t="shared" si="130"/>
        <v>6.8000000000000005E-2</v>
      </c>
      <c r="S945">
        <f t="shared" si="131"/>
        <v>0.84099999999999997</v>
      </c>
      <c r="T945">
        <f t="shared" si="132"/>
        <v>2.145</v>
      </c>
      <c r="U945">
        <f t="shared" si="133"/>
        <v>11.10081081</v>
      </c>
      <c r="V945">
        <f t="shared" si="134"/>
        <v>0.14299999999999999</v>
      </c>
      <c r="W945">
        <f t="shared" si="135"/>
        <v>7.0999999999999994E-2</v>
      </c>
      <c r="X945">
        <f t="shared" si="136"/>
        <v>0.78600000000000003</v>
      </c>
      <c r="Y945">
        <v>112.3448867</v>
      </c>
      <c r="Z945">
        <v>0</v>
      </c>
      <c r="AA945">
        <v>77808</v>
      </c>
      <c r="AB945">
        <v>27489</v>
      </c>
      <c r="AC945">
        <v>1.1225541E-2</v>
      </c>
      <c r="AD945">
        <v>0.835708267</v>
      </c>
      <c r="AF945">
        <v>17.877727270000001</v>
      </c>
      <c r="AG945">
        <v>4.4999999999999998E-2</v>
      </c>
      <c r="AH945">
        <v>6.8000000000000005E-2</v>
      </c>
      <c r="AI945">
        <v>0.84099999999999997</v>
      </c>
      <c r="AJ945">
        <v>2.145</v>
      </c>
      <c r="AK945">
        <v>11.10081081</v>
      </c>
      <c r="AL945">
        <v>0.14299999999999999</v>
      </c>
      <c r="AM945">
        <v>7.0999999999999994E-2</v>
      </c>
      <c r="AN945">
        <v>0.78600000000000003</v>
      </c>
    </row>
    <row r="946" spans="1:40">
      <c r="A946">
        <v>3014</v>
      </c>
      <c r="B946" t="s">
        <v>702</v>
      </c>
      <c r="C946" t="s">
        <v>696</v>
      </c>
      <c r="D946" t="s">
        <v>697</v>
      </c>
      <c r="E946">
        <v>431</v>
      </c>
      <c r="F946">
        <v>1212</v>
      </c>
      <c r="G946">
        <v>83.540618240000001</v>
      </c>
      <c r="H946">
        <v>114</v>
      </c>
      <c r="I946">
        <v>0.130590647</v>
      </c>
      <c r="J946">
        <v>1326</v>
      </c>
      <c r="K946">
        <v>10153.866529999999</v>
      </c>
      <c r="L946">
        <v>0.80700000000000005</v>
      </c>
      <c r="M946">
        <v>0.209174312</v>
      </c>
      <c r="N946">
        <v>0</v>
      </c>
      <c r="O946" t="s">
        <v>620</v>
      </c>
      <c r="P946">
        <f t="shared" si="128"/>
        <v>12.64243697</v>
      </c>
      <c r="Q946">
        <f t="shared" si="129"/>
        <v>3.5999999999999997E-2</v>
      </c>
      <c r="R946">
        <f t="shared" si="130"/>
        <v>2.3E-2</v>
      </c>
      <c r="S946">
        <f t="shared" si="131"/>
        <v>0.80700000000000005</v>
      </c>
      <c r="T946">
        <f t="shared" si="132"/>
        <v>2.8719999999999999</v>
      </c>
      <c r="U946">
        <f t="shared" si="133"/>
        <v>6.4040690690000002</v>
      </c>
      <c r="V946">
        <f t="shared" si="134"/>
        <v>7.9000000000000001E-2</v>
      </c>
      <c r="W946">
        <f t="shared" si="135"/>
        <v>0.11899999999999999</v>
      </c>
      <c r="X946">
        <f t="shared" si="136"/>
        <v>0.78800000000000003</v>
      </c>
      <c r="Y946">
        <v>128.0031803</v>
      </c>
      <c r="Z946">
        <v>0</v>
      </c>
      <c r="AA946">
        <v>90778</v>
      </c>
      <c r="AB946">
        <v>31662</v>
      </c>
      <c r="AC946">
        <v>3.1753482E-2</v>
      </c>
      <c r="AD946">
        <v>0.82960131100000001</v>
      </c>
      <c r="AF946">
        <v>12.64243697</v>
      </c>
      <c r="AG946">
        <v>3.5999999999999997E-2</v>
      </c>
      <c r="AH946">
        <v>2.3E-2</v>
      </c>
      <c r="AI946">
        <v>0.80700000000000005</v>
      </c>
      <c r="AJ946">
        <v>2.8719999999999999</v>
      </c>
      <c r="AK946">
        <v>6.4040690690000002</v>
      </c>
      <c r="AL946">
        <v>7.9000000000000001E-2</v>
      </c>
      <c r="AM946">
        <v>0.11899999999999999</v>
      </c>
      <c r="AN946">
        <v>0.78800000000000003</v>
      </c>
    </row>
    <row r="947" spans="1:40">
      <c r="A947">
        <v>3015</v>
      </c>
      <c r="B947" t="s">
        <v>705</v>
      </c>
      <c r="C947" t="s">
        <v>696</v>
      </c>
      <c r="D947" t="s">
        <v>697</v>
      </c>
      <c r="E947">
        <v>372</v>
      </c>
      <c r="F947">
        <v>1336</v>
      </c>
      <c r="G947">
        <v>62.818860819999998</v>
      </c>
      <c r="H947">
        <v>231</v>
      </c>
      <c r="I947">
        <v>9.8187772000000006E-2</v>
      </c>
      <c r="J947">
        <v>1567</v>
      </c>
      <c r="K947">
        <v>15959.217409999999</v>
      </c>
      <c r="L947">
        <v>0.81399999999999995</v>
      </c>
      <c r="M947">
        <v>0.38308457699999998</v>
      </c>
      <c r="N947">
        <v>1</v>
      </c>
      <c r="O947" t="s">
        <v>613</v>
      </c>
      <c r="P947">
        <f t="shared" si="128"/>
        <v>9.9489814810000006</v>
      </c>
      <c r="Q947">
        <f t="shared" si="129"/>
        <v>3.5999999999999997E-2</v>
      </c>
      <c r="R947">
        <f t="shared" si="130"/>
        <v>1.6E-2</v>
      </c>
      <c r="S947">
        <f t="shared" si="131"/>
        <v>0.81399999999999995</v>
      </c>
      <c r="T947">
        <f t="shared" si="132"/>
        <v>2.3361111110000001</v>
      </c>
      <c r="U947">
        <f t="shared" si="133"/>
        <v>5.4936753100000004</v>
      </c>
      <c r="V947">
        <f t="shared" si="134"/>
        <v>4.3999999999999997E-2</v>
      </c>
      <c r="W947">
        <f t="shared" si="135"/>
        <v>9.6000000000000002E-2</v>
      </c>
      <c r="X947">
        <f t="shared" si="136"/>
        <v>0.8</v>
      </c>
      <c r="Y947">
        <v>205.81484900000001</v>
      </c>
      <c r="Z947">
        <v>0</v>
      </c>
      <c r="AA947">
        <v>152832</v>
      </c>
      <c r="AB947">
        <v>45686</v>
      </c>
      <c r="AC947">
        <v>2.1596295000000001E-2</v>
      </c>
      <c r="AD947">
        <v>0.84212384500000004</v>
      </c>
      <c r="AF947">
        <v>9.9489814810000006</v>
      </c>
      <c r="AG947">
        <v>3.5999999999999997E-2</v>
      </c>
      <c r="AH947">
        <v>1.6E-2</v>
      </c>
      <c r="AI947">
        <v>0.81399999999999995</v>
      </c>
      <c r="AJ947">
        <v>2.3361111110000001</v>
      </c>
      <c r="AK947">
        <v>5.4936753100000004</v>
      </c>
      <c r="AL947">
        <v>4.3999999999999997E-2</v>
      </c>
      <c r="AM947">
        <v>9.6000000000000002E-2</v>
      </c>
      <c r="AN947">
        <v>0.8</v>
      </c>
    </row>
    <row r="948" spans="1:40">
      <c r="A948">
        <v>3016</v>
      </c>
      <c r="B948" t="s">
        <v>705</v>
      </c>
      <c r="C948" t="s">
        <v>696</v>
      </c>
      <c r="D948" t="s">
        <v>697</v>
      </c>
      <c r="E948">
        <v>4</v>
      </c>
      <c r="F948">
        <v>14</v>
      </c>
      <c r="G948">
        <v>40.746204130000002</v>
      </c>
      <c r="H948">
        <v>0</v>
      </c>
      <c r="I948">
        <v>6.3681606000000002E-2</v>
      </c>
      <c r="J948">
        <v>14</v>
      </c>
      <c r="K948">
        <v>219.84370179999999</v>
      </c>
      <c r="L948">
        <v>0.84</v>
      </c>
      <c r="M948">
        <v>0</v>
      </c>
      <c r="N948">
        <v>1</v>
      </c>
      <c r="O948" t="s">
        <v>613</v>
      </c>
      <c r="P948">
        <f t="shared" si="128"/>
        <v>12.968881462528557</v>
      </c>
      <c r="Q948">
        <f t="shared" si="129"/>
        <v>0.02</v>
      </c>
      <c r="R948">
        <f t="shared" si="130"/>
        <v>2.7E-2</v>
      </c>
      <c r="S948">
        <f t="shared" si="131"/>
        <v>0.84</v>
      </c>
      <c r="T948">
        <f t="shared" si="132"/>
        <v>3.4750000000000001</v>
      </c>
      <c r="U948">
        <f t="shared" si="133"/>
        <v>3.855634921</v>
      </c>
      <c r="V948">
        <f t="shared" si="134"/>
        <v>3.8837398373983721E-2</v>
      </c>
      <c r="W948">
        <f t="shared" si="135"/>
        <v>8.6720930232558141E-2</v>
      </c>
      <c r="X948">
        <f t="shared" si="136"/>
        <v>0.85892142857142817</v>
      </c>
      <c r="Y948">
        <v>60.237172940000001</v>
      </c>
      <c r="Z948">
        <v>0</v>
      </c>
      <c r="AA948">
        <v>152832</v>
      </c>
      <c r="AB948">
        <v>45686</v>
      </c>
      <c r="AC948">
        <v>2.1596295000000001E-2</v>
      </c>
      <c r="AD948">
        <v>0.84212384500000004</v>
      </c>
      <c r="AG948">
        <v>0.02</v>
      </c>
      <c r="AH948">
        <v>2.7E-2</v>
      </c>
      <c r="AI948">
        <v>0.84</v>
      </c>
      <c r="AJ948">
        <v>3.4750000000000001</v>
      </c>
      <c r="AK948">
        <v>3.855634921</v>
      </c>
    </row>
    <row r="949" spans="1:40">
      <c r="A949">
        <v>3017</v>
      </c>
      <c r="B949" t="s">
        <v>705</v>
      </c>
      <c r="C949" t="s">
        <v>696</v>
      </c>
      <c r="D949" t="s">
        <v>697</v>
      </c>
      <c r="E949">
        <v>252</v>
      </c>
      <c r="F949">
        <v>906</v>
      </c>
      <c r="G949">
        <v>64.514143340000004</v>
      </c>
      <c r="H949">
        <v>110</v>
      </c>
      <c r="I949">
        <v>0.100835774</v>
      </c>
      <c r="J949">
        <v>1016</v>
      </c>
      <c r="K949">
        <v>10075.78917</v>
      </c>
      <c r="L949">
        <v>0.82799999999999996</v>
      </c>
      <c r="M949">
        <v>0.30386740299999998</v>
      </c>
      <c r="N949">
        <v>0</v>
      </c>
      <c r="O949" t="s">
        <v>620</v>
      </c>
      <c r="P949">
        <f t="shared" si="128"/>
        <v>10.223563220000001</v>
      </c>
      <c r="Q949">
        <f t="shared" si="129"/>
        <v>3.2000000000000001E-2</v>
      </c>
      <c r="R949">
        <f t="shared" si="130"/>
        <v>2.1000000000000001E-2</v>
      </c>
      <c r="S949">
        <f t="shared" si="131"/>
        <v>0.82799999999999996</v>
      </c>
      <c r="T949">
        <f t="shared" si="132"/>
        <v>2.131875</v>
      </c>
      <c r="U949">
        <f t="shared" si="133"/>
        <v>5.5733333329999999</v>
      </c>
      <c r="V949">
        <f t="shared" si="134"/>
        <v>0.02</v>
      </c>
      <c r="W949">
        <f t="shared" si="135"/>
        <v>9.9000000000000005E-2</v>
      </c>
      <c r="X949">
        <f t="shared" si="136"/>
        <v>0.86099999999999999</v>
      </c>
      <c r="Y949">
        <v>235.82141039999999</v>
      </c>
      <c r="Z949">
        <v>0</v>
      </c>
      <c r="AA949">
        <v>152832</v>
      </c>
      <c r="AB949">
        <v>45686</v>
      </c>
      <c r="AC949">
        <v>2.1596295000000001E-2</v>
      </c>
      <c r="AD949">
        <v>0.84212384500000004</v>
      </c>
      <c r="AF949">
        <v>10.223563220000001</v>
      </c>
      <c r="AG949">
        <v>3.2000000000000001E-2</v>
      </c>
      <c r="AH949">
        <v>2.1000000000000001E-2</v>
      </c>
      <c r="AI949">
        <v>0.82799999999999996</v>
      </c>
      <c r="AJ949">
        <v>2.131875</v>
      </c>
      <c r="AK949">
        <v>5.5733333329999999</v>
      </c>
      <c r="AL949">
        <v>0.02</v>
      </c>
      <c r="AM949">
        <v>9.9000000000000005E-2</v>
      </c>
      <c r="AN949">
        <v>0.86099999999999999</v>
      </c>
    </row>
    <row r="950" spans="1:40">
      <c r="A950">
        <v>3018</v>
      </c>
      <c r="B950" t="s">
        <v>686</v>
      </c>
      <c r="C950" t="s">
        <v>687</v>
      </c>
      <c r="D950" t="s">
        <v>688</v>
      </c>
      <c r="E950">
        <v>373</v>
      </c>
      <c r="F950">
        <v>862</v>
      </c>
      <c r="G950">
        <v>57.56508067</v>
      </c>
      <c r="H950">
        <v>39</v>
      </c>
      <c r="I950">
        <v>8.9984649999999999E-2</v>
      </c>
      <c r="J950">
        <v>901</v>
      </c>
      <c r="K950">
        <v>10012.81885</v>
      </c>
      <c r="L950">
        <v>0.69899999999999995</v>
      </c>
      <c r="M950">
        <v>9.4660194000000003E-2</v>
      </c>
      <c r="N950">
        <v>0</v>
      </c>
      <c r="O950" t="s">
        <v>613</v>
      </c>
      <c r="P950">
        <f t="shared" si="128"/>
        <v>8.8612500000000001</v>
      </c>
      <c r="Q950">
        <f t="shared" si="129"/>
        <v>5.3999999999999999E-2</v>
      </c>
      <c r="R950">
        <f t="shared" si="130"/>
        <v>3.9E-2</v>
      </c>
      <c r="S950">
        <f t="shared" si="131"/>
        <v>0.69899999999999995</v>
      </c>
      <c r="T950">
        <f t="shared" si="132"/>
        <v>1.753571429</v>
      </c>
      <c r="U950">
        <f t="shared" si="133"/>
        <v>5.3186666669999996</v>
      </c>
      <c r="V950">
        <f t="shared" si="134"/>
        <v>0.08</v>
      </c>
      <c r="W950">
        <f t="shared" si="135"/>
        <v>0.20499999999999999</v>
      </c>
      <c r="X950">
        <f t="shared" si="136"/>
        <v>0.71399999999999997</v>
      </c>
      <c r="Y950">
        <v>138.94284529999999</v>
      </c>
      <c r="Z950">
        <v>1</v>
      </c>
      <c r="AA950">
        <v>140316</v>
      </c>
      <c r="AB950">
        <v>49638</v>
      </c>
      <c r="AC950">
        <v>9.1283894000000004E-2</v>
      </c>
      <c r="AD950">
        <v>0.60339869999999995</v>
      </c>
      <c r="AF950">
        <v>8.8612500000000001</v>
      </c>
      <c r="AG950">
        <v>5.3999999999999999E-2</v>
      </c>
      <c r="AH950">
        <v>3.9E-2</v>
      </c>
      <c r="AI950">
        <v>0.69899999999999995</v>
      </c>
      <c r="AJ950">
        <v>1.753571429</v>
      </c>
      <c r="AK950">
        <v>5.3186666669999996</v>
      </c>
      <c r="AL950">
        <v>0.08</v>
      </c>
      <c r="AM950">
        <v>0.20499999999999999</v>
      </c>
      <c r="AN950">
        <v>0.71399999999999997</v>
      </c>
    </row>
    <row r="951" spans="1:40">
      <c r="A951">
        <v>3019</v>
      </c>
      <c r="B951" t="s">
        <v>706</v>
      </c>
      <c r="C951" t="s">
        <v>684</v>
      </c>
      <c r="D951" t="s">
        <v>685</v>
      </c>
      <c r="E951">
        <v>2</v>
      </c>
      <c r="F951">
        <v>5</v>
      </c>
      <c r="G951">
        <v>2978.372848</v>
      </c>
      <c r="H951">
        <v>14</v>
      </c>
      <c r="I951" s="515">
        <v>4.6553913721170899</v>
      </c>
      <c r="J951">
        <v>19</v>
      </c>
      <c r="K951">
        <v>4.081289516</v>
      </c>
      <c r="L951" s="515">
        <v>1</v>
      </c>
      <c r="M951">
        <v>0.875</v>
      </c>
      <c r="N951">
        <v>0</v>
      </c>
      <c r="O951" t="s">
        <v>625</v>
      </c>
      <c r="P951">
        <f t="shared" si="128"/>
        <v>20.9</v>
      </c>
      <c r="Q951">
        <f t="shared" si="129"/>
        <v>1.4851851851851857E-2</v>
      </c>
      <c r="R951">
        <f t="shared" si="130"/>
        <v>1.312903225806452E-2</v>
      </c>
      <c r="S951">
        <f t="shared" si="131"/>
        <v>1</v>
      </c>
      <c r="T951">
        <f t="shared" si="132"/>
        <v>2.4802190958064512</v>
      </c>
      <c r="U951">
        <f t="shared" si="133"/>
        <v>9.3337500000000002</v>
      </c>
      <c r="V951">
        <f t="shared" si="134"/>
        <v>2.642857142857144E-2</v>
      </c>
      <c r="W951">
        <f t="shared" si="135"/>
        <v>4.6111111111111124E-2</v>
      </c>
      <c r="X951">
        <f t="shared" si="136"/>
        <v>1</v>
      </c>
      <c r="Y951">
        <v>6.8300334080000003</v>
      </c>
      <c r="Z951">
        <v>0</v>
      </c>
      <c r="AA951">
        <v>47401</v>
      </c>
      <c r="AB951">
        <v>14616</v>
      </c>
      <c r="AC951">
        <v>1.1721782E-2</v>
      </c>
      <c r="AD951">
        <v>0.85588417900000002</v>
      </c>
      <c r="AF951">
        <v>20.9</v>
      </c>
      <c r="AG951">
        <v>0</v>
      </c>
      <c r="AH951">
        <v>0</v>
      </c>
      <c r="AI951">
        <v>1</v>
      </c>
      <c r="AK951">
        <v>9.3337500000000002</v>
      </c>
      <c r="AL951">
        <v>0</v>
      </c>
      <c r="AM951">
        <v>0</v>
      </c>
      <c r="AN951">
        <v>1</v>
      </c>
    </row>
    <row r="952" spans="1:40">
      <c r="A952">
        <v>3020</v>
      </c>
      <c r="B952" t="s">
        <v>709</v>
      </c>
      <c r="C952" t="s">
        <v>693</v>
      </c>
      <c r="D952" t="s">
        <v>694</v>
      </c>
      <c r="E952">
        <v>0</v>
      </c>
      <c r="F952">
        <v>2015</v>
      </c>
      <c r="G952">
        <v>231.30605629999999</v>
      </c>
      <c r="H952">
        <v>500</v>
      </c>
      <c r="I952">
        <v>0.36155731899999999</v>
      </c>
      <c r="J952">
        <v>2515</v>
      </c>
      <c r="K952">
        <v>6956.02016</v>
      </c>
      <c r="L952">
        <v>0.94199999999999995</v>
      </c>
      <c r="M952" s="515">
        <v>1</v>
      </c>
      <c r="N952">
        <v>0</v>
      </c>
      <c r="O952" t="s">
        <v>620</v>
      </c>
      <c r="P952">
        <f t="shared" si="128"/>
        <v>22.740446429999999</v>
      </c>
      <c r="Q952">
        <f t="shared" si="129"/>
        <v>1.7000000000000001E-2</v>
      </c>
      <c r="R952">
        <f t="shared" si="130"/>
        <v>1.7000000000000001E-2</v>
      </c>
      <c r="S952">
        <f t="shared" si="131"/>
        <v>0.94199999999999995</v>
      </c>
      <c r="T952">
        <f t="shared" si="132"/>
        <v>3.0066666670000002</v>
      </c>
      <c r="U952">
        <f t="shared" si="133"/>
        <v>14.98363924</v>
      </c>
      <c r="V952">
        <f t="shared" si="134"/>
        <v>3.3000000000000002E-2</v>
      </c>
      <c r="W952">
        <f t="shared" si="135"/>
        <v>4.1000000000000002E-2</v>
      </c>
      <c r="X952">
        <f t="shared" si="136"/>
        <v>0.92600000000000005</v>
      </c>
      <c r="Y952">
        <v>2.557374415</v>
      </c>
      <c r="Z952">
        <v>0</v>
      </c>
      <c r="AA952">
        <v>56865</v>
      </c>
      <c r="AB952">
        <v>22398</v>
      </c>
      <c r="AC952">
        <v>1.1143686E-2</v>
      </c>
      <c r="AD952">
        <v>0.81944707100000003</v>
      </c>
      <c r="AF952">
        <v>22.740446429999999</v>
      </c>
      <c r="AG952">
        <v>1.7000000000000001E-2</v>
      </c>
      <c r="AH952">
        <v>1.7000000000000001E-2</v>
      </c>
      <c r="AI952">
        <v>0.94199999999999995</v>
      </c>
      <c r="AJ952">
        <v>3.0066666670000002</v>
      </c>
      <c r="AK952">
        <v>14.98363924</v>
      </c>
      <c r="AL952">
        <v>3.3000000000000002E-2</v>
      </c>
      <c r="AM952">
        <v>4.1000000000000002E-2</v>
      </c>
      <c r="AN952">
        <v>0.92600000000000005</v>
      </c>
    </row>
    <row r="953" spans="1:40">
      <c r="A953">
        <v>3021</v>
      </c>
      <c r="B953" t="s">
        <v>709</v>
      </c>
      <c r="C953" t="s">
        <v>693</v>
      </c>
      <c r="D953" t="s">
        <v>694</v>
      </c>
      <c r="E953">
        <v>160</v>
      </c>
      <c r="F953">
        <v>670</v>
      </c>
      <c r="G953">
        <v>109.57694189999999</v>
      </c>
      <c r="H953">
        <v>51</v>
      </c>
      <c r="I953">
        <v>0.17127840599999999</v>
      </c>
      <c r="J953">
        <v>721</v>
      </c>
      <c r="K953">
        <v>4209.5207259999997</v>
      </c>
      <c r="L953">
        <v>0.77500000000000002</v>
      </c>
      <c r="M953">
        <v>0.241706161</v>
      </c>
      <c r="N953">
        <v>0</v>
      </c>
      <c r="O953" t="s">
        <v>620</v>
      </c>
      <c r="P953">
        <f t="shared" si="128"/>
        <v>18.515000000000001</v>
      </c>
      <c r="Q953">
        <f t="shared" si="129"/>
        <v>1.5184210526315797E-2</v>
      </c>
      <c r="R953">
        <f t="shared" si="130"/>
        <v>2.5000000000000001E-2</v>
      </c>
      <c r="S953">
        <f t="shared" si="131"/>
        <v>0.77500000000000002</v>
      </c>
      <c r="T953">
        <f t="shared" si="132"/>
        <v>2.09</v>
      </c>
      <c r="U953">
        <f t="shared" si="133"/>
        <v>8.3597777779999998</v>
      </c>
      <c r="V953">
        <f t="shared" si="134"/>
        <v>4.6644067796610157E-2</v>
      </c>
      <c r="W953">
        <f t="shared" si="135"/>
        <v>5.1076923076923055E-2</v>
      </c>
      <c r="X953">
        <f t="shared" si="136"/>
        <v>1</v>
      </c>
      <c r="Y953">
        <v>189.56827129999999</v>
      </c>
      <c r="Z953">
        <v>0</v>
      </c>
      <c r="AA953">
        <v>56865</v>
      </c>
      <c r="AB953">
        <v>22398</v>
      </c>
      <c r="AC953">
        <v>1.1143686E-2</v>
      </c>
      <c r="AD953">
        <v>0.81944707100000003</v>
      </c>
      <c r="AF953">
        <v>18.515000000000001</v>
      </c>
      <c r="AG953">
        <v>0</v>
      </c>
      <c r="AH953">
        <v>2.5000000000000001E-2</v>
      </c>
      <c r="AI953">
        <v>0.77500000000000002</v>
      </c>
      <c r="AJ953">
        <v>2.09</v>
      </c>
      <c r="AK953">
        <v>8.3597777779999998</v>
      </c>
      <c r="AL953">
        <v>0</v>
      </c>
      <c r="AM953">
        <v>0</v>
      </c>
      <c r="AN953">
        <v>1</v>
      </c>
    </row>
    <row r="954" spans="1:40">
      <c r="A954">
        <v>3022</v>
      </c>
      <c r="B954" t="s">
        <v>709</v>
      </c>
      <c r="C954" t="s">
        <v>693</v>
      </c>
      <c r="D954" t="s">
        <v>694</v>
      </c>
      <c r="E954">
        <v>727</v>
      </c>
      <c r="F954">
        <v>1644</v>
      </c>
      <c r="G954">
        <v>174.25774530000001</v>
      </c>
      <c r="H954">
        <v>0</v>
      </c>
      <c r="I954">
        <v>0.27237529599999999</v>
      </c>
      <c r="J954">
        <v>1644</v>
      </c>
      <c r="K954">
        <v>6035.7896769999998</v>
      </c>
      <c r="L954">
        <v>0.81899999999999995</v>
      </c>
      <c r="M954">
        <v>0</v>
      </c>
      <c r="N954">
        <v>0</v>
      </c>
      <c r="O954" t="s">
        <v>625</v>
      </c>
      <c r="P954">
        <f t="shared" si="128"/>
        <v>11.00625954</v>
      </c>
      <c r="Q954">
        <f t="shared" si="129"/>
        <v>7.0000000000000001E-3</v>
      </c>
      <c r="R954">
        <f t="shared" si="130"/>
        <v>2.9000000000000001E-2</v>
      </c>
      <c r="S954">
        <f t="shared" si="131"/>
        <v>0.81899999999999995</v>
      </c>
      <c r="T954">
        <f t="shared" si="132"/>
        <v>2.5562499999999999</v>
      </c>
      <c r="U954">
        <f t="shared" si="133"/>
        <v>6.5107020699999998</v>
      </c>
      <c r="V954">
        <f t="shared" si="134"/>
        <v>3.4000000000000002E-2</v>
      </c>
      <c r="W954">
        <f t="shared" si="135"/>
        <v>5.3999999999999999E-2</v>
      </c>
      <c r="X954">
        <f t="shared" si="136"/>
        <v>0.879</v>
      </c>
      <c r="Y954">
        <v>79.806987250000006</v>
      </c>
      <c r="Z954">
        <v>0</v>
      </c>
      <c r="AA954">
        <v>56865</v>
      </c>
      <c r="AB954">
        <v>22398</v>
      </c>
      <c r="AC954">
        <v>1.1143686E-2</v>
      </c>
      <c r="AD954">
        <v>0.81944707100000003</v>
      </c>
      <c r="AF954">
        <v>11.00625954</v>
      </c>
      <c r="AG954">
        <v>7.0000000000000001E-3</v>
      </c>
      <c r="AH954">
        <v>2.9000000000000001E-2</v>
      </c>
      <c r="AI954">
        <v>0.81899999999999995</v>
      </c>
      <c r="AJ954">
        <v>2.5562499999999999</v>
      </c>
      <c r="AK954">
        <v>6.5107020699999998</v>
      </c>
      <c r="AL954">
        <v>3.4000000000000002E-2</v>
      </c>
      <c r="AM954">
        <v>5.3999999999999999E-2</v>
      </c>
      <c r="AN954">
        <v>0.879</v>
      </c>
    </row>
    <row r="955" spans="1:40">
      <c r="A955">
        <v>3023</v>
      </c>
      <c r="B955" t="s">
        <v>709</v>
      </c>
      <c r="C955" t="s">
        <v>693</v>
      </c>
      <c r="D955" t="s">
        <v>694</v>
      </c>
      <c r="E955">
        <v>746</v>
      </c>
      <c r="F955">
        <v>1004</v>
      </c>
      <c r="G955">
        <v>72.503097960000005</v>
      </c>
      <c r="H955">
        <v>9</v>
      </c>
      <c r="I955">
        <v>0.11333333900000001</v>
      </c>
      <c r="J955">
        <v>1013</v>
      </c>
      <c r="K955">
        <v>8938.2348469999997</v>
      </c>
      <c r="L955">
        <v>0.80200000000000005</v>
      </c>
      <c r="M955">
        <v>1.192053E-2</v>
      </c>
      <c r="N955">
        <v>0</v>
      </c>
      <c r="O955" t="s">
        <v>620</v>
      </c>
      <c r="P955">
        <f t="shared" si="128"/>
        <v>10.18525</v>
      </c>
      <c r="Q955">
        <f t="shared" si="129"/>
        <v>7.0000000000000001E-3</v>
      </c>
      <c r="R955">
        <f t="shared" si="130"/>
        <v>3.3000000000000002E-2</v>
      </c>
      <c r="S955">
        <f t="shared" si="131"/>
        <v>0.80200000000000005</v>
      </c>
      <c r="T955">
        <f t="shared" si="132"/>
        <v>2.6058333330000001</v>
      </c>
      <c r="U955">
        <f t="shared" si="133"/>
        <v>5.8759050970000004</v>
      </c>
      <c r="V955">
        <f t="shared" si="134"/>
        <v>4.3999999999999997E-2</v>
      </c>
      <c r="W955">
        <f t="shared" si="135"/>
        <v>2.1999999999999999E-2</v>
      </c>
      <c r="X955">
        <f t="shared" si="136"/>
        <v>0.88900000000000001</v>
      </c>
      <c r="Y955">
        <v>203.69580930000001</v>
      </c>
      <c r="Z955">
        <v>0</v>
      </c>
      <c r="AA955">
        <v>56865</v>
      </c>
      <c r="AB955">
        <v>22398</v>
      </c>
      <c r="AC955">
        <v>1.1143686E-2</v>
      </c>
      <c r="AD955">
        <v>0.81944707100000003</v>
      </c>
      <c r="AF955">
        <v>10.18525</v>
      </c>
      <c r="AG955">
        <v>7.0000000000000001E-3</v>
      </c>
      <c r="AH955">
        <v>3.3000000000000002E-2</v>
      </c>
      <c r="AI955">
        <v>0.80200000000000005</v>
      </c>
      <c r="AJ955">
        <v>2.6058333330000001</v>
      </c>
      <c r="AK955">
        <v>5.8759050970000004</v>
      </c>
      <c r="AL955">
        <v>4.3999999999999997E-2</v>
      </c>
      <c r="AM955">
        <v>2.1999999999999999E-2</v>
      </c>
      <c r="AN955">
        <v>0.88900000000000001</v>
      </c>
    </row>
    <row r="956" spans="1:40">
      <c r="A956">
        <v>3024</v>
      </c>
      <c r="B956" t="s">
        <v>709</v>
      </c>
      <c r="C956" t="s">
        <v>693</v>
      </c>
      <c r="D956" t="s">
        <v>694</v>
      </c>
      <c r="E956">
        <v>133</v>
      </c>
      <c r="F956">
        <v>511</v>
      </c>
      <c r="G956">
        <v>35.888949420000003</v>
      </c>
      <c r="H956">
        <v>52</v>
      </c>
      <c r="I956">
        <v>5.6095973E-2</v>
      </c>
      <c r="J956">
        <v>563</v>
      </c>
      <c r="K956">
        <v>10036.371059999999</v>
      </c>
      <c r="L956">
        <v>0.73099999999999998</v>
      </c>
      <c r="M956">
        <v>0.28108108100000001</v>
      </c>
      <c r="N956">
        <v>0</v>
      </c>
      <c r="O956" t="s">
        <v>620</v>
      </c>
      <c r="P956">
        <f t="shared" si="128"/>
        <v>13.44315789</v>
      </c>
      <c r="Q956">
        <f t="shared" si="129"/>
        <v>5.0000000000000001E-3</v>
      </c>
      <c r="R956">
        <f t="shared" si="130"/>
        <v>3.3000000000000002E-2</v>
      </c>
      <c r="S956">
        <f t="shared" si="131"/>
        <v>0.73099999999999998</v>
      </c>
      <c r="T956">
        <f t="shared" si="132"/>
        <v>2.831428571</v>
      </c>
      <c r="U956">
        <f t="shared" si="133"/>
        <v>8.1764026399999992</v>
      </c>
      <c r="V956">
        <f t="shared" si="134"/>
        <v>6.3E-2</v>
      </c>
      <c r="W956">
        <f t="shared" si="135"/>
        <v>3.2000000000000001E-2</v>
      </c>
      <c r="X956">
        <f t="shared" si="136"/>
        <v>0.90500000000000003</v>
      </c>
      <c r="Y956">
        <v>192.08038719999999</v>
      </c>
      <c r="Z956">
        <v>0</v>
      </c>
      <c r="AA956">
        <v>56865</v>
      </c>
      <c r="AB956">
        <v>22398</v>
      </c>
      <c r="AC956">
        <v>1.1143686E-2</v>
      </c>
      <c r="AD956">
        <v>0.81944707100000003</v>
      </c>
      <c r="AF956">
        <v>13.44315789</v>
      </c>
      <c r="AG956">
        <v>5.0000000000000001E-3</v>
      </c>
      <c r="AH956">
        <v>3.3000000000000002E-2</v>
      </c>
      <c r="AI956">
        <v>0.73099999999999998</v>
      </c>
      <c r="AJ956">
        <v>2.831428571</v>
      </c>
      <c r="AK956">
        <v>8.1764026399999992</v>
      </c>
      <c r="AL956">
        <v>6.3E-2</v>
      </c>
      <c r="AM956">
        <v>3.2000000000000001E-2</v>
      </c>
      <c r="AN956">
        <v>0.90500000000000003</v>
      </c>
    </row>
    <row r="957" spans="1:40">
      <c r="A957">
        <v>3025</v>
      </c>
      <c r="B957" t="s">
        <v>692</v>
      </c>
      <c r="C957" t="s">
        <v>693</v>
      </c>
      <c r="D957" t="s">
        <v>694</v>
      </c>
      <c r="E957">
        <v>150</v>
      </c>
      <c r="F957">
        <v>401</v>
      </c>
      <c r="G957">
        <v>100.8462358</v>
      </c>
      <c r="H957">
        <v>472</v>
      </c>
      <c r="I957">
        <v>0.15763387300000001</v>
      </c>
      <c r="J957">
        <v>873</v>
      </c>
      <c r="K957">
        <v>5538.1497859999999</v>
      </c>
      <c r="L957">
        <v>0.78600000000000003</v>
      </c>
      <c r="M957">
        <v>0.758842444</v>
      </c>
      <c r="N957">
        <v>0</v>
      </c>
      <c r="O957" t="s">
        <v>620</v>
      </c>
      <c r="P957">
        <f t="shared" si="128"/>
        <v>15.295545450000001</v>
      </c>
      <c r="Q957">
        <f t="shared" si="129"/>
        <v>1.2999999999999999E-2</v>
      </c>
      <c r="R957">
        <f t="shared" si="130"/>
        <v>0.02</v>
      </c>
      <c r="S957">
        <f t="shared" si="131"/>
        <v>0.78600000000000003</v>
      </c>
      <c r="T957">
        <f t="shared" si="132"/>
        <v>2.0274999999999999</v>
      </c>
      <c r="U957">
        <f t="shared" si="133"/>
        <v>10.0866302</v>
      </c>
      <c r="V957">
        <f t="shared" si="134"/>
        <v>3.7999999999999999E-2</v>
      </c>
      <c r="W957">
        <f t="shared" si="135"/>
        <v>4.5999999999999999E-2</v>
      </c>
      <c r="X957">
        <f t="shared" si="136"/>
        <v>0.84599999999999997</v>
      </c>
      <c r="Y957">
        <v>97.474759570000003</v>
      </c>
      <c r="Z957">
        <v>0</v>
      </c>
      <c r="AA957">
        <v>77808</v>
      </c>
      <c r="AB957">
        <v>27489</v>
      </c>
      <c r="AC957">
        <v>1.1225541E-2</v>
      </c>
      <c r="AD957">
        <v>0.835708267</v>
      </c>
      <c r="AF957">
        <v>15.295545450000001</v>
      </c>
      <c r="AG957">
        <v>1.2999999999999999E-2</v>
      </c>
      <c r="AH957">
        <v>0.02</v>
      </c>
      <c r="AI957">
        <v>0.78600000000000003</v>
      </c>
      <c r="AJ957">
        <v>2.0274999999999999</v>
      </c>
      <c r="AK957">
        <v>10.0866302</v>
      </c>
      <c r="AL957">
        <v>3.7999999999999999E-2</v>
      </c>
      <c r="AM957">
        <v>4.5999999999999999E-2</v>
      </c>
      <c r="AN957">
        <v>0.84599999999999997</v>
      </c>
    </row>
    <row r="958" spans="1:40">
      <c r="A958">
        <v>3026</v>
      </c>
      <c r="B958" t="s">
        <v>692</v>
      </c>
      <c r="C958" t="s">
        <v>693</v>
      </c>
      <c r="D958" t="s">
        <v>694</v>
      </c>
      <c r="E958">
        <v>163</v>
      </c>
      <c r="F958">
        <v>288</v>
      </c>
      <c r="G958">
        <v>151.4982407</v>
      </c>
      <c r="H958">
        <v>2169</v>
      </c>
      <c r="I958">
        <v>0.23680301200000001</v>
      </c>
      <c r="J958">
        <v>2457</v>
      </c>
      <c r="K958">
        <v>10375.71262</v>
      </c>
      <c r="L958">
        <v>0.90700000000000003</v>
      </c>
      <c r="M958">
        <v>0.93010291599999995</v>
      </c>
      <c r="N958">
        <v>0</v>
      </c>
      <c r="O958" t="s">
        <v>620</v>
      </c>
      <c r="P958">
        <f t="shared" si="128"/>
        <v>16.82460751</v>
      </c>
      <c r="Q958">
        <f t="shared" si="129"/>
        <v>1E-3</v>
      </c>
      <c r="R958">
        <f t="shared" si="130"/>
        <v>1.0999999999999999E-2</v>
      </c>
      <c r="S958">
        <f t="shared" si="131"/>
        <v>0.90700000000000003</v>
      </c>
      <c r="T958">
        <f t="shared" si="132"/>
        <v>2.5195454549999998</v>
      </c>
      <c r="U958">
        <f t="shared" si="133"/>
        <v>9.2445104899999997</v>
      </c>
      <c r="V958">
        <f t="shared" si="134"/>
        <v>3.5000000000000003E-2</v>
      </c>
      <c r="W958">
        <f t="shared" si="135"/>
        <v>4.7929411764705873E-2</v>
      </c>
      <c r="X958">
        <f t="shared" si="136"/>
        <v>0.93300000000000005</v>
      </c>
      <c r="Y958">
        <v>117.27694510000001</v>
      </c>
      <c r="Z958">
        <v>0</v>
      </c>
      <c r="AA958">
        <v>77808</v>
      </c>
      <c r="AB958">
        <v>27489</v>
      </c>
      <c r="AC958">
        <v>1.1225541E-2</v>
      </c>
      <c r="AD958">
        <v>0.835708267</v>
      </c>
      <c r="AF958">
        <v>16.82460751</v>
      </c>
      <c r="AG958">
        <v>1E-3</v>
      </c>
      <c r="AH958">
        <v>1.0999999999999999E-2</v>
      </c>
      <c r="AI958">
        <v>0.90700000000000003</v>
      </c>
      <c r="AJ958">
        <v>2.5195454549999998</v>
      </c>
      <c r="AK958">
        <v>9.2445104899999997</v>
      </c>
      <c r="AL958">
        <v>3.5000000000000003E-2</v>
      </c>
      <c r="AM958">
        <v>0</v>
      </c>
      <c r="AN958">
        <v>0.93300000000000005</v>
      </c>
    </row>
    <row r="959" spans="1:40">
      <c r="A959">
        <v>3027</v>
      </c>
      <c r="B959" t="s">
        <v>692</v>
      </c>
      <c r="C959" t="s">
        <v>693</v>
      </c>
      <c r="D959" t="s">
        <v>694</v>
      </c>
      <c r="E959">
        <v>166</v>
      </c>
      <c r="F959">
        <v>489</v>
      </c>
      <c r="G959">
        <v>42.21813547</v>
      </c>
      <c r="H959">
        <v>124</v>
      </c>
      <c r="I959">
        <v>6.5990390999999995E-2</v>
      </c>
      <c r="J959">
        <v>613</v>
      </c>
      <c r="K959">
        <v>9289.2312149999998</v>
      </c>
      <c r="L959">
        <v>0.81899999999999995</v>
      </c>
      <c r="M959">
        <v>0.427586207</v>
      </c>
      <c r="N959">
        <v>0</v>
      </c>
      <c r="O959" t="s">
        <v>620</v>
      </c>
      <c r="P959">
        <f t="shared" si="128"/>
        <v>16.141666669999999</v>
      </c>
      <c r="Q959">
        <f t="shared" si="129"/>
        <v>2.9000000000000001E-2</v>
      </c>
      <c r="R959">
        <f t="shared" si="130"/>
        <v>5.0000000000000001E-3</v>
      </c>
      <c r="S959">
        <f t="shared" si="131"/>
        <v>0.81899999999999995</v>
      </c>
      <c r="T959">
        <f t="shared" si="132"/>
        <v>2.2000000000000002</v>
      </c>
      <c r="U959">
        <f t="shared" si="133"/>
        <v>8.5077659570000002</v>
      </c>
      <c r="V959">
        <f t="shared" si="134"/>
        <v>4.1084210526315765E-2</v>
      </c>
      <c r="W959">
        <f t="shared" si="135"/>
        <v>0.108</v>
      </c>
      <c r="X959">
        <f t="shared" si="136"/>
        <v>0.89200000000000002</v>
      </c>
      <c r="Y959">
        <v>150.31568189999999</v>
      </c>
      <c r="Z959">
        <v>0</v>
      </c>
      <c r="AA959">
        <v>77808</v>
      </c>
      <c r="AB959">
        <v>27489</v>
      </c>
      <c r="AC959">
        <v>1.1225541E-2</v>
      </c>
      <c r="AD959">
        <v>0.835708267</v>
      </c>
      <c r="AF959">
        <v>16.141666669999999</v>
      </c>
      <c r="AG959">
        <v>2.9000000000000001E-2</v>
      </c>
      <c r="AH959">
        <v>5.0000000000000001E-3</v>
      </c>
      <c r="AI959">
        <v>0.81899999999999995</v>
      </c>
      <c r="AJ959">
        <v>2.2000000000000002</v>
      </c>
      <c r="AK959">
        <v>8.5077659570000002</v>
      </c>
      <c r="AL959">
        <v>0</v>
      </c>
      <c r="AM959">
        <v>0.108</v>
      </c>
      <c r="AN959">
        <v>0.89200000000000002</v>
      </c>
    </row>
    <row r="960" spans="1:40">
      <c r="A960">
        <v>3028</v>
      </c>
      <c r="B960" t="s">
        <v>707</v>
      </c>
      <c r="C960" t="s">
        <v>693</v>
      </c>
      <c r="D960" t="s">
        <v>694</v>
      </c>
      <c r="E960">
        <v>336</v>
      </c>
      <c r="F960">
        <v>1065</v>
      </c>
      <c r="G960">
        <v>95773.75834</v>
      </c>
      <c r="H960">
        <v>593</v>
      </c>
      <c r="I960" s="515">
        <v>149.70278796978201</v>
      </c>
      <c r="J960">
        <v>1658</v>
      </c>
      <c r="K960">
        <v>11.075278040000001</v>
      </c>
      <c r="L960">
        <v>0.98</v>
      </c>
      <c r="M960">
        <v>0.63832077499999995</v>
      </c>
      <c r="N960">
        <v>0</v>
      </c>
      <c r="O960" t="s">
        <v>625</v>
      </c>
      <c r="P960">
        <f t="shared" si="128"/>
        <v>28.266045200000001</v>
      </c>
      <c r="Q960">
        <f t="shared" si="129"/>
        <v>7.0000000000000001E-3</v>
      </c>
      <c r="R960">
        <f t="shared" si="130"/>
        <v>1.2999999999999999E-2</v>
      </c>
      <c r="S960">
        <f t="shared" si="131"/>
        <v>0.98</v>
      </c>
      <c r="T960">
        <f t="shared" si="132"/>
        <v>2.72</v>
      </c>
      <c r="U960">
        <f t="shared" si="133"/>
        <v>19.924446369999998</v>
      </c>
      <c r="V960">
        <f t="shared" si="134"/>
        <v>0.11835714285714286</v>
      </c>
      <c r="W960">
        <f t="shared" si="135"/>
        <v>2.1999999999999999E-2</v>
      </c>
      <c r="X960">
        <f t="shared" si="136"/>
        <v>0.97799999999999998</v>
      </c>
      <c r="Y960">
        <v>0.70235524199999999</v>
      </c>
      <c r="Z960">
        <v>0</v>
      </c>
      <c r="AA960">
        <v>21149</v>
      </c>
      <c r="AB960">
        <v>6968</v>
      </c>
      <c r="AC960">
        <v>1.6645858999999999E-2</v>
      </c>
      <c r="AD960">
        <v>0.89069218999999999</v>
      </c>
      <c r="AF960">
        <v>28.266045200000001</v>
      </c>
      <c r="AG960">
        <v>7.0000000000000001E-3</v>
      </c>
      <c r="AH960">
        <v>1.2999999999999999E-2</v>
      </c>
      <c r="AI960">
        <v>0.98</v>
      </c>
      <c r="AJ960">
        <v>2.72</v>
      </c>
      <c r="AK960">
        <v>19.924446369999998</v>
      </c>
      <c r="AL960">
        <v>0</v>
      </c>
      <c r="AM960">
        <v>2.1999999999999999E-2</v>
      </c>
      <c r="AN960">
        <v>0.97799999999999998</v>
      </c>
    </row>
    <row r="961" spans="1:40">
      <c r="A961">
        <v>3029</v>
      </c>
      <c r="B961" t="s">
        <v>698</v>
      </c>
      <c r="C961" t="s">
        <v>693</v>
      </c>
      <c r="D961" t="s">
        <v>694</v>
      </c>
      <c r="E961">
        <v>185</v>
      </c>
      <c r="F961">
        <v>1133</v>
      </c>
      <c r="G961">
        <v>308.33939579999998</v>
      </c>
      <c r="H961">
        <v>464</v>
      </c>
      <c r="I961">
        <v>0.481970548</v>
      </c>
      <c r="J961">
        <v>1597</v>
      </c>
      <c r="K961">
        <v>3313.480474</v>
      </c>
      <c r="L961">
        <v>0.82299999999999995</v>
      </c>
      <c r="M961">
        <v>0.71494607099999996</v>
      </c>
      <c r="N961">
        <v>0</v>
      </c>
      <c r="O961" t="s">
        <v>620</v>
      </c>
      <c r="P961">
        <f t="shared" si="128"/>
        <v>18.98</v>
      </c>
      <c r="Q961">
        <f t="shared" si="129"/>
        <v>2.1999999999999999E-2</v>
      </c>
      <c r="R961">
        <f t="shared" si="130"/>
        <v>3.9E-2</v>
      </c>
      <c r="S961">
        <f t="shared" si="131"/>
        <v>0.82299999999999995</v>
      </c>
      <c r="T961">
        <f t="shared" si="132"/>
        <v>2.1025</v>
      </c>
      <c r="U961">
        <f t="shared" si="133"/>
        <v>8.9193181819999996</v>
      </c>
      <c r="V961">
        <f t="shared" si="134"/>
        <v>5.8000000000000003E-2</v>
      </c>
      <c r="W961">
        <f t="shared" si="135"/>
        <v>4.3999999999999997E-2</v>
      </c>
      <c r="X961">
        <f t="shared" si="136"/>
        <v>0.79600000000000004</v>
      </c>
      <c r="Y961">
        <v>40.159093390000002</v>
      </c>
      <c r="Z961">
        <v>0</v>
      </c>
      <c r="AA961">
        <v>88250</v>
      </c>
      <c r="AB961">
        <v>31723</v>
      </c>
      <c r="AC961">
        <v>1.0795895999999999E-2</v>
      </c>
      <c r="AD961">
        <v>0.817760245</v>
      </c>
      <c r="AF961">
        <v>18.98</v>
      </c>
      <c r="AG961">
        <v>2.1999999999999999E-2</v>
      </c>
      <c r="AH961">
        <v>3.9E-2</v>
      </c>
      <c r="AI961">
        <v>0.82299999999999995</v>
      </c>
      <c r="AJ961">
        <v>2.1025</v>
      </c>
      <c r="AK961">
        <v>8.9193181819999996</v>
      </c>
      <c r="AL961">
        <v>5.8000000000000003E-2</v>
      </c>
      <c r="AM961">
        <v>4.3999999999999997E-2</v>
      </c>
      <c r="AN961">
        <v>0.79600000000000004</v>
      </c>
    </row>
    <row r="962" spans="1:40">
      <c r="A962">
        <v>3030</v>
      </c>
      <c r="B962" t="s">
        <v>689</v>
      </c>
      <c r="C962" t="s">
        <v>687</v>
      </c>
      <c r="D962" t="s">
        <v>688</v>
      </c>
      <c r="E962">
        <v>1794</v>
      </c>
      <c r="F962">
        <v>3354</v>
      </c>
      <c r="G962">
        <v>40.179205690000003</v>
      </c>
      <c r="H962">
        <v>9495</v>
      </c>
      <c r="I962">
        <v>6.2802938000000003E-2</v>
      </c>
      <c r="J962">
        <v>12849</v>
      </c>
      <c r="K962">
        <v>204592.33929999999</v>
      </c>
      <c r="L962">
        <v>0.55300000000000005</v>
      </c>
      <c r="M962">
        <v>0.84108424100000001</v>
      </c>
      <c r="N962">
        <v>1</v>
      </c>
      <c r="O962" t="s">
        <v>606</v>
      </c>
      <c r="P962">
        <f t="shared" si="128"/>
        <v>13.50664564</v>
      </c>
      <c r="Q962">
        <f t="shared" si="129"/>
        <v>0.14299999999999999</v>
      </c>
      <c r="R962">
        <f t="shared" si="130"/>
        <v>4.1000000000000002E-2</v>
      </c>
      <c r="S962">
        <f t="shared" si="131"/>
        <v>0.55300000000000005</v>
      </c>
      <c r="T962">
        <f t="shared" si="132"/>
        <v>2.034092308</v>
      </c>
      <c r="U962">
        <f t="shared" si="133"/>
        <v>7.8379478220000003</v>
      </c>
      <c r="V962">
        <f t="shared" si="134"/>
        <v>7.8E-2</v>
      </c>
      <c r="W962">
        <f t="shared" si="135"/>
        <v>0.31900000000000001</v>
      </c>
      <c r="X962">
        <f t="shared" si="136"/>
        <v>0.46899999999999997</v>
      </c>
      <c r="Y962">
        <v>415.11081369999999</v>
      </c>
      <c r="Z962">
        <v>0</v>
      </c>
      <c r="AA962">
        <v>454184</v>
      </c>
      <c r="AB962">
        <v>170596</v>
      </c>
      <c r="AC962">
        <v>6.5715274000000004E-2</v>
      </c>
      <c r="AD962">
        <v>0.72549415100000003</v>
      </c>
      <c r="AF962">
        <v>13.50664564</v>
      </c>
      <c r="AG962">
        <v>0.14299999999999999</v>
      </c>
      <c r="AH962">
        <v>4.1000000000000002E-2</v>
      </c>
      <c r="AI962">
        <v>0.55300000000000005</v>
      </c>
      <c r="AJ962">
        <v>2.034092308</v>
      </c>
      <c r="AK962">
        <v>7.8379478220000003</v>
      </c>
      <c r="AL962">
        <v>7.8E-2</v>
      </c>
      <c r="AM962">
        <v>0.31900000000000001</v>
      </c>
      <c r="AN962">
        <v>0.46899999999999997</v>
      </c>
    </row>
    <row r="963" spans="1:40">
      <c r="A963">
        <v>3031</v>
      </c>
      <c r="B963" t="s">
        <v>706</v>
      </c>
      <c r="C963" t="s">
        <v>684</v>
      </c>
      <c r="D963" t="s">
        <v>685</v>
      </c>
      <c r="E963">
        <v>119</v>
      </c>
      <c r="F963">
        <v>320</v>
      </c>
      <c r="G963">
        <v>883.62632699999995</v>
      </c>
      <c r="H963">
        <v>1720</v>
      </c>
      <c r="I963" s="515">
        <v>1.38117783815885</v>
      </c>
      <c r="J963">
        <v>2040</v>
      </c>
      <c r="K963">
        <v>1477.000241</v>
      </c>
      <c r="L963">
        <v>0.94199999999999995</v>
      </c>
      <c r="M963">
        <v>0.93529091900000005</v>
      </c>
      <c r="N963">
        <v>0</v>
      </c>
      <c r="O963" t="s">
        <v>625</v>
      </c>
      <c r="P963">
        <f t="shared" si="128"/>
        <v>15.886629210000001</v>
      </c>
      <c r="Q963">
        <f t="shared" si="129"/>
        <v>1.4851851851851857E-2</v>
      </c>
      <c r="R963">
        <f t="shared" si="130"/>
        <v>0.01</v>
      </c>
      <c r="S963">
        <f t="shared" si="131"/>
        <v>0.94199999999999995</v>
      </c>
      <c r="T963">
        <f t="shared" si="132"/>
        <v>3.1349999999999998</v>
      </c>
      <c r="U963">
        <f t="shared" si="133"/>
        <v>9.1721445399999997</v>
      </c>
      <c r="V963">
        <f t="shared" si="134"/>
        <v>2.1999999999999999E-2</v>
      </c>
      <c r="W963">
        <f t="shared" si="135"/>
        <v>4.6111111111111124E-2</v>
      </c>
      <c r="X963">
        <f t="shared" si="136"/>
        <v>0.97399999999999998</v>
      </c>
      <c r="Y963">
        <v>61.418476429999998</v>
      </c>
      <c r="Z963">
        <v>0</v>
      </c>
      <c r="AA963">
        <v>47401</v>
      </c>
      <c r="AB963">
        <v>14616</v>
      </c>
      <c r="AC963">
        <v>1.1721782E-2</v>
      </c>
      <c r="AD963">
        <v>0.85588417900000002</v>
      </c>
      <c r="AF963">
        <v>15.886629210000001</v>
      </c>
      <c r="AG963">
        <v>0</v>
      </c>
      <c r="AH963">
        <v>0.01</v>
      </c>
      <c r="AI963">
        <v>0.94199999999999995</v>
      </c>
      <c r="AJ963">
        <v>3.1349999999999998</v>
      </c>
      <c r="AK963">
        <v>9.1721445399999997</v>
      </c>
      <c r="AL963">
        <v>2.1999999999999999E-2</v>
      </c>
      <c r="AM963">
        <v>0</v>
      </c>
      <c r="AN963">
        <v>0.97399999999999998</v>
      </c>
    </row>
    <row r="964" spans="1:40">
      <c r="A964">
        <v>3032</v>
      </c>
      <c r="B964" t="s">
        <v>689</v>
      </c>
      <c r="C964" t="s">
        <v>687</v>
      </c>
      <c r="D964" t="s">
        <v>688</v>
      </c>
      <c r="E964">
        <v>782</v>
      </c>
      <c r="F964">
        <v>1280</v>
      </c>
      <c r="G964">
        <v>36.061453999999998</v>
      </c>
      <c r="H964">
        <v>755</v>
      </c>
      <c r="I964">
        <v>5.6370603999999998E-2</v>
      </c>
      <c r="J964">
        <v>2035</v>
      </c>
      <c r="K964">
        <v>36100.375999999997</v>
      </c>
      <c r="L964">
        <v>0.6</v>
      </c>
      <c r="M964">
        <v>0.49121665599999997</v>
      </c>
      <c r="N964">
        <v>0</v>
      </c>
      <c r="O964" t="s">
        <v>606</v>
      </c>
      <c r="P964">
        <f t="shared" si="128"/>
        <v>8.7194444440000005</v>
      </c>
      <c r="Q964">
        <f t="shared" si="129"/>
        <v>7.9000000000000001E-2</v>
      </c>
      <c r="R964">
        <f t="shared" si="130"/>
        <v>0.03</v>
      </c>
      <c r="S964">
        <f t="shared" si="131"/>
        <v>0.6</v>
      </c>
      <c r="T964">
        <f t="shared" si="132"/>
        <v>1.7761538459999999</v>
      </c>
      <c r="U964">
        <f t="shared" si="133"/>
        <v>5.711018793</v>
      </c>
      <c r="V964">
        <f t="shared" si="134"/>
        <v>2.8000000000000001E-2</v>
      </c>
      <c r="W964">
        <f t="shared" si="135"/>
        <v>0.19</v>
      </c>
      <c r="X964">
        <f t="shared" si="136"/>
        <v>0.56999999999999995</v>
      </c>
      <c r="Y964">
        <v>198.86973330000001</v>
      </c>
      <c r="Z964">
        <v>0</v>
      </c>
      <c r="AA964">
        <v>454184</v>
      </c>
      <c r="AB964">
        <v>170596</v>
      </c>
      <c r="AC964">
        <v>6.5715274000000004E-2</v>
      </c>
      <c r="AD964">
        <v>0.72549415100000003</v>
      </c>
      <c r="AF964">
        <v>8.7194444440000005</v>
      </c>
      <c r="AG964">
        <v>7.9000000000000001E-2</v>
      </c>
      <c r="AH964">
        <v>0.03</v>
      </c>
      <c r="AI964">
        <v>0.6</v>
      </c>
      <c r="AJ964">
        <v>1.7761538459999999</v>
      </c>
      <c r="AK964">
        <v>5.711018793</v>
      </c>
      <c r="AL964">
        <v>2.8000000000000001E-2</v>
      </c>
      <c r="AM964">
        <v>0.19</v>
      </c>
      <c r="AN964">
        <v>0.56999999999999995</v>
      </c>
    </row>
    <row r="965" spans="1:40">
      <c r="A965">
        <v>3033</v>
      </c>
      <c r="B965" t="s">
        <v>686</v>
      </c>
      <c r="C965" t="s">
        <v>687</v>
      </c>
      <c r="D965" t="s">
        <v>688</v>
      </c>
      <c r="E965">
        <v>320</v>
      </c>
      <c r="F965">
        <v>656</v>
      </c>
      <c r="G965">
        <v>20.021437899999999</v>
      </c>
      <c r="H965">
        <v>180</v>
      </c>
      <c r="I965">
        <v>3.1298813000000002E-2</v>
      </c>
      <c r="J965">
        <v>836</v>
      </c>
      <c r="K965">
        <v>26710.278119999999</v>
      </c>
      <c r="L965">
        <v>0.58099999999999996</v>
      </c>
      <c r="M965">
        <v>0.36</v>
      </c>
      <c r="N965">
        <v>0</v>
      </c>
      <c r="O965" t="s">
        <v>613</v>
      </c>
      <c r="P965">
        <f t="shared" si="128"/>
        <v>10.97796875</v>
      </c>
      <c r="Q965">
        <f t="shared" si="129"/>
        <v>0.107</v>
      </c>
      <c r="R965">
        <f t="shared" si="130"/>
        <v>0.06</v>
      </c>
      <c r="S965">
        <f t="shared" si="131"/>
        <v>0.58099999999999996</v>
      </c>
      <c r="T965">
        <f t="shared" si="132"/>
        <v>1.613823529</v>
      </c>
      <c r="U965">
        <f t="shared" si="133"/>
        <v>6.78</v>
      </c>
      <c r="V965">
        <f t="shared" si="134"/>
        <v>4.5999999999999999E-2</v>
      </c>
      <c r="W965">
        <f t="shared" si="135"/>
        <v>0.25700000000000001</v>
      </c>
      <c r="X965">
        <f t="shared" si="136"/>
        <v>0.58699999999999997</v>
      </c>
      <c r="Y965">
        <v>134.26999549999999</v>
      </c>
      <c r="Z965">
        <v>1</v>
      </c>
      <c r="AA965">
        <v>140316</v>
      </c>
      <c r="AB965">
        <v>49638</v>
      </c>
      <c r="AC965">
        <v>9.1283894000000004E-2</v>
      </c>
      <c r="AD965">
        <v>0.60339869999999995</v>
      </c>
      <c r="AF965">
        <v>10.97796875</v>
      </c>
      <c r="AG965">
        <v>0.107</v>
      </c>
      <c r="AH965">
        <v>0.06</v>
      </c>
      <c r="AI965">
        <v>0.58099999999999996</v>
      </c>
      <c r="AJ965">
        <v>1.613823529</v>
      </c>
      <c r="AK965">
        <v>6.78</v>
      </c>
      <c r="AL965">
        <v>4.5999999999999999E-2</v>
      </c>
      <c r="AM965">
        <v>0.25700000000000001</v>
      </c>
      <c r="AN965">
        <v>0.58699999999999997</v>
      </c>
    </row>
    <row r="966" spans="1:40">
      <c r="A966">
        <v>3034</v>
      </c>
      <c r="B966" t="s">
        <v>686</v>
      </c>
      <c r="C966" t="s">
        <v>687</v>
      </c>
      <c r="D966" t="s">
        <v>688</v>
      </c>
      <c r="E966">
        <v>294</v>
      </c>
      <c r="F966">
        <v>688</v>
      </c>
      <c r="G966">
        <v>40.405681749999999</v>
      </c>
      <c r="H966">
        <v>0</v>
      </c>
      <c r="I966">
        <v>6.3162821999999993E-2</v>
      </c>
      <c r="J966">
        <v>688</v>
      </c>
      <c r="K966">
        <v>10892.483560000001</v>
      </c>
      <c r="L966">
        <v>0.65</v>
      </c>
      <c r="M966">
        <v>0</v>
      </c>
      <c r="N966">
        <v>1</v>
      </c>
      <c r="O966" t="s">
        <v>613</v>
      </c>
      <c r="P966">
        <f t="shared" si="128"/>
        <v>6.7110447759999996</v>
      </c>
      <c r="Q966">
        <f t="shared" si="129"/>
        <v>8.5000000000000006E-2</v>
      </c>
      <c r="R966">
        <f t="shared" si="130"/>
        <v>5.1999999999999998E-2</v>
      </c>
      <c r="S966">
        <f t="shared" si="131"/>
        <v>0.65</v>
      </c>
      <c r="T966">
        <f t="shared" si="132"/>
        <v>2.0529999999999999</v>
      </c>
      <c r="U966">
        <f t="shared" si="133"/>
        <v>5.4926938779999999</v>
      </c>
      <c r="V966">
        <f t="shared" si="134"/>
        <v>4.1000000000000002E-2</v>
      </c>
      <c r="W966">
        <f t="shared" si="135"/>
        <v>0.17299999999999999</v>
      </c>
      <c r="X966">
        <f t="shared" si="136"/>
        <v>0.68400000000000005</v>
      </c>
      <c r="Y966">
        <v>197.7649418</v>
      </c>
      <c r="Z966">
        <v>1</v>
      </c>
      <c r="AA966">
        <v>140316</v>
      </c>
      <c r="AB966">
        <v>49638</v>
      </c>
      <c r="AC966">
        <v>9.1283894000000004E-2</v>
      </c>
      <c r="AD966">
        <v>0.60339869999999995</v>
      </c>
      <c r="AF966">
        <v>6.7110447759999996</v>
      </c>
      <c r="AG966">
        <v>8.5000000000000006E-2</v>
      </c>
      <c r="AH966">
        <v>5.1999999999999998E-2</v>
      </c>
      <c r="AI966">
        <v>0.65</v>
      </c>
      <c r="AJ966">
        <v>2.0529999999999999</v>
      </c>
      <c r="AK966">
        <v>5.4926938779999999</v>
      </c>
      <c r="AL966">
        <v>4.1000000000000002E-2</v>
      </c>
      <c r="AM966">
        <v>0.17299999999999999</v>
      </c>
      <c r="AN966">
        <v>0.68400000000000005</v>
      </c>
    </row>
    <row r="967" spans="1:40">
      <c r="A967">
        <v>3035</v>
      </c>
      <c r="B967" t="s">
        <v>705</v>
      </c>
      <c r="C967" t="s">
        <v>696</v>
      </c>
      <c r="D967" t="s">
        <v>697</v>
      </c>
      <c r="E967">
        <v>586</v>
      </c>
      <c r="F967">
        <v>2142</v>
      </c>
      <c r="G967">
        <v>123.9876295</v>
      </c>
      <c r="H967">
        <v>221</v>
      </c>
      <c r="I967">
        <v>0.19380175899999999</v>
      </c>
      <c r="J967">
        <v>2363</v>
      </c>
      <c r="K967">
        <v>12192.871789999999</v>
      </c>
      <c r="L967">
        <v>0.85699999999999998</v>
      </c>
      <c r="M967">
        <v>0.27385377900000002</v>
      </c>
      <c r="N967">
        <v>1</v>
      </c>
      <c r="O967" t="s">
        <v>620</v>
      </c>
      <c r="P967">
        <f t="shared" si="128"/>
        <v>12.27147059</v>
      </c>
      <c r="Q967">
        <f t="shared" si="129"/>
        <v>1.6E-2</v>
      </c>
      <c r="R967">
        <f t="shared" si="130"/>
        <v>2.4E-2</v>
      </c>
      <c r="S967">
        <f t="shared" si="131"/>
        <v>0.85699999999999998</v>
      </c>
      <c r="T967">
        <f t="shared" si="132"/>
        <v>2.178222222</v>
      </c>
      <c r="U967">
        <f t="shared" si="133"/>
        <v>6.8191875829999997</v>
      </c>
      <c r="V967">
        <f t="shared" si="134"/>
        <v>3.4000000000000002E-2</v>
      </c>
      <c r="W967">
        <f t="shared" si="135"/>
        <v>3.7999999999999999E-2</v>
      </c>
      <c r="X967">
        <f t="shared" si="136"/>
        <v>0.90500000000000003</v>
      </c>
      <c r="Y967">
        <v>176.38087390000001</v>
      </c>
      <c r="Z967">
        <v>0</v>
      </c>
      <c r="AA967">
        <v>152832</v>
      </c>
      <c r="AB967">
        <v>45686</v>
      </c>
      <c r="AC967">
        <v>2.1596295000000001E-2</v>
      </c>
      <c r="AD967">
        <v>0.84212384500000004</v>
      </c>
      <c r="AF967">
        <v>12.27147059</v>
      </c>
      <c r="AG967">
        <v>1.6E-2</v>
      </c>
      <c r="AH967">
        <v>2.4E-2</v>
      </c>
      <c r="AI967">
        <v>0.85699999999999998</v>
      </c>
      <c r="AJ967">
        <v>2.178222222</v>
      </c>
      <c r="AK967">
        <v>6.8191875829999997</v>
      </c>
      <c r="AL967">
        <v>3.4000000000000002E-2</v>
      </c>
      <c r="AM967">
        <v>3.7999999999999999E-2</v>
      </c>
      <c r="AN967">
        <v>0.90500000000000003</v>
      </c>
    </row>
    <row r="968" spans="1:40">
      <c r="A968">
        <v>3036</v>
      </c>
      <c r="B968" t="s">
        <v>686</v>
      </c>
      <c r="C968" t="s">
        <v>687</v>
      </c>
      <c r="D968" t="s">
        <v>688</v>
      </c>
      <c r="E968">
        <v>511</v>
      </c>
      <c r="F968">
        <v>1168</v>
      </c>
      <c r="G968">
        <v>55.023242699999997</v>
      </c>
      <c r="H968">
        <v>51</v>
      </c>
      <c r="I968">
        <v>8.6009670999999996E-2</v>
      </c>
      <c r="J968">
        <v>1219</v>
      </c>
      <c r="K968">
        <v>14172.82482</v>
      </c>
      <c r="L968">
        <v>0.751</v>
      </c>
      <c r="M968">
        <v>9.0747331000000001E-2</v>
      </c>
      <c r="N968">
        <v>0</v>
      </c>
      <c r="O968" t="s">
        <v>613</v>
      </c>
      <c r="P968">
        <f t="shared" si="128"/>
        <v>7.0648275859999998</v>
      </c>
      <c r="Q968">
        <f t="shared" si="129"/>
        <v>3.2000000000000001E-2</v>
      </c>
      <c r="R968">
        <f t="shared" si="130"/>
        <v>4.2999999999999997E-2</v>
      </c>
      <c r="S968">
        <f t="shared" si="131"/>
        <v>0.751</v>
      </c>
      <c r="T968">
        <f t="shared" si="132"/>
        <v>2.4552499999999999</v>
      </c>
      <c r="U968">
        <f t="shared" si="133"/>
        <v>4.166490166</v>
      </c>
      <c r="V968">
        <f t="shared" si="134"/>
        <v>6.5000000000000002E-2</v>
      </c>
      <c r="W968">
        <f t="shared" si="135"/>
        <v>5.6000000000000001E-2</v>
      </c>
      <c r="X968">
        <f t="shared" si="136"/>
        <v>0.80600000000000005</v>
      </c>
      <c r="Y968">
        <v>178.2473406</v>
      </c>
      <c r="Z968">
        <v>1</v>
      </c>
      <c r="AA968">
        <v>140316</v>
      </c>
      <c r="AB968">
        <v>49638</v>
      </c>
      <c r="AC968">
        <v>9.1283894000000004E-2</v>
      </c>
      <c r="AD968">
        <v>0.60339869999999995</v>
      </c>
      <c r="AF968">
        <v>7.0648275859999998</v>
      </c>
      <c r="AG968">
        <v>3.2000000000000001E-2</v>
      </c>
      <c r="AH968">
        <v>4.2999999999999997E-2</v>
      </c>
      <c r="AI968">
        <v>0.751</v>
      </c>
      <c r="AJ968">
        <v>2.4552499999999999</v>
      </c>
      <c r="AK968">
        <v>4.166490166</v>
      </c>
      <c r="AL968">
        <v>6.5000000000000002E-2</v>
      </c>
      <c r="AM968">
        <v>5.6000000000000001E-2</v>
      </c>
      <c r="AN968">
        <v>0.80600000000000005</v>
      </c>
    </row>
    <row r="969" spans="1:40">
      <c r="A969">
        <v>3037</v>
      </c>
      <c r="B969" t="s">
        <v>691</v>
      </c>
      <c r="C969" t="s">
        <v>684</v>
      </c>
      <c r="D969" t="s">
        <v>685</v>
      </c>
      <c r="E969">
        <v>363</v>
      </c>
      <c r="F969">
        <v>890</v>
      </c>
      <c r="G969">
        <v>123.7259909</v>
      </c>
      <c r="H969">
        <v>3603</v>
      </c>
      <c r="I969">
        <v>0.193391062</v>
      </c>
      <c r="J969">
        <v>4493</v>
      </c>
      <c r="K969">
        <v>23232.717960000002</v>
      </c>
      <c r="L969">
        <v>0.78900000000000003</v>
      </c>
      <c r="M969">
        <v>0.90847201200000005</v>
      </c>
      <c r="N969">
        <v>1</v>
      </c>
      <c r="O969" t="s">
        <v>613</v>
      </c>
      <c r="P969">
        <f t="shared" si="128"/>
        <v>12.058238749999999</v>
      </c>
      <c r="Q969">
        <f t="shared" si="129"/>
        <v>2.8000000000000001E-2</v>
      </c>
      <c r="R969">
        <f t="shared" si="130"/>
        <v>1.2E-2</v>
      </c>
      <c r="S969">
        <f t="shared" si="131"/>
        <v>0.78900000000000003</v>
      </c>
      <c r="T969">
        <f t="shared" si="132"/>
        <v>2.0150000000000001</v>
      </c>
      <c r="U969">
        <f t="shared" si="133"/>
        <v>6.2866385300000003</v>
      </c>
      <c r="V969">
        <f t="shared" si="134"/>
        <v>2.9000000000000001E-2</v>
      </c>
      <c r="W969">
        <f t="shared" si="135"/>
        <v>8.3000000000000004E-2</v>
      </c>
      <c r="X969">
        <f t="shared" si="136"/>
        <v>0.81399999999999995</v>
      </c>
      <c r="Y969">
        <v>187.83888200000001</v>
      </c>
      <c r="Z969">
        <v>0</v>
      </c>
      <c r="AA969">
        <v>236250</v>
      </c>
      <c r="AB969">
        <v>76158</v>
      </c>
      <c r="AC969">
        <v>1.7652984E-2</v>
      </c>
      <c r="AD969">
        <v>0.84750225300000004</v>
      </c>
      <c r="AF969">
        <v>12.058238749999999</v>
      </c>
      <c r="AG969">
        <v>2.8000000000000001E-2</v>
      </c>
      <c r="AH969">
        <v>1.2E-2</v>
      </c>
      <c r="AI969">
        <v>0.78900000000000003</v>
      </c>
      <c r="AJ969">
        <v>2.0150000000000001</v>
      </c>
      <c r="AK969">
        <v>6.2866385300000003</v>
      </c>
      <c r="AL969">
        <v>2.9000000000000001E-2</v>
      </c>
      <c r="AM969">
        <v>8.3000000000000004E-2</v>
      </c>
      <c r="AN969">
        <v>0.81399999999999995</v>
      </c>
    </row>
    <row r="970" spans="1:40">
      <c r="A970">
        <v>3038</v>
      </c>
      <c r="B970" t="s">
        <v>691</v>
      </c>
      <c r="C970" t="s">
        <v>684</v>
      </c>
      <c r="D970" t="s">
        <v>685</v>
      </c>
      <c r="E970">
        <v>610</v>
      </c>
      <c r="F970">
        <v>1735</v>
      </c>
      <c r="G970">
        <v>370.10493120000001</v>
      </c>
      <c r="H970">
        <v>539</v>
      </c>
      <c r="I970">
        <v>0.57850763999999999</v>
      </c>
      <c r="J970">
        <v>2274</v>
      </c>
      <c r="K970">
        <v>3930.8037490000002</v>
      </c>
      <c r="L970">
        <v>0.89900000000000002</v>
      </c>
      <c r="M970">
        <v>0.46910356800000003</v>
      </c>
      <c r="N970">
        <v>0</v>
      </c>
      <c r="O970" t="s">
        <v>620</v>
      </c>
      <c r="P970">
        <f t="shared" si="128"/>
        <v>15.29335025</v>
      </c>
      <c r="Q970">
        <f t="shared" si="129"/>
        <v>1.0999999999999999E-2</v>
      </c>
      <c r="R970">
        <f t="shared" si="130"/>
        <v>1.2999999999999999E-2</v>
      </c>
      <c r="S970">
        <f t="shared" si="131"/>
        <v>0.89900000000000002</v>
      </c>
      <c r="T970">
        <f t="shared" si="132"/>
        <v>2.431666667</v>
      </c>
      <c r="U970">
        <f t="shared" si="133"/>
        <v>8.2690274309999996</v>
      </c>
      <c r="V970">
        <f t="shared" si="134"/>
        <v>8.9999999999999993E-3</v>
      </c>
      <c r="W970">
        <f t="shared" si="135"/>
        <v>5.0999999999999997E-2</v>
      </c>
      <c r="X970">
        <f t="shared" si="136"/>
        <v>0.91600000000000004</v>
      </c>
      <c r="Y970">
        <v>134.0325339</v>
      </c>
      <c r="Z970">
        <v>0</v>
      </c>
      <c r="AA970">
        <v>236250</v>
      </c>
      <c r="AB970">
        <v>76158</v>
      </c>
      <c r="AC970">
        <v>1.7652984E-2</v>
      </c>
      <c r="AD970">
        <v>0.84750225300000004</v>
      </c>
      <c r="AF970">
        <v>15.29335025</v>
      </c>
      <c r="AG970">
        <v>1.0999999999999999E-2</v>
      </c>
      <c r="AH970">
        <v>1.2999999999999999E-2</v>
      </c>
      <c r="AI970">
        <v>0.89900000000000002</v>
      </c>
      <c r="AJ970">
        <v>2.431666667</v>
      </c>
      <c r="AK970">
        <v>8.2690274309999996</v>
      </c>
      <c r="AL970">
        <v>8.9999999999999993E-3</v>
      </c>
      <c r="AM970">
        <v>5.0999999999999997E-2</v>
      </c>
      <c r="AN970">
        <v>0.91600000000000004</v>
      </c>
    </row>
    <row r="971" spans="1:40">
      <c r="A971">
        <v>3039</v>
      </c>
      <c r="B971" t="s">
        <v>709</v>
      </c>
      <c r="C971" t="s">
        <v>693</v>
      </c>
      <c r="D971" t="s">
        <v>694</v>
      </c>
      <c r="E971">
        <v>659</v>
      </c>
      <c r="F971">
        <v>1483</v>
      </c>
      <c r="G971">
        <v>121.17800320000001</v>
      </c>
      <c r="H971">
        <v>513</v>
      </c>
      <c r="I971">
        <v>0.18941471600000001</v>
      </c>
      <c r="J971">
        <v>1996</v>
      </c>
      <c r="K971">
        <v>10537.72401</v>
      </c>
      <c r="L971">
        <v>0.76200000000000001</v>
      </c>
      <c r="M971">
        <v>0.43771331099999999</v>
      </c>
      <c r="N971">
        <v>0</v>
      </c>
      <c r="O971" t="s">
        <v>620</v>
      </c>
      <c r="P971">
        <f t="shared" si="128"/>
        <v>16.070823529999998</v>
      </c>
      <c r="Q971">
        <f t="shared" si="129"/>
        <v>1.2E-2</v>
      </c>
      <c r="R971">
        <f t="shared" si="130"/>
        <v>1.7000000000000001E-2</v>
      </c>
      <c r="S971">
        <f t="shared" si="131"/>
        <v>0.76200000000000001</v>
      </c>
      <c r="T971">
        <f t="shared" si="132"/>
        <v>2.4011538460000001</v>
      </c>
      <c r="U971">
        <f t="shared" si="133"/>
        <v>7.9265093499999999</v>
      </c>
      <c r="V971">
        <f t="shared" si="134"/>
        <v>2.5999999999999999E-2</v>
      </c>
      <c r="W971">
        <f t="shared" si="135"/>
        <v>5.8000000000000003E-2</v>
      </c>
      <c r="X971">
        <f t="shared" si="136"/>
        <v>0.89</v>
      </c>
      <c r="Y971">
        <v>186.40159929999999</v>
      </c>
      <c r="Z971">
        <v>0</v>
      </c>
      <c r="AA971">
        <v>56865</v>
      </c>
      <c r="AB971">
        <v>22398</v>
      </c>
      <c r="AC971">
        <v>1.1143686E-2</v>
      </c>
      <c r="AD971">
        <v>0.81944707100000003</v>
      </c>
      <c r="AF971">
        <v>16.070823529999998</v>
      </c>
      <c r="AG971">
        <v>1.2E-2</v>
      </c>
      <c r="AH971">
        <v>1.7000000000000001E-2</v>
      </c>
      <c r="AI971">
        <v>0.76200000000000001</v>
      </c>
      <c r="AJ971">
        <v>2.4011538460000001</v>
      </c>
      <c r="AK971">
        <v>7.9265093499999999</v>
      </c>
      <c r="AL971">
        <v>2.5999999999999999E-2</v>
      </c>
      <c r="AM971">
        <v>5.8000000000000003E-2</v>
      </c>
      <c r="AN971">
        <v>0.89</v>
      </c>
    </row>
    <row r="972" spans="1:40">
      <c r="A972">
        <v>3040</v>
      </c>
      <c r="B972" t="s">
        <v>707</v>
      </c>
      <c r="C972" t="s">
        <v>693</v>
      </c>
      <c r="D972" t="s">
        <v>694</v>
      </c>
      <c r="E972">
        <v>290</v>
      </c>
      <c r="F972">
        <v>770</v>
      </c>
      <c r="G972">
        <v>397.42725280000002</v>
      </c>
      <c r="H972">
        <v>6</v>
      </c>
      <c r="I972">
        <v>0.62123205800000003</v>
      </c>
      <c r="J972">
        <v>776</v>
      </c>
      <c r="K972">
        <v>1249.130643</v>
      </c>
      <c r="L972">
        <v>0.91900000000000004</v>
      </c>
      <c r="M972">
        <v>2.027027E-2</v>
      </c>
      <c r="N972">
        <v>0</v>
      </c>
      <c r="O972" t="s">
        <v>625</v>
      </c>
      <c r="P972">
        <f t="shared" ref="P972:P1035" si="137">IF(OR(IFERROR(AF972=0,TRUE),ISERROR(AF972)),AVERAGEIFS(AF:AF,$B:$B,$B972,AF:AF,"&gt;0"),AF972)</f>
        <v>17.460810810000002</v>
      </c>
      <c r="Q972">
        <f t="shared" ref="Q972:Q1035" si="138">IF(OR(IFERROR(AG972=0,TRUE),ISERROR(AG972)),AVERAGEIFS(AG:AG,$B:$B,$B972,AG:AG,"&gt;0"),AG972)</f>
        <v>2.7E-2</v>
      </c>
      <c r="R972">
        <f t="shared" ref="R972:R1035" si="139">IF(OR(IFERROR(AH972=0,TRUE),ISERROR(AH972)),AVERAGEIFS(AH:AH,$B:$B,$B972,AH:AH,"&gt;0"),AH972)</f>
        <v>1.2999999999999999E-2</v>
      </c>
      <c r="S972">
        <f t="shared" ref="S972:S1035" si="140">IF(OR(IFERROR(AI972=0,TRUE),ISERROR(AI972)),AVERAGEIFS(AI:AI,$B:$B,$B972,AI:AI,"&gt;0"),AI972)</f>
        <v>0.91900000000000004</v>
      </c>
      <c r="T972">
        <f t="shared" ref="T972:T1035" si="141">IF(OR(IFERROR(AJ972=0,TRUE),ISERROR(AJ972)),AVERAGEIFS(AJ:AJ,$B:$B,$B972,AJ:AJ,"&gt;0"),AJ972)</f>
        <v>4.0724999999999998</v>
      </c>
      <c r="U972">
        <f t="shared" ref="U972:U1035" si="142">IF(OR(IFERROR(AK972=0,TRUE),ISERROR(AK972)),AVERAGEIFS(AK:AK,$B:$B,$B972,AK:AK,"&gt;0"),AK972)</f>
        <v>9.0105109490000004</v>
      </c>
      <c r="V972">
        <f t="shared" ref="V972:V1035" si="143">IF(OR(IFERROR(AL972=0,TRUE),ISERROR(AL972)),AVERAGEIFS(AL:AL,$B:$B,$B972,AL:AL,"&gt;0"),AL972)</f>
        <v>0.11835714285714286</v>
      </c>
      <c r="W972">
        <f t="shared" ref="W972:W1035" si="144">IF(OR(IFERROR(AM972=0,TRUE),ISERROR(AM972)),AVERAGEIFS(AM:AM,$B:$B,$B972,AM:AM,"&gt;0"),AM972)</f>
        <v>0.17799999999999999</v>
      </c>
      <c r="X972">
        <f t="shared" ref="X972:X1035" si="145">IF(OR(IFERROR(AN972=0,TRUE),ISERROR(AN972)),AVERAGEIFS(AN:AN,$B:$B,$B972,AN:AN,"&gt;0"),AN972)</f>
        <v>0.82199999999999995</v>
      </c>
      <c r="Y972">
        <v>49.508028590000002</v>
      </c>
      <c r="Z972">
        <v>0</v>
      </c>
      <c r="AA972">
        <v>21149</v>
      </c>
      <c r="AB972">
        <v>6968</v>
      </c>
      <c r="AC972">
        <v>1.6645858999999999E-2</v>
      </c>
      <c r="AD972">
        <v>0.89069218999999999</v>
      </c>
      <c r="AF972">
        <v>17.460810810000002</v>
      </c>
      <c r="AG972">
        <v>2.7E-2</v>
      </c>
      <c r="AH972">
        <v>1.2999999999999999E-2</v>
      </c>
      <c r="AI972">
        <v>0.91900000000000004</v>
      </c>
      <c r="AJ972">
        <v>4.0724999999999998</v>
      </c>
      <c r="AK972">
        <v>9.0105109490000004</v>
      </c>
      <c r="AL972">
        <v>0</v>
      </c>
      <c r="AM972">
        <v>0.17799999999999999</v>
      </c>
      <c r="AN972">
        <v>0.82199999999999995</v>
      </c>
    </row>
    <row r="973" spans="1:40">
      <c r="A973">
        <v>3041</v>
      </c>
      <c r="B973" t="s">
        <v>709</v>
      </c>
      <c r="C973" t="s">
        <v>693</v>
      </c>
      <c r="D973" t="s">
        <v>694</v>
      </c>
      <c r="E973">
        <v>606</v>
      </c>
      <c r="F973">
        <v>777</v>
      </c>
      <c r="G973">
        <v>881.08436689999996</v>
      </c>
      <c r="H973">
        <v>51</v>
      </c>
      <c r="I973" s="515">
        <v>1.37722461959908</v>
      </c>
      <c r="J973">
        <v>828</v>
      </c>
      <c r="K973">
        <v>601.20911880000006</v>
      </c>
      <c r="L973">
        <v>0.95699999999999996</v>
      </c>
      <c r="M973">
        <v>7.7625571000000004E-2</v>
      </c>
      <c r="N973">
        <v>0</v>
      </c>
      <c r="O973" t="s">
        <v>625</v>
      </c>
      <c r="P973">
        <f t="shared" si="137"/>
        <v>17.401717170000001</v>
      </c>
      <c r="Q973">
        <f t="shared" si="138"/>
        <v>8.0000000000000002E-3</v>
      </c>
      <c r="R973">
        <f t="shared" si="139"/>
        <v>1.2999999999999999E-2</v>
      </c>
      <c r="S973">
        <f t="shared" si="140"/>
        <v>0.95699999999999996</v>
      </c>
      <c r="T973">
        <f t="shared" si="141"/>
        <v>3.5459999999999998</v>
      </c>
      <c r="U973">
        <f t="shared" si="142"/>
        <v>9.9164168939999993</v>
      </c>
      <c r="V973">
        <f t="shared" si="143"/>
        <v>1.9E-2</v>
      </c>
      <c r="W973">
        <f t="shared" si="144"/>
        <v>5.6000000000000001E-2</v>
      </c>
      <c r="X973">
        <f t="shared" si="145"/>
        <v>0.92500000000000004</v>
      </c>
      <c r="Y973">
        <v>23.194171300000001</v>
      </c>
      <c r="Z973">
        <v>0</v>
      </c>
      <c r="AA973">
        <v>56865</v>
      </c>
      <c r="AB973">
        <v>22398</v>
      </c>
      <c r="AC973">
        <v>1.1143686E-2</v>
      </c>
      <c r="AD973">
        <v>0.81944707100000003</v>
      </c>
      <c r="AF973">
        <v>17.401717170000001</v>
      </c>
      <c r="AG973">
        <v>8.0000000000000002E-3</v>
      </c>
      <c r="AH973">
        <v>1.2999999999999999E-2</v>
      </c>
      <c r="AI973">
        <v>0.95699999999999996</v>
      </c>
      <c r="AJ973">
        <v>3.5459999999999998</v>
      </c>
      <c r="AK973">
        <v>9.9164168939999993</v>
      </c>
      <c r="AL973">
        <v>1.9E-2</v>
      </c>
      <c r="AM973">
        <v>5.6000000000000001E-2</v>
      </c>
      <c r="AN973">
        <v>0.92500000000000004</v>
      </c>
    </row>
    <row r="974" spans="1:40">
      <c r="A974">
        <v>3042</v>
      </c>
      <c r="B974" t="s">
        <v>692</v>
      </c>
      <c r="C974" t="s">
        <v>693</v>
      </c>
      <c r="D974" t="s">
        <v>694</v>
      </c>
      <c r="E974">
        <v>318</v>
      </c>
      <c r="F974">
        <v>901</v>
      </c>
      <c r="G974">
        <v>447.76060319999999</v>
      </c>
      <c r="H974">
        <v>703</v>
      </c>
      <c r="I974">
        <v>0.699891873</v>
      </c>
      <c r="J974">
        <v>1604</v>
      </c>
      <c r="K974">
        <v>2291.7825769999999</v>
      </c>
      <c r="L974">
        <v>0.89500000000000002</v>
      </c>
      <c r="M974">
        <v>0.68854064599999998</v>
      </c>
      <c r="N974">
        <v>0</v>
      </c>
      <c r="O974" t="s">
        <v>625</v>
      </c>
      <c r="P974">
        <f t="shared" si="137"/>
        <v>17.167051279999999</v>
      </c>
      <c r="Q974">
        <f t="shared" si="138"/>
        <v>6.0000000000000001E-3</v>
      </c>
      <c r="R974">
        <f t="shared" si="139"/>
        <v>2.1000000000000001E-2</v>
      </c>
      <c r="S974">
        <f t="shared" si="140"/>
        <v>0.89500000000000002</v>
      </c>
      <c r="T974">
        <f t="shared" si="141"/>
        <v>2.7640909090000001</v>
      </c>
      <c r="U974">
        <f t="shared" si="142"/>
        <v>9.8565735770000007</v>
      </c>
      <c r="V974">
        <f t="shared" si="143"/>
        <v>1.2E-2</v>
      </c>
      <c r="W974">
        <f t="shared" si="144"/>
        <v>3.5999999999999997E-2</v>
      </c>
      <c r="X974">
        <f t="shared" si="145"/>
        <v>0.94499999999999995</v>
      </c>
      <c r="Y974">
        <v>78.766972050000007</v>
      </c>
      <c r="Z974">
        <v>0</v>
      </c>
      <c r="AA974">
        <v>77808</v>
      </c>
      <c r="AB974">
        <v>27489</v>
      </c>
      <c r="AC974">
        <v>1.1225541E-2</v>
      </c>
      <c r="AD974">
        <v>0.835708267</v>
      </c>
      <c r="AF974">
        <v>17.167051279999999</v>
      </c>
      <c r="AG974">
        <v>6.0000000000000001E-3</v>
      </c>
      <c r="AH974">
        <v>2.1000000000000001E-2</v>
      </c>
      <c r="AI974">
        <v>0.89500000000000002</v>
      </c>
      <c r="AJ974">
        <v>2.7640909090000001</v>
      </c>
      <c r="AK974">
        <v>9.8565735770000007</v>
      </c>
      <c r="AL974">
        <v>1.2E-2</v>
      </c>
      <c r="AM974">
        <v>3.5999999999999997E-2</v>
      </c>
      <c r="AN974">
        <v>0.94499999999999995</v>
      </c>
    </row>
    <row r="975" spans="1:40">
      <c r="A975">
        <v>3043</v>
      </c>
      <c r="B975" t="s">
        <v>692</v>
      </c>
      <c r="C975" t="s">
        <v>693</v>
      </c>
      <c r="D975" t="s">
        <v>694</v>
      </c>
      <c r="E975">
        <v>736</v>
      </c>
      <c r="F975">
        <v>2089</v>
      </c>
      <c r="G975">
        <v>91.044019899999995</v>
      </c>
      <c r="H975">
        <v>729</v>
      </c>
      <c r="I975">
        <v>0.14231173</v>
      </c>
      <c r="J975">
        <v>2818</v>
      </c>
      <c r="K975">
        <v>19801.600330000001</v>
      </c>
      <c r="L975">
        <v>0.78300000000000003</v>
      </c>
      <c r="M975">
        <v>0.49761092200000001</v>
      </c>
      <c r="N975">
        <v>0</v>
      </c>
      <c r="O975" t="s">
        <v>613</v>
      </c>
      <c r="P975">
        <f t="shared" si="137"/>
        <v>14.1407326</v>
      </c>
      <c r="Q975">
        <f t="shared" si="138"/>
        <v>2.5999999999999999E-2</v>
      </c>
      <c r="R975">
        <f t="shared" si="139"/>
        <v>2.1000000000000001E-2</v>
      </c>
      <c r="S975">
        <f t="shared" si="140"/>
        <v>0.78300000000000003</v>
      </c>
      <c r="T975">
        <f t="shared" si="141"/>
        <v>2.1307142859999999</v>
      </c>
      <c r="U975">
        <f t="shared" si="142"/>
        <v>7.1614011519999998</v>
      </c>
      <c r="V975">
        <f t="shared" si="143"/>
        <v>0.04</v>
      </c>
      <c r="W975">
        <f t="shared" si="144"/>
        <v>9.7000000000000003E-2</v>
      </c>
      <c r="X975">
        <f t="shared" si="145"/>
        <v>0.78200000000000003</v>
      </c>
      <c r="Y975">
        <v>77.676447120000006</v>
      </c>
      <c r="Z975">
        <v>0</v>
      </c>
      <c r="AA975">
        <v>77808</v>
      </c>
      <c r="AB975">
        <v>27489</v>
      </c>
      <c r="AC975">
        <v>1.1225541E-2</v>
      </c>
      <c r="AD975">
        <v>0.835708267</v>
      </c>
      <c r="AF975">
        <v>14.1407326</v>
      </c>
      <c r="AG975">
        <v>2.5999999999999999E-2</v>
      </c>
      <c r="AH975">
        <v>2.1000000000000001E-2</v>
      </c>
      <c r="AI975">
        <v>0.78300000000000003</v>
      </c>
      <c r="AJ975">
        <v>2.1307142859999999</v>
      </c>
      <c r="AK975">
        <v>7.1614011519999998</v>
      </c>
      <c r="AL975">
        <v>0.04</v>
      </c>
      <c r="AM975">
        <v>9.7000000000000003E-2</v>
      </c>
      <c r="AN975">
        <v>0.78200000000000003</v>
      </c>
    </row>
    <row r="976" spans="1:40">
      <c r="A976">
        <v>3044</v>
      </c>
      <c r="B976" t="s">
        <v>692</v>
      </c>
      <c r="C976" t="s">
        <v>693</v>
      </c>
      <c r="D976" t="s">
        <v>694</v>
      </c>
      <c r="E976">
        <v>186</v>
      </c>
      <c r="F976">
        <v>488</v>
      </c>
      <c r="G976">
        <v>56.21936753</v>
      </c>
      <c r="H976">
        <v>274</v>
      </c>
      <c r="I976">
        <v>8.7875209999999995E-2</v>
      </c>
      <c r="J976">
        <v>762</v>
      </c>
      <c r="K976">
        <v>8671.3875279999993</v>
      </c>
      <c r="L976">
        <v>0.85699999999999998</v>
      </c>
      <c r="M976">
        <v>0.59565217400000003</v>
      </c>
      <c r="N976">
        <v>0</v>
      </c>
      <c r="O976" t="s">
        <v>620</v>
      </c>
      <c r="P976">
        <f t="shared" si="137"/>
        <v>12.355384620000001</v>
      </c>
      <c r="Q976">
        <f t="shared" si="138"/>
        <v>1.4999999999999999E-2</v>
      </c>
      <c r="R976">
        <f t="shared" si="139"/>
        <v>1.2999999999999999E-2</v>
      </c>
      <c r="S976">
        <f t="shared" si="140"/>
        <v>0.85699999999999998</v>
      </c>
      <c r="T976">
        <f t="shared" si="141"/>
        <v>3.1333333329999999</v>
      </c>
      <c r="U976">
        <f t="shared" si="142"/>
        <v>7.4148320410000004</v>
      </c>
      <c r="V976">
        <f t="shared" si="143"/>
        <v>6.5000000000000002E-2</v>
      </c>
      <c r="W976">
        <f t="shared" si="144"/>
        <v>9.7000000000000003E-2</v>
      </c>
      <c r="X976">
        <f t="shared" si="145"/>
        <v>0.83899999999999997</v>
      </c>
      <c r="Y976">
        <v>151.1587384</v>
      </c>
      <c r="Z976">
        <v>0</v>
      </c>
      <c r="AA976">
        <v>77808</v>
      </c>
      <c r="AB976">
        <v>27489</v>
      </c>
      <c r="AC976">
        <v>1.1225541E-2</v>
      </c>
      <c r="AD976">
        <v>0.835708267</v>
      </c>
      <c r="AF976">
        <v>12.355384620000001</v>
      </c>
      <c r="AG976">
        <v>1.4999999999999999E-2</v>
      </c>
      <c r="AH976">
        <v>1.2999999999999999E-2</v>
      </c>
      <c r="AI976">
        <v>0.85699999999999998</v>
      </c>
      <c r="AJ976">
        <v>3.1333333329999999</v>
      </c>
      <c r="AK976">
        <v>7.4148320410000004</v>
      </c>
      <c r="AL976">
        <v>6.5000000000000002E-2</v>
      </c>
      <c r="AM976">
        <v>9.7000000000000003E-2</v>
      </c>
      <c r="AN976">
        <v>0.83899999999999997</v>
      </c>
    </row>
    <row r="977" spans="1:40">
      <c r="A977">
        <v>3045</v>
      </c>
      <c r="B977" t="s">
        <v>692</v>
      </c>
      <c r="C977" t="s">
        <v>693</v>
      </c>
      <c r="D977" t="s">
        <v>694</v>
      </c>
      <c r="E977">
        <v>167</v>
      </c>
      <c r="F977">
        <v>588</v>
      </c>
      <c r="G977">
        <v>158.38725969999999</v>
      </c>
      <c r="H977">
        <v>83</v>
      </c>
      <c r="I977">
        <v>0.24758122399999999</v>
      </c>
      <c r="J977">
        <v>671</v>
      </c>
      <c r="K977">
        <v>2710.221677</v>
      </c>
      <c r="L977">
        <v>0.91300000000000003</v>
      </c>
      <c r="M977">
        <v>0.33200000000000002</v>
      </c>
      <c r="N977">
        <v>0</v>
      </c>
      <c r="O977" t="s">
        <v>625</v>
      </c>
      <c r="P977">
        <f t="shared" si="137"/>
        <v>16.952666669999999</v>
      </c>
      <c r="Q977">
        <f t="shared" si="138"/>
        <v>1.2828282828282822E-2</v>
      </c>
      <c r="R977">
        <f t="shared" si="139"/>
        <v>2.1999999999999999E-2</v>
      </c>
      <c r="S977">
        <f t="shared" si="140"/>
        <v>0.91300000000000003</v>
      </c>
      <c r="T977">
        <f t="shared" si="141"/>
        <v>4.6387499999999999</v>
      </c>
      <c r="U977">
        <f t="shared" si="142"/>
        <v>8.2828807950000005</v>
      </c>
      <c r="V977">
        <f t="shared" si="143"/>
        <v>4.2999999999999997E-2</v>
      </c>
      <c r="W977">
        <f t="shared" si="144"/>
        <v>4.7929411764705873E-2</v>
      </c>
      <c r="X977">
        <f t="shared" si="145"/>
        <v>0.95699999999999996</v>
      </c>
      <c r="Y977">
        <v>87.154629940000007</v>
      </c>
      <c r="Z977">
        <v>0</v>
      </c>
      <c r="AA977">
        <v>77808</v>
      </c>
      <c r="AB977">
        <v>27489</v>
      </c>
      <c r="AC977">
        <v>1.1225541E-2</v>
      </c>
      <c r="AD977">
        <v>0.835708267</v>
      </c>
      <c r="AF977">
        <v>16.952666669999999</v>
      </c>
      <c r="AG977">
        <v>0</v>
      </c>
      <c r="AH977">
        <v>2.1999999999999999E-2</v>
      </c>
      <c r="AI977">
        <v>0.91300000000000003</v>
      </c>
      <c r="AJ977">
        <v>4.6387499999999999</v>
      </c>
      <c r="AK977">
        <v>8.2828807950000005</v>
      </c>
      <c r="AL977">
        <v>4.2999999999999997E-2</v>
      </c>
      <c r="AM977">
        <v>0</v>
      </c>
      <c r="AN977">
        <v>0.95699999999999996</v>
      </c>
    </row>
    <row r="978" spans="1:40">
      <c r="A978">
        <v>3046</v>
      </c>
      <c r="B978" t="s">
        <v>689</v>
      </c>
      <c r="C978" t="s">
        <v>687</v>
      </c>
      <c r="D978" t="s">
        <v>688</v>
      </c>
      <c r="E978">
        <v>273</v>
      </c>
      <c r="F978">
        <v>999</v>
      </c>
      <c r="G978">
        <v>88.003776889999997</v>
      </c>
      <c r="H978">
        <v>1143</v>
      </c>
      <c r="I978">
        <v>0.13757016399999999</v>
      </c>
      <c r="J978">
        <v>2142</v>
      </c>
      <c r="K978">
        <v>15570.236580000001</v>
      </c>
      <c r="L978">
        <v>0.80500000000000005</v>
      </c>
      <c r="M978">
        <v>0.80720338999999997</v>
      </c>
      <c r="N978">
        <v>0</v>
      </c>
      <c r="O978" t="s">
        <v>613</v>
      </c>
      <c r="P978">
        <f t="shared" si="137"/>
        <v>14.247049179999999</v>
      </c>
      <c r="Q978">
        <f t="shared" si="138"/>
        <v>5.5E-2</v>
      </c>
      <c r="R978">
        <f t="shared" si="139"/>
        <v>1.4999999999999999E-2</v>
      </c>
      <c r="S978">
        <f t="shared" si="140"/>
        <v>0.80500000000000005</v>
      </c>
      <c r="T978">
        <f t="shared" si="141"/>
        <v>2.6034999999999999</v>
      </c>
      <c r="U978">
        <f t="shared" si="142"/>
        <v>7.1597931030000002</v>
      </c>
      <c r="V978">
        <f t="shared" si="143"/>
        <v>2.5000000000000001E-2</v>
      </c>
      <c r="W978">
        <f t="shared" si="144"/>
        <v>0.16400000000000001</v>
      </c>
      <c r="X978">
        <f t="shared" si="145"/>
        <v>0.75</v>
      </c>
      <c r="Y978">
        <v>79.052158689999999</v>
      </c>
      <c r="Z978">
        <v>0</v>
      </c>
      <c r="AA978">
        <v>454184</v>
      </c>
      <c r="AB978">
        <v>170596</v>
      </c>
      <c r="AC978">
        <v>6.5715274000000004E-2</v>
      </c>
      <c r="AD978">
        <v>0.72549415100000003</v>
      </c>
      <c r="AF978">
        <v>14.247049179999999</v>
      </c>
      <c r="AG978">
        <v>5.5E-2</v>
      </c>
      <c r="AH978">
        <v>1.4999999999999999E-2</v>
      </c>
      <c r="AI978">
        <v>0.80500000000000005</v>
      </c>
      <c r="AJ978">
        <v>2.6034999999999999</v>
      </c>
      <c r="AK978">
        <v>7.1597931030000002</v>
      </c>
      <c r="AL978">
        <v>2.5000000000000001E-2</v>
      </c>
      <c r="AM978">
        <v>0.16400000000000001</v>
      </c>
      <c r="AN978">
        <v>0.75</v>
      </c>
    </row>
    <row r="979" spans="1:40">
      <c r="A979">
        <v>3047</v>
      </c>
      <c r="B979" t="s">
        <v>690</v>
      </c>
      <c r="C979" t="s">
        <v>687</v>
      </c>
      <c r="D979" t="s">
        <v>688</v>
      </c>
      <c r="E979">
        <v>252</v>
      </c>
      <c r="F979">
        <v>531</v>
      </c>
      <c r="G979">
        <v>40.828215319999998</v>
      </c>
      <c r="H979">
        <v>178</v>
      </c>
      <c r="I979">
        <v>6.3822825999999999E-2</v>
      </c>
      <c r="J979">
        <v>709</v>
      </c>
      <c r="K979">
        <v>11108.878189999999</v>
      </c>
      <c r="L979">
        <v>0.76300000000000001</v>
      </c>
      <c r="M979">
        <v>0.41395348799999998</v>
      </c>
      <c r="N979">
        <v>0</v>
      </c>
      <c r="O979" t="s">
        <v>613</v>
      </c>
      <c r="P979">
        <f t="shared" si="137"/>
        <v>12.80315068</v>
      </c>
      <c r="Q979">
        <f t="shared" si="138"/>
        <v>6.5000000000000002E-2</v>
      </c>
      <c r="R979">
        <f t="shared" si="139"/>
        <v>4.7E-2</v>
      </c>
      <c r="S979">
        <f t="shared" si="140"/>
        <v>0.76300000000000001</v>
      </c>
      <c r="T979">
        <f t="shared" si="141"/>
        <v>2.7785000000000002</v>
      </c>
      <c r="U979">
        <f t="shared" si="142"/>
        <v>8.1267823339999996</v>
      </c>
      <c r="V979">
        <f t="shared" si="143"/>
        <v>6.2E-2</v>
      </c>
      <c r="W979">
        <f t="shared" si="144"/>
        <v>0.113</v>
      </c>
      <c r="X979">
        <f t="shared" si="145"/>
        <v>0.753</v>
      </c>
      <c r="Y979">
        <v>131.63409100000001</v>
      </c>
      <c r="Z979">
        <v>0</v>
      </c>
      <c r="AA979">
        <v>82284</v>
      </c>
      <c r="AB979">
        <v>32030</v>
      </c>
      <c r="AC979">
        <v>4.7570397E-2</v>
      </c>
      <c r="AD979">
        <v>0.78974696300000002</v>
      </c>
      <c r="AF979">
        <v>12.80315068</v>
      </c>
      <c r="AG979">
        <v>6.5000000000000002E-2</v>
      </c>
      <c r="AH979">
        <v>4.7E-2</v>
      </c>
      <c r="AI979">
        <v>0.76300000000000001</v>
      </c>
      <c r="AJ979">
        <v>2.7785000000000002</v>
      </c>
      <c r="AK979">
        <v>8.1267823339999996</v>
      </c>
      <c r="AL979">
        <v>6.2E-2</v>
      </c>
      <c r="AM979">
        <v>0.113</v>
      </c>
      <c r="AN979">
        <v>0.753</v>
      </c>
    </row>
    <row r="980" spans="1:40">
      <c r="A980">
        <v>3048</v>
      </c>
      <c r="B980" t="s">
        <v>690</v>
      </c>
      <c r="C980" t="s">
        <v>687</v>
      </c>
      <c r="D980" t="s">
        <v>688</v>
      </c>
      <c r="E980">
        <v>257</v>
      </c>
      <c r="F980">
        <v>564</v>
      </c>
      <c r="G980">
        <v>29.991695180000001</v>
      </c>
      <c r="H980">
        <v>350</v>
      </c>
      <c r="I980">
        <v>4.6883750000000002E-2</v>
      </c>
      <c r="J980">
        <v>914</v>
      </c>
      <c r="K980">
        <v>19495.027590000002</v>
      </c>
      <c r="L980">
        <v>0.77300000000000002</v>
      </c>
      <c r="M980">
        <v>0.57660626000000004</v>
      </c>
      <c r="N980">
        <v>0</v>
      </c>
      <c r="O980" t="s">
        <v>613</v>
      </c>
      <c r="P980">
        <f t="shared" si="137"/>
        <v>12.05627907</v>
      </c>
      <c r="Q980">
        <f t="shared" si="138"/>
        <v>6.5000000000000002E-2</v>
      </c>
      <c r="R980">
        <f t="shared" si="139"/>
        <v>2.3E-2</v>
      </c>
      <c r="S980">
        <f t="shared" si="140"/>
        <v>0.77300000000000002</v>
      </c>
      <c r="T980">
        <f t="shared" si="141"/>
        <v>1.46</v>
      </c>
      <c r="U980">
        <f t="shared" si="142"/>
        <v>6.8942888399999998</v>
      </c>
      <c r="V980">
        <f t="shared" si="143"/>
        <v>2.5000000000000001E-2</v>
      </c>
      <c r="W980">
        <f t="shared" si="144"/>
        <v>0.185</v>
      </c>
      <c r="X980">
        <f t="shared" si="145"/>
        <v>0.72299999999999998</v>
      </c>
      <c r="Y980">
        <v>149.50622530000001</v>
      </c>
      <c r="Z980">
        <v>0</v>
      </c>
      <c r="AA980">
        <v>82284</v>
      </c>
      <c r="AB980">
        <v>32030</v>
      </c>
      <c r="AC980">
        <v>4.7570397E-2</v>
      </c>
      <c r="AD980">
        <v>0.78974696300000002</v>
      </c>
      <c r="AF980">
        <v>12.05627907</v>
      </c>
      <c r="AG980">
        <v>6.5000000000000002E-2</v>
      </c>
      <c r="AH980">
        <v>2.3E-2</v>
      </c>
      <c r="AI980">
        <v>0.77300000000000002</v>
      </c>
      <c r="AJ980">
        <v>1.46</v>
      </c>
      <c r="AK980">
        <v>6.8942888399999998</v>
      </c>
      <c r="AL980">
        <v>2.5000000000000001E-2</v>
      </c>
      <c r="AM980">
        <v>0.185</v>
      </c>
      <c r="AN980">
        <v>0.72299999999999998</v>
      </c>
    </row>
    <row r="981" spans="1:40">
      <c r="A981">
        <v>3049</v>
      </c>
      <c r="B981" t="s">
        <v>683</v>
      </c>
      <c r="C981" t="s">
        <v>684</v>
      </c>
      <c r="D981" t="s">
        <v>685</v>
      </c>
      <c r="E981">
        <v>5</v>
      </c>
      <c r="F981">
        <v>19</v>
      </c>
      <c r="G981">
        <v>231.96892410000001</v>
      </c>
      <c r="H981">
        <v>1932</v>
      </c>
      <c r="I981">
        <v>0.36258631099999999</v>
      </c>
      <c r="J981">
        <v>1951</v>
      </c>
      <c r="K981">
        <v>5380.7878039999996</v>
      </c>
      <c r="L981">
        <v>0.89900000000000002</v>
      </c>
      <c r="M981">
        <v>0.99741868899999997</v>
      </c>
      <c r="N981">
        <v>0</v>
      </c>
      <c r="O981" t="s">
        <v>620</v>
      </c>
      <c r="P981">
        <f t="shared" si="137"/>
        <v>14.866369860000001</v>
      </c>
      <c r="Q981">
        <f t="shared" si="138"/>
        <v>2.7E-2</v>
      </c>
      <c r="R981">
        <f t="shared" si="139"/>
        <v>2.4E-2</v>
      </c>
      <c r="S981">
        <f t="shared" si="140"/>
        <v>0.89900000000000002</v>
      </c>
      <c r="T981">
        <f t="shared" si="141"/>
        <v>2.3596296300000001</v>
      </c>
      <c r="U981">
        <f t="shared" si="142"/>
        <v>9.6420285420000003</v>
      </c>
      <c r="V981">
        <f t="shared" si="143"/>
        <v>2.8000000000000001E-2</v>
      </c>
      <c r="W981">
        <f t="shared" si="144"/>
        <v>6.8000000000000005E-2</v>
      </c>
      <c r="X981">
        <f t="shared" si="145"/>
        <v>0.89800000000000002</v>
      </c>
      <c r="Y981">
        <v>45.116377710000002</v>
      </c>
      <c r="Z981">
        <v>0</v>
      </c>
      <c r="AA981">
        <v>75370</v>
      </c>
      <c r="AB981">
        <v>21403</v>
      </c>
      <c r="AC981">
        <v>2.4597187E-2</v>
      </c>
      <c r="AD981">
        <v>0.84342094400000001</v>
      </c>
      <c r="AF981">
        <v>14.866369860000001</v>
      </c>
      <c r="AG981">
        <v>2.7E-2</v>
      </c>
      <c r="AH981">
        <v>2.4E-2</v>
      </c>
      <c r="AI981">
        <v>0.89900000000000002</v>
      </c>
      <c r="AJ981">
        <v>2.3596296300000001</v>
      </c>
      <c r="AK981">
        <v>9.6420285420000003</v>
      </c>
      <c r="AL981">
        <v>2.8000000000000001E-2</v>
      </c>
      <c r="AM981">
        <v>6.8000000000000005E-2</v>
      </c>
      <c r="AN981">
        <v>0.89800000000000002</v>
      </c>
    </row>
    <row r="982" spans="1:40">
      <c r="A982">
        <v>3050</v>
      </c>
      <c r="B982" t="s">
        <v>691</v>
      </c>
      <c r="C982" t="s">
        <v>684</v>
      </c>
      <c r="D982" t="s">
        <v>685</v>
      </c>
      <c r="E982">
        <v>288</v>
      </c>
      <c r="F982">
        <v>915</v>
      </c>
      <c r="G982">
        <v>93.282834660000006</v>
      </c>
      <c r="H982">
        <v>51</v>
      </c>
      <c r="I982">
        <v>0.14579772399999999</v>
      </c>
      <c r="J982">
        <v>966</v>
      </c>
      <c r="K982">
        <v>6625.6178319999999</v>
      </c>
      <c r="L982">
        <v>0.85399999999999998</v>
      </c>
      <c r="M982">
        <v>0.15044247799999999</v>
      </c>
      <c r="N982">
        <v>0</v>
      </c>
      <c r="O982" t="s">
        <v>620</v>
      </c>
      <c r="P982">
        <f t="shared" si="137"/>
        <v>14.54591398</v>
      </c>
      <c r="Q982">
        <f t="shared" si="138"/>
        <v>2.5000000000000001E-2</v>
      </c>
      <c r="R982">
        <f t="shared" si="139"/>
        <v>1.7000000000000001E-2</v>
      </c>
      <c r="S982">
        <f t="shared" si="140"/>
        <v>0.85399999999999998</v>
      </c>
      <c r="T982">
        <f t="shared" si="141"/>
        <v>2.2170000000000001</v>
      </c>
      <c r="U982">
        <f t="shared" si="142"/>
        <v>8.1853815260000005</v>
      </c>
      <c r="V982">
        <f t="shared" si="143"/>
        <v>3.5151315789473656E-2</v>
      </c>
      <c r="W982">
        <f t="shared" si="144"/>
        <v>0.03</v>
      </c>
      <c r="X982">
        <f t="shared" si="145"/>
        <v>0.93</v>
      </c>
      <c r="Y982">
        <v>107.7350655</v>
      </c>
      <c r="Z982">
        <v>0</v>
      </c>
      <c r="AA982">
        <v>236250</v>
      </c>
      <c r="AB982">
        <v>76158</v>
      </c>
      <c r="AC982">
        <v>1.7652984E-2</v>
      </c>
      <c r="AD982">
        <v>0.84750225300000004</v>
      </c>
      <c r="AF982">
        <v>14.54591398</v>
      </c>
      <c r="AG982">
        <v>2.5000000000000001E-2</v>
      </c>
      <c r="AH982">
        <v>1.7000000000000001E-2</v>
      </c>
      <c r="AI982">
        <v>0.85399999999999998</v>
      </c>
      <c r="AJ982">
        <v>2.2170000000000001</v>
      </c>
      <c r="AK982">
        <v>8.1853815260000005</v>
      </c>
      <c r="AL982">
        <v>0</v>
      </c>
      <c r="AM982">
        <v>0.03</v>
      </c>
      <c r="AN982">
        <v>0.93</v>
      </c>
    </row>
    <row r="983" spans="1:40">
      <c r="A983">
        <v>3051</v>
      </c>
      <c r="B983" t="s">
        <v>692</v>
      </c>
      <c r="C983" t="s">
        <v>693</v>
      </c>
      <c r="D983" t="s">
        <v>694</v>
      </c>
      <c r="E983">
        <v>435</v>
      </c>
      <c r="F983">
        <v>1283</v>
      </c>
      <c r="G983">
        <v>133.6561892</v>
      </c>
      <c r="H983">
        <v>88</v>
      </c>
      <c r="I983">
        <v>0.20891832699999999</v>
      </c>
      <c r="J983">
        <v>1371</v>
      </c>
      <c r="K983">
        <v>6562.3730560000004</v>
      </c>
      <c r="L983">
        <v>0.84299999999999997</v>
      </c>
      <c r="M983">
        <v>0.168260038</v>
      </c>
      <c r="N983">
        <v>0</v>
      </c>
      <c r="O983" t="s">
        <v>620</v>
      </c>
      <c r="P983">
        <f t="shared" si="137"/>
        <v>14.89924731</v>
      </c>
      <c r="Q983">
        <f t="shared" si="138"/>
        <v>6.0000000000000001E-3</v>
      </c>
      <c r="R983">
        <f t="shared" si="139"/>
        <v>2.5999999999999999E-2</v>
      </c>
      <c r="S983">
        <f t="shared" si="140"/>
        <v>0.84299999999999997</v>
      </c>
      <c r="T983">
        <f t="shared" si="141"/>
        <v>2.2865000000000002</v>
      </c>
      <c r="U983">
        <f t="shared" si="142"/>
        <v>6.4534865290000001</v>
      </c>
      <c r="V983">
        <f t="shared" si="143"/>
        <v>2.9000000000000001E-2</v>
      </c>
      <c r="W983">
        <f t="shared" si="144"/>
        <v>3.9E-2</v>
      </c>
      <c r="X983">
        <f t="shared" si="145"/>
        <v>0.91200000000000003</v>
      </c>
      <c r="Y983">
        <v>156.7019895</v>
      </c>
      <c r="Z983">
        <v>0</v>
      </c>
      <c r="AA983">
        <v>77808</v>
      </c>
      <c r="AB983">
        <v>27489</v>
      </c>
      <c r="AC983">
        <v>1.1225541E-2</v>
      </c>
      <c r="AD983">
        <v>0.835708267</v>
      </c>
      <c r="AF983">
        <v>14.89924731</v>
      </c>
      <c r="AG983">
        <v>6.0000000000000001E-3</v>
      </c>
      <c r="AH983">
        <v>2.5999999999999999E-2</v>
      </c>
      <c r="AI983">
        <v>0.84299999999999997</v>
      </c>
      <c r="AJ983">
        <v>2.2865000000000002</v>
      </c>
      <c r="AK983">
        <v>6.4534865290000001</v>
      </c>
      <c r="AL983">
        <v>2.9000000000000001E-2</v>
      </c>
      <c r="AM983">
        <v>3.9E-2</v>
      </c>
      <c r="AN983">
        <v>0.91200000000000003</v>
      </c>
    </row>
    <row r="984" spans="1:40">
      <c r="A984">
        <v>3052</v>
      </c>
      <c r="B984" t="s">
        <v>709</v>
      </c>
      <c r="C984" t="s">
        <v>693</v>
      </c>
      <c r="D984" t="s">
        <v>694</v>
      </c>
      <c r="E984">
        <v>0</v>
      </c>
      <c r="F984">
        <v>14</v>
      </c>
      <c r="G984">
        <v>94.896617359999993</v>
      </c>
      <c r="H984">
        <v>375</v>
      </c>
      <c r="I984">
        <v>0.148322861</v>
      </c>
      <c r="J984">
        <v>389</v>
      </c>
      <c r="K984">
        <v>2622.6570700000002</v>
      </c>
      <c r="L984">
        <v>0.80400000000000005</v>
      </c>
      <c r="M984" s="515">
        <v>1</v>
      </c>
      <c r="N984">
        <v>0</v>
      </c>
      <c r="O984" t="s">
        <v>625</v>
      </c>
      <c r="P984">
        <f t="shared" si="137"/>
        <v>16.782444439999999</v>
      </c>
      <c r="Q984">
        <f t="shared" si="138"/>
        <v>5.0000000000000001E-3</v>
      </c>
      <c r="R984">
        <f t="shared" si="139"/>
        <v>0.03</v>
      </c>
      <c r="S984">
        <f t="shared" si="140"/>
        <v>0.80400000000000005</v>
      </c>
      <c r="T984">
        <f t="shared" si="141"/>
        <v>3.0466666670000002</v>
      </c>
      <c r="U984">
        <f t="shared" si="142"/>
        <v>10.493942649999999</v>
      </c>
      <c r="V984">
        <f t="shared" si="143"/>
        <v>7.4999999999999997E-2</v>
      </c>
      <c r="W984">
        <f t="shared" si="144"/>
        <v>5.1076923076923055E-2</v>
      </c>
      <c r="X984">
        <f t="shared" si="145"/>
        <v>0.84899999999999998</v>
      </c>
      <c r="Y984">
        <v>100.2984163</v>
      </c>
      <c r="Z984">
        <v>0</v>
      </c>
      <c r="AA984">
        <v>56865</v>
      </c>
      <c r="AB984">
        <v>22398</v>
      </c>
      <c r="AC984">
        <v>1.1143686E-2</v>
      </c>
      <c r="AD984">
        <v>0.81944707100000003</v>
      </c>
      <c r="AF984">
        <v>16.782444439999999</v>
      </c>
      <c r="AG984">
        <v>5.0000000000000001E-3</v>
      </c>
      <c r="AH984">
        <v>0.03</v>
      </c>
      <c r="AI984">
        <v>0.80400000000000005</v>
      </c>
      <c r="AJ984">
        <v>3.0466666670000002</v>
      </c>
      <c r="AK984">
        <v>10.493942649999999</v>
      </c>
      <c r="AL984">
        <v>7.4999999999999997E-2</v>
      </c>
      <c r="AM984">
        <v>0</v>
      </c>
      <c r="AN984">
        <v>0.84899999999999998</v>
      </c>
    </row>
    <row r="985" spans="1:40">
      <c r="A985">
        <v>3053</v>
      </c>
      <c r="B985" t="s">
        <v>709</v>
      </c>
      <c r="C985" t="s">
        <v>693</v>
      </c>
      <c r="D985" t="s">
        <v>694</v>
      </c>
      <c r="E985">
        <v>1180</v>
      </c>
      <c r="F985">
        <v>1180</v>
      </c>
      <c r="G985">
        <v>605.72877589999996</v>
      </c>
      <c r="H985">
        <v>25</v>
      </c>
      <c r="I985">
        <v>0.94683401499999997</v>
      </c>
      <c r="J985">
        <v>1205</v>
      </c>
      <c r="K985">
        <v>1272.662347</v>
      </c>
      <c r="L985">
        <v>0.86299999999999999</v>
      </c>
      <c r="M985">
        <v>2.0746888000000002E-2</v>
      </c>
      <c r="N985">
        <v>0</v>
      </c>
      <c r="O985" t="s">
        <v>620</v>
      </c>
      <c r="P985">
        <f t="shared" si="137"/>
        <v>20.202857139999999</v>
      </c>
      <c r="Q985">
        <f t="shared" si="138"/>
        <v>7.0000000000000001E-3</v>
      </c>
      <c r="R985">
        <f t="shared" si="139"/>
        <v>1.0999999999999999E-2</v>
      </c>
      <c r="S985">
        <f t="shared" si="140"/>
        <v>0.86299999999999999</v>
      </c>
      <c r="T985">
        <f t="shared" si="141"/>
        <v>1.744166667</v>
      </c>
      <c r="U985">
        <f t="shared" si="142"/>
        <v>9.0033829789999995</v>
      </c>
      <c r="V985">
        <f t="shared" si="143"/>
        <v>4.6644067796610157E-2</v>
      </c>
      <c r="W985">
        <f t="shared" si="144"/>
        <v>6.6000000000000003E-2</v>
      </c>
      <c r="X985">
        <f t="shared" si="145"/>
        <v>0.91800000000000004</v>
      </c>
      <c r="Y985">
        <v>54.980921240000001</v>
      </c>
      <c r="Z985">
        <v>0</v>
      </c>
      <c r="AA985">
        <v>56865</v>
      </c>
      <c r="AB985">
        <v>22398</v>
      </c>
      <c r="AC985">
        <v>1.1143686E-2</v>
      </c>
      <c r="AD985">
        <v>0.81944707100000003</v>
      </c>
      <c r="AF985">
        <v>20.202857139999999</v>
      </c>
      <c r="AG985">
        <v>7.0000000000000001E-3</v>
      </c>
      <c r="AH985">
        <v>1.0999999999999999E-2</v>
      </c>
      <c r="AI985">
        <v>0.86299999999999999</v>
      </c>
      <c r="AJ985">
        <v>1.744166667</v>
      </c>
      <c r="AK985">
        <v>9.0033829789999995</v>
      </c>
      <c r="AL985">
        <v>0</v>
      </c>
      <c r="AM985">
        <v>6.6000000000000003E-2</v>
      </c>
      <c r="AN985">
        <v>0.91800000000000004</v>
      </c>
    </row>
    <row r="986" spans="1:40">
      <c r="A986">
        <v>3054</v>
      </c>
      <c r="B986" t="s">
        <v>709</v>
      </c>
      <c r="C986" t="s">
        <v>693</v>
      </c>
      <c r="D986" t="s">
        <v>694</v>
      </c>
      <c r="E986">
        <v>330</v>
      </c>
      <c r="F986">
        <v>330</v>
      </c>
      <c r="G986">
        <v>542.316913</v>
      </c>
      <c r="H986">
        <v>0</v>
      </c>
      <c r="I986">
        <v>0.84771641900000005</v>
      </c>
      <c r="J986">
        <v>330</v>
      </c>
      <c r="K986">
        <v>389.28112349999998</v>
      </c>
      <c r="L986">
        <v>0.9</v>
      </c>
      <c r="M986">
        <v>0</v>
      </c>
      <c r="N986">
        <v>0</v>
      </c>
      <c r="O986" t="s">
        <v>625</v>
      </c>
      <c r="P986">
        <f t="shared" si="137"/>
        <v>20.710512820000002</v>
      </c>
      <c r="Q986">
        <f t="shared" si="138"/>
        <v>7.0000000000000001E-3</v>
      </c>
      <c r="R986">
        <f t="shared" si="139"/>
        <v>3.5999999999999997E-2</v>
      </c>
      <c r="S986">
        <f t="shared" si="140"/>
        <v>0.9</v>
      </c>
      <c r="T986">
        <f t="shared" si="141"/>
        <v>4.0810000000000004</v>
      </c>
      <c r="U986">
        <f t="shared" si="142"/>
        <v>9.1654811719999998</v>
      </c>
      <c r="V986">
        <f t="shared" si="143"/>
        <v>4.7E-2</v>
      </c>
      <c r="W986">
        <f t="shared" si="144"/>
        <v>4.7E-2</v>
      </c>
      <c r="X986">
        <f t="shared" si="145"/>
        <v>0.90700000000000003</v>
      </c>
      <c r="Y986">
        <v>22.721050460000001</v>
      </c>
      <c r="Z986">
        <v>0</v>
      </c>
      <c r="AA986">
        <v>56865</v>
      </c>
      <c r="AB986">
        <v>22398</v>
      </c>
      <c r="AC986">
        <v>1.1143686E-2</v>
      </c>
      <c r="AD986">
        <v>0.81944707100000003</v>
      </c>
      <c r="AF986">
        <v>20.710512820000002</v>
      </c>
      <c r="AG986">
        <v>7.0000000000000001E-3</v>
      </c>
      <c r="AH986">
        <v>3.5999999999999997E-2</v>
      </c>
      <c r="AI986">
        <v>0.9</v>
      </c>
      <c r="AJ986">
        <v>4.0810000000000004</v>
      </c>
      <c r="AK986">
        <v>9.1654811719999998</v>
      </c>
      <c r="AL986">
        <v>4.7E-2</v>
      </c>
      <c r="AM986">
        <v>4.7E-2</v>
      </c>
      <c r="AN986">
        <v>0.90700000000000003</v>
      </c>
    </row>
    <row r="987" spans="1:40">
      <c r="A987">
        <v>3055</v>
      </c>
      <c r="B987" t="s">
        <v>698</v>
      </c>
      <c r="C987" t="s">
        <v>693</v>
      </c>
      <c r="D987" t="s">
        <v>694</v>
      </c>
      <c r="E987">
        <v>206</v>
      </c>
      <c r="F987">
        <v>694</v>
      </c>
      <c r="G987">
        <v>40.536729360000002</v>
      </c>
      <c r="H987">
        <v>33</v>
      </c>
      <c r="I987">
        <v>6.3361349999999997E-2</v>
      </c>
      <c r="J987">
        <v>727</v>
      </c>
      <c r="K987">
        <v>11473.87169</v>
      </c>
      <c r="L987">
        <v>0.78</v>
      </c>
      <c r="M987">
        <v>0.138075314</v>
      </c>
      <c r="N987">
        <v>0</v>
      </c>
      <c r="O987" t="s">
        <v>620</v>
      </c>
      <c r="P987">
        <f t="shared" si="137"/>
        <v>17.63156863</v>
      </c>
      <c r="Q987">
        <f t="shared" si="138"/>
        <v>7.0000000000000001E-3</v>
      </c>
      <c r="R987">
        <f t="shared" si="139"/>
        <v>0.01</v>
      </c>
      <c r="S987">
        <f t="shared" si="140"/>
        <v>0.78</v>
      </c>
      <c r="T987">
        <f t="shared" si="141"/>
        <v>2.99</v>
      </c>
      <c r="U987">
        <f t="shared" si="142"/>
        <v>6.990375427</v>
      </c>
      <c r="V987">
        <f t="shared" si="143"/>
        <v>4.0705882352941189E-2</v>
      </c>
      <c r="W987">
        <f t="shared" si="144"/>
        <v>5.2166666666666632E-2</v>
      </c>
      <c r="X987">
        <f t="shared" si="145"/>
        <v>0.92700000000000005</v>
      </c>
      <c r="Y987">
        <v>186.4805929</v>
      </c>
      <c r="Z987">
        <v>0</v>
      </c>
      <c r="AA987">
        <v>88250</v>
      </c>
      <c r="AB987">
        <v>31723</v>
      </c>
      <c r="AC987">
        <v>1.0795895999999999E-2</v>
      </c>
      <c r="AD987">
        <v>0.817760245</v>
      </c>
      <c r="AF987">
        <v>17.63156863</v>
      </c>
      <c r="AG987">
        <v>7.0000000000000001E-3</v>
      </c>
      <c r="AH987">
        <v>0.01</v>
      </c>
      <c r="AI987">
        <v>0.78</v>
      </c>
      <c r="AJ987">
        <v>2.99</v>
      </c>
      <c r="AK987">
        <v>6.990375427</v>
      </c>
      <c r="AL987">
        <v>0</v>
      </c>
      <c r="AM987">
        <v>0</v>
      </c>
      <c r="AN987">
        <v>0.92700000000000005</v>
      </c>
    </row>
    <row r="988" spans="1:40">
      <c r="A988">
        <v>3056</v>
      </c>
      <c r="B988" t="s">
        <v>698</v>
      </c>
      <c r="C988" t="s">
        <v>693</v>
      </c>
      <c r="D988" t="s">
        <v>694</v>
      </c>
      <c r="E988">
        <v>241</v>
      </c>
      <c r="F988">
        <v>814</v>
      </c>
      <c r="G988">
        <v>53.043569589999997</v>
      </c>
      <c r="H988">
        <v>0</v>
      </c>
      <c r="I988">
        <v>8.2915442000000006E-2</v>
      </c>
      <c r="J988">
        <v>814</v>
      </c>
      <c r="K988">
        <v>9817.2304260000001</v>
      </c>
      <c r="L988">
        <v>0.80200000000000005</v>
      </c>
      <c r="M988">
        <v>0</v>
      </c>
      <c r="N988">
        <v>0</v>
      </c>
      <c r="O988" t="s">
        <v>620</v>
      </c>
      <c r="P988">
        <f t="shared" si="137"/>
        <v>14.54076923</v>
      </c>
      <c r="Q988">
        <f t="shared" si="138"/>
        <v>3.4000000000000002E-2</v>
      </c>
      <c r="R988">
        <f t="shared" si="139"/>
        <v>1.0999999999999999E-2</v>
      </c>
      <c r="S988">
        <f t="shared" si="140"/>
        <v>0.80200000000000005</v>
      </c>
      <c r="T988">
        <f t="shared" si="141"/>
        <v>1.3574999999999999</v>
      </c>
      <c r="U988">
        <f t="shared" si="142"/>
        <v>5.8374632350000004</v>
      </c>
      <c r="V988">
        <f t="shared" si="143"/>
        <v>0.04</v>
      </c>
      <c r="W988">
        <f t="shared" si="144"/>
        <v>0.08</v>
      </c>
      <c r="X988">
        <f t="shared" si="145"/>
        <v>0.78</v>
      </c>
      <c r="Y988">
        <v>161.0064735</v>
      </c>
      <c r="Z988">
        <v>0</v>
      </c>
      <c r="AA988">
        <v>88250</v>
      </c>
      <c r="AB988">
        <v>31723</v>
      </c>
      <c r="AC988">
        <v>1.0795895999999999E-2</v>
      </c>
      <c r="AD988">
        <v>0.817760245</v>
      </c>
      <c r="AF988">
        <v>14.54076923</v>
      </c>
      <c r="AG988">
        <v>3.4000000000000002E-2</v>
      </c>
      <c r="AH988">
        <v>1.0999999999999999E-2</v>
      </c>
      <c r="AI988">
        <v>0.80200000000000005</v>
      </c>
      <c r="AJ988">
        <v>1.3574999999999999</v>
      </c>
      <c r="AK988">
        <v>5.8374632350000004</v>
      </c>
      <c r="AL988">
        <v>0.04</v>
      </c>
      <c r="AM988">
        <v>0.08</v>
      </c>
      <c r="AN988">
        <v>0.78</v>
      </c>
    </row>
    <row r="989" spans="1:40">
      <c r="A989">
        <v>3057</v>
      </c>
      <c r="B989" t="s">
        <v>698</v>
      </c>
      <c r="C989" t="s">
        <v>693</v>
      </c>
      <c r="D989" t="s">
        <v>694</v>
      </c>
      <c r="E989">
        <v>384</v>
      </c>
      <c r="F989">
        <v>1210</v>
      </c>
      <c r="G989">
        <v>98.372986920000002</v>
      </c>
      <c r="H989">
        <v>146</v>
      </c>
      <c r="I989">
        <v>0.15376606200000001</v>
      </c>
      <c r="J989">
        <v>1356</v>
      </c>
      <c r="K989">
        <v>8818.5909319999992</v>
      </c>
      <c r="L989">
        <v>0.78</v>
      </c>
      <c r="M989">
        <v>0.27547169799999999</v>
      </c>
      <c r="N989">
        <v>0</v>
      </c>
      <c r="O989" t="s">
        <v>620</v>
      </c>
      <c r="P989">
        <f t="shared" si="137"/>
        <v>16.578278690000001</v>
      </c>
      <c r="Q989">
        <f t="shared" si="138"/>
        <v>8.0000000000000002E-3</v>
      </c>
      <c r="R989">
        <f t="shared" si="139"/>
        <v>1.7000000000000001E-2</v>
      </c>
      <c r="S989">
        <f t="shared" si="140"/>
        <v>0.78</v>
      </c>
      <c r="T989">
        <f t="shared" si="141"/>
        <v>1.6407142859999999</v>
      </c>
      <c r="U989">
        <f t="shared" si="142"/>
        <v>7.1578922350000003</v>
      </c>
      <c r="V989">
        <f t="shared" si="143"/>
        <v>1.4999999999999999E-2</v>
      </c>
      <c r="W989">
        <f t="shared" si="144"/>
        <v>1.4999999999999999E-2</v>
      </c>
      <c r="X989">
        <f t="shared" si="145"/>
        <v>0.91700000000000004</v>
      </c>
      <c r="Y989">
        <v>147.23702650000001</v>
      </c>
      <c r="Z989">
        <v>0</v>
      </c>
      <c r="AA989">
        <v>88250</v>
      </c>
      <c r="AB989">
        <v>31723</v>
      </c>
      <c r="AC989">
        <v>1.0795895999999999E-2</v>
      </c>
      <c r="AD989">
        <v>0.817760245</v>
      </c>
      <c r="AF989">
        <v>16.578278690000001</v>
      </c>
      <c r="AG989">
        <v>8.0000000000000002E-3</v>
      </c>
      <c r="AH989">
        <v>1.7000000000000001E-2</v>
      </c>
      <c r="AI989">
        <v>0.78</v>
      </c>
      <c r="AJ989">
        <v>1.6407142859999999</v>
      </c>
      <c r="AK989">
        <v>7.1578922350000003</v>
      </c>
      <c r="AL989">
        <v>1.4999999999999999E-2</v>
      </c>
      <c r="AM989">
        <v>1.4999999999999999E-2</v>
      </c>
      <c r="AN989">
        <v>0.91700000000000004</v>
      </c>
    </row>
    <row r="990" spans="1:40">
      <c r="A990">
        <v>3058</v>
      </c>
      <c r="B990" t="s">
        <v>689</v>
      </c>
      <c r="C990" t="s">
        <v>687</v>
      </c>
      <c r="D990" t="s">
        <v>688</v>
      </c>
      <c r="E990">
        <v>476</v>
      </c>
      <c r="F990">
        <v>1171</v>
      </c>
      <c r="G990">
        <v>725.54818660000001</v>
      </c>
      <c r="H990">
        <v>666</v>
      </c>
      <c r="I990" s="515">
        <v>1.1341505914188199</v>
      </c>
      <c r="J990">
        <v>1837</v>
      </c>
      <c r="K990">
        <v>1619.7143610000001</v>
      </c>
      <c r="L990">
        <v>0.91300000000000003</v>
      </c>
      <c r="M990">
        <v>0.58318739100000005</v>
      </c>
      <c r="N990">
        <v>0</v>
      </c>
      <c r="O990" t="s">
        <v>625</v>
      </c>
      <c r="P990">
        <f t="shared" si="137"/>
        <v>16.545702479999999</v>
      </c>
      <c r="Q990">
        <f t="shared" si="138"/>
        <v>3.2000000000000001E-2</v>
      </c>
      <c r="R990">
        <f t="shared" si="139"/>
        <v>1.9E-2</v>
      </c>
      <c r="S990">
        <f t="shared" si="140"/>
        <v>0.91300000000000003</v>
      </c>
      <c r="T990">
        <f t="shared" si="141"/>
        <v>3.4431250000000002</v>
      </c>
      <c r="U990">
        <f t="shared" si="142"/>
        <v>9.8812686250000006</v>
      </c>
      <c r="V990">
        <f t="shared" si="143"/>
        <v>1.4999999999999999E-2</v>
      </c>
      <c r="W990">
        <f t="shared" si="144"/>
        <v>8.8999999999999996E-2</v>
      </c>
      <c r="X990">
        <f t="shared" si="145"/>
        <v>0.89600000000000002</v>
      </c>
      <c r="Y990">
        <v>72.421129809999996</v>
      </c>
      <c r="Z990">
        <v>0</v>
      </c>
      <c r="AA990">
        <v>454184</v>
      </c>
      <c r="AB990">
        <v>170596</v>
      </c>
      <c r="AC990">
        <v>6.5715274000000004E-2</v>
      </c>
      <c r="AD990">
        <v>0.72549415100000003</v>
      </c>
      <c r="AF990">
        <v>16.545702479999999</v>
      </c>
      <c r="AG990">
        <v>3.2000000000000001E-2</v>
      </c>
      <c r="AH990">
        <v>1.9E-2</v>
      </c>
      <c r="AI990">
        <v>0.91300000000000003</v>
      </c>
      <c r="AJ990">
        <v>3.4431250000000002</v>
      </c>
      <c r="AK990">
        <v>9.8812686250000006</v>
      </c>
      <c r="AL990">
        <v>1.4999999999999999E-2</v>
      </c>
      <c r="AM990">
        <v>8.8999999999999996E-2</v>
      </c>
      <c r="AN990">
        <v>0.89600000000000002</v>
      </c>
    </row>
    <row r="991" spans="1:40">
      <c r="A991">
        <v>3059</v>
      </c>
      <c r="B991" t="s">
        <v>689</v>
      </c>
      <c r="C991" t="s">
        <v>687</v>
      </c>
      <c r="D991" t="s">
        <v>688</v>
      </c>
      <c r="E991">
        <v>0</v>
      </c>
      <c r="F991">
        <v>325</v>
      </c>
      <c r="G991">
        <v>417.26598710000002</v>
      </c>
      <c r="H991">
        <v>7636</v>
      </c>
      <c r="I991">
        <v>0.65224225599999996</v>
      </c>
      <c r="J991">
        <v>7961</v>
      </c>
      <c r="K991">
        <v>12205.58761</v>
      </c>
      <c r="L991">
        <v>0.89900000000000002</v>
      </c>
      <c r="M991" s="515">
        <v>1</v>
      </c>
      <c r="N991">
        <v>0</v>
      </c>
      <c r="O991" t="s">
        <v>613</v>
      </c>
      <c r="P991">
        <f t="shared" si="137"/>
        <v>14.933617549999999</v>
      </c>
      <c r="Q991">
        <f t="shared" si="138"/>
        <v>1.4999999999999999E-2</v>
      </c>
      <c r="R991">
        <f t="shared" si="139"/>
        <v>2.1000000000000001E-2</v>
      </c>
      <c r="S991">
        <f t="shared" si="140"/>
        <v>0.89900000000000002</v>
      </c>
      <c r="T991">
        <f t="shared" si="141"/>
        <v>2.7016</v>
      </c>
      <c r="U991">
        <f t="shared" si="142"/>
        <v>9.7670362619999995</v>
      </c>
      <c r="V991">
        <f t="shared" si="143"/>
        <v>0.03</v>
      </c>
      <c r="W991">
        <f t="shared" si="144"/>
        <v>0.04</v>
      </c>
      <c r="X991">
        <f t="shared" si="145"/>
        <v>0.92700000000000005</v>
      </c>
      <c r="Y991">
        <v>72.292775739999996</v>
      </c>
      <c r="Z991">
        <v>0</v>
      </c>
      <c r="AA991">
        <v>454184</v>
      </c>
      <c r="AB991">
        <v>170596</v>
      </c>
      <c r="AC991">
        <v>6.5715274000000004E-2</v>
      </c>
      <c r="AD991">
        <v>0.72549415100000003</v>
      </c>
      <c r="AF991">
        <v>14.933617549999999</v>
      </c>
      <c r="AG991">
        <v>1.4999999999999999E-2</v>
      </c>
      <c r="AH991">
        <v>2.1000000000000001E-2</v>
      </c>
      <c r="AI991">
        <v>0.89900000000000002</v>
      </c>
      <c r="AJ991">
        <v>2.7016</v>
      </c>
      <c r="AK991">
        <v>9.7670362619999995</v>
      </c>
      <c r="AL991">
        <v>0.03</v>
      </c>
      <c r="AM991">
        <v>0.04</v>
      </c>
      <c r="AN991">
        <v>0.92700000000000005</v>
      </c>
    </row>
    <row r="992" spans="1:40">
      <c r="A992">
        <v>3060</v>
      </c>
      <c r="B992" t="s">
        <v>698</v>
      </c>
      <c r="C992" t="s">
        <v>693</v>
      </c>
      <c r="D992" t="s">
        <v>694</v>
      </c>
      <c r="E992">
        <v>278</v>
      </c>
      <c r="F992">
        <v>748</v>
      </c>
      <c r="G992">
        <v>100.39516810000001</v>
      </c>
      <c r="H992">
        <v>177</v>
      </c>
      <c r="I992">
        <v>0.156931023</v>
      </c>
      <c r="J992">
        <v>925</v>
      </c>
      <c r="K992">
        <v>5894.3093740000004</v>
      </c>
      <c r="L992">
        <v>0.8</v>
      </c>
      <c r="M992">
        <v>0.38901098899999997</v>
      </c>
      <c r="N992">
        <v>0</v>
      </c>
      <c r="O992" t="s">
        <v>620</v>
      </c>
      <c r="P992">
        <f t="shared" si="137"/>
        <v>18.11767442</v>
      </c>
      <c r="Q992">
        <f t="shared" si="138"/>
        <v>2.8000000000000001E-2</v>
      </c>
      <c r="R992">
        <f t="shared" si="139"/>
        <v>0.02</v>
      </c>
      <c r="S992">
        <f t="shared" si="140"/>
        <v>0.8</v>
      </c>
      <c r="T992">
        <f t="shared" si="141"/>
        <v>2.2092000000000001</v>
      </c>
      <c r="U992">
        <f t="shared" si="142"/>
        <v>5.5465187379999996</v>
      </c>
      <c r="V992">
        <f t="shared" si="143"/>
        <v>2.1000000000000001E-2</v>
      </c>
      <c r="W992">
        <f t="shared" si="144"/>
        <v>6.3E-2</v>
      </c>
      <c r="X992">
        <f t="shared" si="145"/>
        <v>0.90500000000000003</v>
      </c>
      <c r="Y992">
        <v>306.31040730000001</v>
      </c>
      <c r="Z992">
        <v>0</v>
      </c>
      <c r="AA992">
        <v>88250</v>
      </c>
      <c r="AB992">
        <v>31723</v>
      </c>
      <c r="AC992">
        <v>1.0795895999999999E-2</v>
      </c>
      <c r="AD992">
        <v>0.817760245</v>
      </c>
      <c r="AF992">
        <v>18.11767442</v>
      </c>
      <c r="AG992">
        <v>2.8000000000000001E-2</v>
      </c>
      <c r="AH992">
        <v>0.02</v>
      </c>
      <c r="AI992">
        <v>0.8</v>
      </c>
      <c r="AJ992">
        <v>2.2092000000000001</v>
      </c>
      <c r="AK992">
        <v>5.5465187379999996</v>
      </c>
      <c r="AL992">
        <v>2.1000000000000001E-2</v>
      </c>
      <c r="AM992">
        <v>6.3E-2</v>
      </c>
      <c r="AN992">
        <v>0.90500000000000003</v>
      </c>
    </row>
    <row r="993" spans="1:40">
      <c r="A993">
        <v>3061</v>
      </c>
      <c r="B993" t="s">
        <v>692</v>
      </c>
      <c r="C993" t="s">
        <v>693</v>
      </c>
      <c r="D993" t="s">
        <v>694</v>
      </c>
      <c r="E993">
        <v>36</v>
      </c>
      <c r="F993">
        <v>80</v>
      </c>
      <c r="G993">
        <v>284.2118289</v>
      </c>
      <c r="H993">
        <v>1531</v>
      </c>
      <c r="I993">
        <v>0.44425384400000001</v>
      </c>
      <c r="J993">
        <v>1611</v>
      </c>
      <c r="K993">
        <v>3626.3051449999998</v>
      </c>
      <c r="L993">
        <v>0.91800000000000004</v>
      </c>
      <c r="M993">
        <v>0.97702616499999995</v>
      </c>
      <c r="N993">
        <v>1</v>
      </c>
      <c r="O993" t="s">
        <v>620</v>
      </c>
      <c r="P993">
        <f t="shared" si="137"/>
        <v>18.156229509999999</v>
      </c>
      <c r="Q993">
        <f t="shared" si="138"/>
        <v>1E-3</v>
      </c>
      <c r="R993">
        <f t="shared" si="139"/>
        <v>1.6E-2</v>
      </c>
      <c r="S993">
        <f t="shared" si="140"/>
        <v>0.91800000000000004</v>
      </c>
      <c r="T993">
        <f t="shared" si="141"/>
        <v>2.6516666670000002</v>
      </c>
      <c r="U993">
        <f t="shared" si="142"/>
        <v>11.2776259</v>
      </c>
      <c r="V993">
        <f t="shared" si="143"/>
        <v>3.5000000000000003E-2</v>
      </c>
      <c r="W993">
        <f t="shared" si="144"/>
        <v>4.7929411764705873E-2</v>
      </c>
      <c r="X993">
        <f t="shared" si="145"/>
        <v>0.94199999999999995</v>
      </c>
      <c r="Y993">
        <v>83.932874330000004</v>
      </c>
      <c r="Z993">
        <v>0</v>
      </c>
      <c r="AA993">
        <v>77808</v>
      </c>
      <c r="AB993">
        <v>27489</v>
      </c>
      <c r="AC993">
        <v>1.1225541E-2</v>
      </c>
      <c r="AD993">
        <v>0.835708267</v>
      </c>
      <c r="AF993">
        <v>18.156229509999999</v>
      </c>
      <c r="AG993">
        <v>1E-3</v>
      </c>
      <c r="AH993">
        <v>1.6E-2</v>
      </c>
      <c r="AI993">
        <v>0.91800000000000004</v>
      </c>
      <c r="AJ993">
        <v>2.6516666670000002</v>
      </c>
      <c r="AK993">
        <v>11.2776259</v>
      </c>
      <c r="AL993">
        <v>3.5000000000000003E-2</v>
      </c>
      <c r="AM993">
        <v>0</v>
      </c>
      <c r="AN993">
        <v>0.94199999999999995</v>
      </c>
    </row>
    <row r="994" spans="1:40">
      <c r="A994">
        <v>3062</v>
      </c>
      <c r="B994" t="s">
        <v>692</v>
      </c>
      <c r="C994" t="s">
        <v>693</v>
      </c>
      <c r="D994" t="s">
        <v>694</v>
      </c>
      <c r="E994">
        <v>256</v>
      </c>
      <c r="F994">
        <v>722</v>
      </c>
      <c r="G994">
        <v>148.6970905</v>
      </c>
      <c r="H994">
        <v>934</v>
      </c>
      <c r="I994">
        <v>0.23243023900000001</v>
      </c>
      <c r="J994">
        <v>1656</v>
      </c>
      <c r="K994">
        <v>7124.718398</v>
      </c>
      <c r="L994">
        <v>0.83099999999999996</v>
      </c>
      <c r="M994">
        <v>0.78487395000000004</v>
      </c>
      <c r="N994">
        <v>0</v>
      </c>
      <c r="O994" t="s">
        <v>620</v>
      </c>
      <c r="P994">
        <f t="shared" si="137"/>
        <v>16.90323944</v>
      </c>
      <c r="Q994">
        <f t="shared" si="138"/>
        <v>1.4999999999999999E-2</v>
      </c>
      <c r="R994">
        <f t="shared" si="139"/>
        <v>1.2E-2</v>
      </c>
      <c r="S994">
        <f t="shared" si="140"/>
        <v>0.83099999999999996</v>
      </c>
      <c r="T994">
        <f t="shared" si="141"/>
        <v>1.1976470589999999</v>
      </c>
      <c r="U994">
        <f t="shared" si="142"/>
        <v>9.4055855860000008</v>
      </c>
      <c r="V994">
        <f t="shared" si="143"/>
        <v>8.0000000000000002E-3</v>
      </c>
      <c r="W994">
        <f t="shared" si="144"/>
        <v>3.7999999999999999E-2</v>
      </c>
      <c r="X994">
        <f t="shared" si="145"/>
        <v>0.90300000000000002</v>
      </c>
      <c r="Y994">
        <v>131.24825240000001</v>
      </c>
      <c r="Z994">
        <v>0</v>
      </c>
      <c r="AA994">
        <v>77808</v>
      </c>
      <c r="AB994">
        <v>27489</v>
      </c>
      <c r="AC994">
        <v>1.1225541E-2</v>
      </c>
      <c r="AD994">
        <v>0.835708267</v>
      </c>
      <c r="AF994">
        <v>16.90323944</v>
      </c>
      <c r="AG994">
        <v>1.4999999999999999E-2</v>
      </c>
      <c r="AH994">
        <v>1.2E-2</v>
      </c>
      <c r="AI994">
        <v>0.83099999999999996</v>
      </c>
      <c r="AJ994">
        <v>1.1976470589999999</v>
      </c>
      <c r="AK994">
        <v>9.4055855860000008</v>
      </c>
      <c r="AL994">
        <v>8.0000000000000002E-3</v>
      </c>
      <c r="AM994">
        <v>3.7999999999999999E-2</v>
      </c>
      <c r="AN994">
        <v>0.90300000000000002</v>
      </c>
    </row>
    <row r="995" spans="1:40">
      <c r="A995">
        <v>3063</v>
      </c>
      <c r="B995" t="s">
        <v>709</v>
      </c>
      <c r="C995" t="s">
        <v>693</v>
      </c>
      <c r="D995" t="s">
        <v>694</v>
      </c>
      <c r="E995">
        <v>0</v>
      </c>
      <c r="F995">
        <v>326</v>
      </c>
      <c r="G995">
        <v>59.714166319999997</v>
      </c>
      <c r="H995">
        <v>1440</v>
      </c>
      <c r="I995">
        <v>9.3335295999999998E-2</v>
      </c>
      <c r="J995">
        <v>1766</v>
      </c>
      <c r="K995">
        <v>18921.03069</v>
      </c>
      <c r="L995">
        <v>0.89800000000000002</v>
      </c>
      <c r="M995" s="515">
        <v>1</v>
      </c>
      <c r="N995">
        <v>0</v>
      </c>
      <c r="O995" t="s">
        <v>620</v>
      </c>
      <c r="P995">
        <f t="shared" si="137"/>
        <v>16.586585370000002</v>
      </c>
      <c r="Q995">
        <f t="shared" si="138"/>
        <v>1.4999999999999999E-2</v>
      </c>
      <c r="R995">
        <f t="shared" si="139"/>
        <v>1.2E-2</v>
      </c>
      <c r="S995">
        <f t="shared" si="140"/>
        <v>0.89800000000000002</v>
      </c>
      <c r="T995">
        <f t="shared" si="141"/>
        <v>3.081428571</v>
      </c>
      <c r="U995">
        <f t="shared" si="142"/>
        <v>9.6033269600000004</v>
      </c>
      <c r="V995">
        <f t="shared" si="143"/>
        <v>3.5999999999999997E-2</v>
      </c>
      <c r="W995">
        <f t="shared" si="144"/>
        <v>3.2000000000000001E-2</v>
      </c>
      <c r="X995">
        <f t="shared" si="145"/>
        <v>0.88500000000000001</v>
      </c>
      <c r="Y995">
        <v>79.19517184</v>
      </c>
      <c r="Z995">
        <v>0</v>
      </c>
      <c r="AA995">
        <v>56865</v>
      </c>
      <c r="AB995">
        <v>22398</v>
      </c>
      <c r="AC995">
        <v>1.1143686E-2</v>
      </c>
      <c r="AD995">
        <v>0.81944707100000003</v>
      </c>
      <c r="AF995">
        <v>16.586585370000002</v>
      </c>
      <c r="AG995">
        <v>1.4999999999999999E-2</v>
      </c>
      <c r="AH995">
        <v>1.2E-2</v>
      </c>
      <c r="AI995">
        <v>0.89800000000000002</v>
      </c>
      <c r="AJ995">
        <v>3.081428571</v>
      </c>
      <c r="AK995">
        <v>9.6033269600000004</v>
      </c>
      <c r="AL995">
        <v>3.5999999999999997E-2</v>
      </c>
      <c r="AM995">
        <v>3.2000000000000001E-2</v>
      </c>
      <c r="AN995">
        <v>0.88500000000000001</v>
      </c>
    </row>
    <row r="996" spans="1:40">
      <c r="A996">
        <v>3064</v>
      </c>
      <c r="B996" t="s">
        <v>689</v>
      </c>
      <c r="C996" t="s">
        <v>687</v>
      </c>
      <c r="D996" t="s">
        <v>688</v>
      </c>
      <c r="E996">
        <v>149</v>
      </c>
      <c r="F996">
        <v>1311</v>
      </c>
      <c r="G996">
        <v>88.554544989999997</v>
      </c>
      <c r="H996">
        <v>1144</v>
      </c>
      <c r="I996">
        <v>0.13842232400000001</v>
      </c>
      <c r="J996">
        <v>2455</v>
      </c>
      <c r="K996">
        <v>17735.578549999998</v>
      </c>
      <c r="L996">
        <v>0.77800000000000002</v>
      </c>
      <c r="M996">
        <v>0.88476411399999999</v>
      </c>
      <c r="N996">
        <v>0</v>
      </c>
      <c r="O996" t="s">
        <v>606</v>
      </c>
      <c r="P996">
        <f t="shared" si="137"/>
        <v>10.922452829999999</v>
      </c>
      <c r="Q996">
        <f t="shared" si="138"/>
        <v>7.4999999999999997E-2</v>
      </c>
      <c r="R996">
        <f t="shared" si="139"/>
        <v>2.3E-2</v>
      </c>
      <c r="S996">
        <f t="shared" si="140"/>
        <v>0.77800000000000002</v>
      </c>
      <c r="T996">
        <f t="shared" si="141"/>
        <v>2.259761905</v>
      </c>
      <c r="U996">
        <f t="shared" si="142"/>
        <v>5.9809883719999997</v>
      </c>
      <c r="V996">
        <f t="shared" si="143"/>
        <v>5.8000000000000003E-2</v>
      </c>
      <c r="W996">
        <f t="shared" si="144"/>
        <v>0.186</v>
      </c>
      <c r="X996">
        <f t="shared" si="145"/>
        <v>0.68200000000000005</v>
      </c>
      <c r="Y996">
        <v>55.680177020000002</v>
      </c>
      <c r="Z996">
        <v>0</v>
      </c>
      <c r="AA996">
        <v>454184</v>
      </c>
      <c r="AB996">
        <v>170596</v>
      </c>
      <c r="AC996">
        <v>6.5715274000000004E-2</v>
      </c>
      <c r="AD996">
        <v>0.72549415100000003</v>
      </c>
      <c r="AF996">
        <v>10.922452829999999</v>
      </c>
      <c r="AG996">
        <v>7.4999999999999997E-2</v>
      </c>
      <c r="AH996">
        <v>2.3E-2</v>
      </c>
      <c r="AI996">
        <v>0.77800000000000002</v>
      </c>
      <c r="AJ996">
        <v>2.259761905</v>
      </c>
      <c r="AK996">
        <v>5.9809883719999997</v>
      </c>
      <c r="AL996">
        <v>5.8000000000000003E-2</v>
      </c>
      <c r="AM996">
        <v>0.186</v>
      </c>
      <c r="AN996">
        <v>0.68200000000000005</v>
      </c>
    </row>
    <row r="997" spans="1:40">
      <c r="A997">
        <v>3065</v>
      </c>
      <c r="B997" t="s">
        <v>698</v>
      </c>
      <c r="C997" t="s">
        <v>693</v>
      </c>
      <c r="D997" t="s">
        <v>694</v>
      </c>
      <c r="E997">
        <v>423</v>
      </c>
      <c r="F997">
        <v>1340</v>
      </c>
      <c r="G997">
        <v>216.99525629999999</v>
      </c>
      <c r="H997">
        <v>17</v>
      </c>
      <c r="I997">
        <v>0.33918533099999998</v>
      </c>
      <c r="J997">
        <v>1357</v>
      </c>
      <c r="K997">
        <v>4000.762639</v>
      </c>
      <c r="L997">
        <v>0.83099999999999996</v>
      </c>
      <c r="M997">
        <v>3.8636363999999999E-2</v>
      </c>
      <c r="N997">
        <v>0</v>
      </c>
      <c r="O997" t="s">
        <v>625</v>
      </c>
      <c r="P997">
        <f t="shared" si="137"/>
        <v>19.693999999999999</v>
      </c>
      <c r="Q997">
        <f t="shared" si="138"/>
        <v>0.01</v>
      </c>
      <c r="R997">
        <f t="shared" si="139"/>
        <v>1.7000000000000001E-2</v>
      </c>
      <c r="S997">
        <f t="shared" si="140"/>
        <v>0.83099999999999996</v>
      </c>
      <c r="T997">
        <f t="shared" si="141"/>
        <v>1.660833333</v>
      </c>
      <c r="U997">
        <f t="shared" si="142"/>
        <v>8.1055846420000002</v>
      </c>
      <c r="V997">
        <f t="shared" si="143"/>
        <v>0.01</v>
      </c>
      <c r="W997">
        <f t="shared" si="144"/>
        <v>3.7999999999999999E-2</v>
      </c>
      <c r="X997">
        <f t="shared" si="145"/>
        <v>0.95199999999999996</v>
      </c>
      <c r="Y997">
        <v>104.94150279999999</v>
      </c>
      <c r="Z997">
        <v>0</v>
      </c>
      <c r="AA997">
        <v>88250</v>
      </c>
      <c r="AB997">
        <v>31723</v>
      </c>
      <c r="AC997">
        <v>1.0795895999999999E-2</v>
      </c>
      <c r="AD997">
        <v>0.817760245</v>
      </c>
      <c r="AF997">
        <v>19.693999999999999</v>
      </c>
      <c r="AG997">
        <v>0.01</v>
      </c>
      <c r="AH997">
        <v>1.7000000000000001E-2</v>
      </c>
      <c r="AI997">
        <v>0.83099999999999996</v>
      </c>
      <c r="AJ997">
        <v>1.660833333</v>
      </c>
      <c r="AK997">
        <v>8.1055846420000002</v>
      </c>
      <c r="AL997">
        <v>0.01</v>
      </c>
      <c r="AM997">
        <v>3.7999999999999999E-2</v>
      </c>
      <c r="AN997">
        <v>0.95199999999999996</v>
      </c>
    </row>
    <row r="998" spans="1:40">
      <c r="A998">
        <v>3066</v>
      </c>
      <c r="B998" t="s">
        <v>709</v>
      </c>
      <c r="C998" t="s">
        <v>693</v>
      </c>
      <c r="D998" t="s">
        <v>694</v>
      </c>
      <c r="E998">
        <v>637</v>
      </c>
      <c r="F998">
        <v>1971</v>
      </c>
      <c r="G998">
        <v>159.75929719999999</v>
      </c>
      <c r="H998">
        <v>48</v>
      </c>
      <c r="I998">
        <v>0.24973345399999999</v>
      </c>
      <c r="J998">
        <v>2019</v>
      </c>
      <c r="K998">
        <v>8084.6196920000002</v>
      </c>
      <c r="L998">
        <v>0.72799999999999998</v>
      </c>
      <c r="M998">
        <v>7.0072993E-2</v>
      </c>
      <c r="N998">
        <v>0</v>
      </c>
      <c r="O998" t="s">
        <v>620</v>
      </c>
      <c r="P998">
        <f t="shared" si="137"/>
        <v>11.304869569999999</v>
      </c>
      <c r="Q998">
        <f t="shared" si="138"/>
        <v>8.0000000000000002E-3</v>
      </c>
      <c r="R998">
        <f t="shared" si="139"/>
        <v>3.5000000000000003E-2</v>
      </c>
      <c r="S998">
        <f t="shared" si="140"/>
        <v>0.72799999999999998</v>
      </c>
      <c r="T998">
        <f t="shared" si="141"/>
        <v>1.7189130429999999</v>
      </c>
      <c r="U998">
        <f t="shared" si="142"/>
        <v>6.593254054</v>
      </c>
      <c r="V998">
        <f t="shared" si="143"/>
        <v>0.06</v>
      </c>
      <c r="W998">
        <f t="shared" si="144"/>
        <v>7.4999999999999997E-2</v>
      </c>
      <c r="X998">
        <f t="shared" si="145"/>
        <v>0.85799999999999998</v>
      </c>
      <c r="Y998">
        <v>125.5482502</v>
      </c>
      <c r="Z998">
        <v>0</v>
      </c>
      <c r="AA998">
        <v>56865</v>
      </c>
      <c r="AB998">
        <v>22398</v>
      </c>
      <c r="AC998">
        <v>1.1143686E-2</v>
      </c>
      <c r="AD998">
        <v>0.81944707100000003</v>
      </c>
      <c r="AF998">
        <v>11.304869569999999</v>
      </c>
      <c r="AG998">
        <v>8.0000000000000002E-3</v>
      </c>
      <c r="AH998">
        <v>3.5000000000000003E-2</v>
      </c>
      <c r="AI998">
        <v>0.72799999999999998</v>
      </c>
      <c r="AJ998">
        <v>1.7189130429999999</v>
      </c>
      <c r="AK998">
        <v>6.593254054</v>
      </c>
      <c r="AL998">
        <v>0.06</v>
      </c>
      <c r="AM998">
        <v>7.4999999999999997E-2</v>
      </c>
      <c r="AN998">
        <v>0.85799999999999998</v>
      </c>
    </row>
    <row r="999" spans="1:40">
      <c r="A999">
        <v>3067</v>
      </c>
      <c r="B999" t="s">
        <v>689</v>
      </c>
      <c r="C999" t="s">
        <v>687</v>
      </c>
      <c r="D999" t="s">
        <v>688</v>
      </c>
      <c r="E999">
        <v>257</v>
      </c>
      <c r="F999">
        <v>613</v>
      </c>
      <c r="G999">
        <v>28.100062730000001</v>
      </c>
      <c r="H999">
        <v>74</v>
      </c>
      <c r="I999">
        <v>4.3928638999999998E-2</v>
      </c>
      <c r="J999">
        <v>687</v>
      </c>
      <c r="K999">
        <v>15639.000330000001</v>
      </c>
      <c r="L999">
        <v>0.63100000000000001</v>
      </c>
      <c r="M999">
        <v>0.22356495500000001</v>
      </c>
      <c r="N999">
        <v>0</v>
      </c>
      <c r="O999" t="s">
        <v>613</v>
      </c>
      <c r="P999">
        <f t="shared" si="137"/>
        <v>10.12761905</v>
      </c>
      <c r="Q999">
        <f t="shared" si="138"/>
        <v>9.8000000000000004E-2</v>
      </c>
      <c r="R999">
        <f t="shared" si="139"/>
        <v>6.2E-2</v>
      </c>
      <c r="S999">
        <f t="shared" si="140"/>
        <v>0.63100000000000001</v>
      </c>
      <c r="T999">
        <f t="shared" si="141"/>
        <v>1.9211538459999999</v>
      </c>
      <c r="U999">
        <f t="shared" si="142"/>
        <v>5.0280314959999997</v>
      </c>
      <c r="V999">
        <f t="shared" si="143"/>
        <v>0.13500000000000001</v>
      </c>
      <c r="W999">
        <f t="shared" si="144"/>
        <v>0.29199999999999998</v>
      </c>
      <c r="X999">
        <f t="shared" si="145"/>
        <v>0.47199999999999998</v>
      </c>
      <c r="Y999">
        <v>154.5641645</v>
      </c>
      <c r="Z999">
        <v>0</v>
      </c>
      <c r="AA999">
        <v>454184</v>
      </c>
      <c r="AB999">
        <v>170596</v>
      </c>
      <c r="AC999">
        <v>6.5715274000000004E-2</v>
      </c>
      <c r="AD999">
        <v>0.72549415100000003</v>
      </c>
      <c r="AF999">
        <v>10.12761905</v>
      </c>
      <c r="AG999">
        <v>9.8000000000000004E-2</v>
      </c>
      <c r="AH999">
        <v>6.2E-2</v>
      </c>
      <c r="AI999">
        <v>0.63100000000000001</v>
      </c>
      <c r="AJ999">
        <v>1.9211538459999999</v>
      </c>
      <c r="AK999">
        <v>5.0280314959999997</v>
      </c>
      <c r="AL999">
        <v>0.13500000000000001</v>
      </c>
      <c r="AM999">
        <v>0.29199999999999998</v>
      </c>
      <c r="AN999">
        <v>0.47199999999999998</v>
      </c>
    </row>
    <row r="1000" spans="1:40">
      <c r="A1000">
        <v>3068</v>
      </c>
      <c r="B1000" t="s">
        <v>691</v>
      </c>
      <c r="C1000" t="s">
        <v>684</v>
      </c>
      <c r="D1000" t="s">
        <v>685</v>
      </c>
      <c r="E1000">
        <v>349</v>
      </c>
      <c r="F1000">
        <v>1013</v>
      </c>
      <c r="G1000">
        <v>118.21426460000001</v>
      </c>
      <c r="H1000">
        <v>246</v>
      </c>
      <c r="I1000">
        <v>0.184779887</v>
      </c>
      <c r="J1000">
        <v>1259</v>
      </c>
      <c r="K1000">
        <v>6813.5121220000001</v>
      </c>
      <c r="L1000">
        <v>0.874</v>
      </c>
      <c r="M1000">
        <v>0.41344537799999997</v>
      </c>
      <c r="N1000">
        <v>0</v>
      </c>
      <c r="O1000" t="s">
        <v>620</v>
      </c>
      <c r="P1000">
        <f t="shared" si="137"/>
        <v>12.37066667</v>
      </c>
      <c r="Q1000">
        <f t="shared" si="138"/>
        <v>6.0000000000000001E-3</v>
      </c>
      <c r="R1000">
        <f t="shared" si="139"/>
        <v>1.6E-2</v>
      </c>
      <c r="S1000">
        <f t="shared" si="140"/>
        <v>0.874</v>
      </c>
      <c r="T1000">
        <f t="shared" si="141"/>
        <v>2.183125</v>
      </c>
      <c r="U1000">
        <f t="shared" si="142"/>
        <v>6.7130725619999998</v>
      </c>
      <c r="V1000">
        <f t="shared" si="143"/>
        <v>2.7E-2</v>
      </c>
      <c r="W1000">
        <f t="shared" si="144"/>
        <v>0.04</v>
      </c>
      <c r="X1000">
        <f t="shared" si="145"/>
        <v>0.9</v>
      </c>
      <c r="Y1000">
        <v>104.76441920000001</v>
      </c>
      <c r="Z1000">
        <v>0</v>
      </c>
      <c r="AA1000">
        <v>236250</v>
      </c>
      <c r="AB1000">
        <v>76158</v>
      </c>
      <c r="AC1000">
        <v>1.7652984E-2</v>
      </c>
      <c r="AD1000">
        <v>0.84750225300000004</v>
      </c>
      <c r="AF1000">
        <v>12.37066667</v>
      </c>
      <c r="AG1000">
        <v>6.0000000000000001E-3</v>
      </c>
      <c r="AH1000">
        <v>1.6E-2</v>
      </c>
      <c r="AI1000">
        <v>0.874</v>
      </c>
      <c r="AJ1000">
        <v>2.183125</v>
      </c>
      <c r="AK1000">
        <v>6.7130725619999998</v>
      </c>
      <c r="AL1000">
        <v>2.7E-2</v>
      </c>
      <c r="AM1000">
        <v>0.04</v>
      </c>
      <c r="AN1000">
        <v>0.9</v>
      </c>
    </row>
    <row r="1001" spans="1:40">
      <c r="A1001">
        <v>3069</v>
      </c>
      <c r="B1001" t="s">
        <v>703</v>
      </c>
      <c r="C1001" t="s">
        <v>696</v>
      </c>
      <c r="D1001" t="s">
        <v>697</v>
      </c>
      <c r="E1001">
        <v>413</v>
      </c>
      <c r="F1001">
        <v>1363</v>
      </c>
      <c r="G1001">
        <v>114.36265059999999</v>
      </c>
      <c r="H1001">
        <v>57</v>
      </c>
      <c r="I1001">
        <v>0.17876716200000001</v>
      </c>
      <c r="J1001">
        <v>1420</v>
      </c>
      <c r="K1001">
        <v>7943.2932989999999</v>
      </c>
      <c r="L1001">
        <v>0.82899999999999996</v>
      </c>
      <c r="M1001">
        <v>0.121276596</v>
      </c>
      <c r="N1001">
        <v>0</v>
      </c>
      <c r="O1001" t="s">
        <v>620</v>
      </c>
      <c r="P1001">
        <f t="shared" si="137"/>
        <v>14.64932773</v>
      </c>
      <c r="Q1001">
        <f t="shared" si="138"/>
        <v>4.1000000000000002E-2</v>
      </c>
      <c r="R1001">
        <f t="shared" si="139"/>
        <v>2.1000000000000001E-2</v>
      </c>
      <c r="S1001">
        <f t="shared" si="140"/>
        <v>0.82899999999999996</v>
      </c>
      <c r="T1001">
        <f t="shared" si="141"/>
        <v>1.665882353</v>
      </c>
      <c r="U1001">
        <f t="shared" si="142"/>
        <v>8.3774355079999996</v>
      </c>
      <c r="V1001">
        <f t="shared" si="143"/>
        <v>3.9E-2</v>
      </c>
      <c r="W1001">
        <f t="shared" si="144"/>
        <v>0.183</v>
      </c>
      <c r="X1001">
        <f t="shared" si="145"/>
        <v>0.77800000000000002</v>
      </c>
      <c r="Y1001">
        <v>300.83409369999998</v>
      </c>
      <c r="Z1001">
        <v>0</v>
      </c>
      <c r="AA1001">
        <v>27567</v>
      </c>
      <c r="AB1001">
        <v>8371</v>
      </c>
      <c r="AC1001">
        <v>2.6639960000000001E-2</v>
      </c>
      <c r="AD1001">
        <v>0.83875813700000001</v>
      </c>
      <c r="AF1001">
        <v>14.64932773</v>
      </c>
      <c r="AG1001">
        <v>4.1000000000000002E-2</v>
      </c>
      <c r="AH1001">
        <v>2.1000000000000001E-2</v>
      </c>
      <c r="AI1001">
        <v>0.82899999999999996</v>
      </c>
      <c r="AJ1001">
        <v>1.665882353</v>
      </c>
      <c r="AK1001">
        <v>8.3774355079999996</v>
      </c>
      <c r="AL1001">
        <v>3.9E-2</v>
      </c>
      <c r="AM1001">
        <v>0.183</v>
      </c>
      <c r="AN1001">
        <v>0.77800000000000002</v>
      </c>
    </row>
    <row r="1002" spans="1:40">
      <c r="A1002">
        <v>3070</v>
      </c>
      <c r="B1002" t="s">
        <v>689</v>
      </c>
      <c r="C1002" t="s">
        <v>687</v>
      </c>
      <c r="D1002" t="s">
        <v>688</v>
      </c>
      <c r="E1002">
        <v>36</v>
      </c>
      <c r="F1002">
        <v>133</v>
      </c>
      <c r="G1002">
        <v>34.279623690000001</v>
      </c>
      <c r="H1002">
        <v>1</v>
      </c>
      <c r="I1002">
        <v>5.3583743000000003E-2</v>
      </c>
      <c r="J1002">
        <v>134</v>
      </c>
      <c r="K1002">
        <v>2500.7584860000002</v>
      </c>
      <c r="L1002">
        <v>0.64700000000000002</v>
      </c>
      <c r="M1002">
        <v>2.7027026999999999E-2</v>
      </c>
      <c r="N1002">
        <v>1</v>
      </c>
      <c r="O1002" t="s">
        <v>613</v>
      </c>
      <c r="P1002">
        <f t="shared" si="137"/>
        <v>14.60266667</v>
      </c>
      <c r="Q1002">
        <f t="shared" si="138"/>
        <v>6.4000000000000001E-2</v>
      </c>
      <c r="R1002">
        <f t="shared" si="139"/>
        <v>8.0000000000000002E-3</v>
      </c>
      <c r="S1002">
        <f t="shared" si="140"/>
        <v>0.64700000000000002</v>
      </c>
      <c r="T1002">
        <f t="shared" si="141"/>
        <v>3.12</v>
      </c>
      <c r="U1002">
        <f t="shared" si="142"/>
        <v>5.8931410260000003</v>
      </c>
      <c r="V1002">
        <f t="shared" si="143"/>
        <v>0.08</v>
      </c>
      <c r="W1002">
        <f t="shared" si="144"/>
        <v>0.16</v>
      </c>
      <c r="X1002">
        <f t="shared" si="145"/>
        <v>0.6</v>
      </c>
      <c r="Y1002">
        <v>203.76385440000001</v>
      </c>
      <c r="Z1002">
        <v>0</v>
      </c>
      <c r="AA1002">
        <v>454184</v>
      </c>
      <c r="AB1002">
        <v>170596</v>
      </c>
      <c r="AC1002">
        <v>6.5715274000000004E-2</v>
      </c>
      <c r="AD1002">
        <v>0.72549415100000003</v>
      </c>
      <c r="AF1002">
        <v>14.60266667</v>
      </c>
      <c r="AG1002">
        <v>6.4000000000000001E-2</v>
      </c>
      <c r="AH1002">
        <v>8.0000000000000002E-3</v>
      </c>
      <c r="AI1002">
        <v>0.64700000000000002</v>
      </c>
      <c r="AJ1002">
        <v>3.12</v>
      </c>
      <c r="AK1002">
        <v>5.8931410260000003</v>
      </c>
      <c r="AL1002">
        <v>0.08</v>
      </c>
      <c r="AM1002">
        <v>0.16</v>
      </c>
      <c r="AN1002">
        <v>0.6</v>
      </c>
    </row>
    <row r="1003" spans="1:40">
      <c r="A1003">
        <v>3071</v>
      </c>
      <c r="B1003" t="s">
        <v>702</v>
      </c>
      <c r="C1003" t="s">
        <v>696</v>
      </c>
      <c r="D1003" t="s">
        <v>697</v>
      </c>
      <c r="E1003">
        <v>247</v>
      </c>
      <c r="F1003">
        <v>700</v>
      </c>
      <c r="G1003">
        <v>79.552987950000002</v>
      </c>
      <c r="H1003">
        <v>321</v>
      </c>
      <c r="I1003">
        <v>0.12435265700000001</v>
      </c>
      <c r="J1003">
        <v>1021</v>
      </c>
      <c r="K1003">
        <v>8210.5201820000002</v>
      </c>
      <c r="L1003">
        <v>0.86199999999999999</v>
      </c>
      <c r="M1003">
        <v>0.56514084499999995</v>
      </c>
      <c r="N1003">
        <v>0</v>
      </c>
      <c r="O1003" t="s">
        <v>620</v>
      </c>
      <c r="P1003">
        <f t="shared" si="137"/>
        <v>11.551769910000001</v>
      </c>
      <c r="Q1003">
        <f t="shared" si="138"/>
        <v>2.5000000000000001E-2</v>
      </c>
      <c r="R1003">
        <f t="shared" si="139"/>
        <v>2.1999999999999999E-2</v>
      </c>
      <c r="S1003">
        <f t="shared" si="140"/>
        <v>0.86199999999999999</v>
      </c>
      <c r="T1003">
        <f t="shared" si="141"/>
        <v>2.0829729729999999</v>
      </c>
      <c r="U1003">
        <f t="shared" si="142"/>
        <v>5.6024396970000003</v>
      </c>
      <c r="V1003">
        <f t="shared" si="143"/>
        <v>8.0000000000000002E-3</v>
      </c>
      <c r="W1003">
        <f t="shared" si="144"/>
        <v>3.3000000000000002E-2</v>
      </c>
      <c r="X1003">
        <f t="shared" si="145"/>
        <v>0.91900000000000004</v>
      </c>
      <c r="Y1003">
        <v>262.76121799999999</v>
      </c>
      <c r="Z1003">
        <v>0</v>
      </c>
      <c r="AA1003">
        <v>90778</v>
      </c>
      <c r="AB1003">
        <v>31662</v>
      </c>
      <c r="AC1003">
        <v>3.1753482E-2</v>
      </c>
      <c r="AD1003">
        <v>0.82960131100000001</v>
      </c>
      <c r="AF1003">
        <v>11.551769910000001</v>
      </c>
      <c r="AG1003">
        <v>2.5000000000000001E-2</v>
      </c>
      <c r="AH1003">
        <v>2.1999999999999999E-2</v>
      </c>
      <c r="AI1003">
        <v>0.86199999999999999</v>
      </c>
      <c r="AJ1003">
        <v>2.0829729729999999</v>
      </c>
      <c r="AK1003">
        <v>5.6024396970000003</v>
      </c>
      <c r="AL1003">
        <v>8.0000000000000002E-3</v>
      </c>
      <c r="AM1003">
        <v>3.3000000000000002E-2</v>
      </c>
      <c r="AN1003">
        <v>0.91900000000000004</v>
      </c>
    </row>
    <row r="1004" spans="1:40">
      <c r="A1004">
        <v>3072</v>
      </c>
      <c r="B1004" t="s">
        <v>689</v>
      </c>
      <c r="C1004" t="s">
        <v>687</v>
      </c>
      <c r="D1004" t="s">
        <v>688</v>
      </c>
      <c r="E1004">
        <v>378</v>
      </c>
      <c r="F1004">
        <v>863</v>
      </c>
      <c r="G1004">
        <v>47.303029789999997</v>
      </c>
      <c r="H1004">
        <v>2378</v>
      </c>
      <c r="I1004">
        <v>7.3940093999999998E-2</v>
      </c>
      <c r="J1004">
        <v>3241</v>
      </c>
      <c r="K1004">
        <v>43832.781710000003</v>
      </c>
      <c r="L1004">
        <v>0.747</v>
      </c>
      <c r="M1004">
        <v>0.86284470199999996</v>
      </c>
      <c r="N1004">
        <v>0</v>
      </c>
      <c r="O1004" t="s">
        <v>613</v>
      </c>
      <c r="P1004">
        <f t="shared" si="137"/>
        <v>13.897857139999999</v>
      </c>
      <c r="Q1004">
        <f t="shared" si="138"/>
        <v>3.5000000000000003E-2</v>
      </c>
      <c r="R1004">
        <f t="shared" si="139"/>
        <v>2.7E-2</v>
      </c>
      <c r="S1004">
        <f t="shared" si="140"/>
        <v>0.747</v>
      </c>
      <c r="T1004">
        <f t="shared" si="141"/>
        <v>2.178452381</v>
      </c>
      <c r="U1004">
        <f t="shared" si="142"/>
        <v>7.2937434550000004</v>
      </c>
      <c r="V1004">
        <f t="shared" si="143"/>
        <v>5.3999999999999999E-2</v>
      </c>
      <c r="W1004">
        <f t="shared" si="144"/>
        <v>0.1</v>
      </c>
      <c r="X1004">
        <f t="shared" si="145"/>
        <v>0.75800000000000001</v>
      </c>
      <c r="Y1004">
        <v>151.5527974</v>
      </c>
      <c r="Z1004">
        <v>0</v>
      </c>
      <c r="AA1004">
        <v>454184</v>
      </c>
      <c r="AB1004">
        <v>170596</v>
      </c>
      <c r="AC1004">
        <v>6.5715274000000004E-2</v>
      </c>
      <c r="AD1004">
        <v>0.72549415100000003</v>
      </c>
      <c r="AF1004">
        <v>13.897857139999999</v>
      </c>
      <c r="AG1004">
        <v>3.5000000000000003E-2</v>
      </c>
      <c r="AH1004">
        <v>2.7E-2</v>
      </c>
      <c r="AI1004">
        <v>0.747</v>
      </c>
      <c r="AJ1004">
        <v>2.178452381</v>
      </c>
      <c r="AK1004">
        <v>7.2937434550000004</v>
      </c>
      <c r="AL1004">
        <v>5.3999999999999999E-2</v>
      </c>
      <c r="AM1004">
        <v>0.1</v>
      </c>
      <c r="AN1004">
        <v>0.75800000000000001</v>
      </c>
    </row>
    <row r="1005" spans="1:40">
      <c r="A1005">
        <v>3073</v>
      </c>
      <c r="B1005" t="s">
        <v>686</v>
      </c>
      <c r="C1005" t="s">
        <v>687</v>
      </c>
      <c r="D1005" t="s">
        <v>688</v>
      </c>
      <c r="E1005">
        <v>384</v>
      </c>
      <c r="F1005">
        <v>932</v>
      </c>
      <c r="G1005">
        <v>29.687573019999999</v>
      </c>
      <c r="H1005">
        <v>1088</v>
      </c>
      <c r="I1005">
        <v>4.6402517999999997E-2</v>
      </c>
      <c r="J1005">
        <v>2020</v>
      </c>
      <c r="K1005">
        <v>43532.120389999996</v>
      </c>
      <c r="L1005">
        <v>0.66400000000000003</v>
      </c>
      <c r="M1005">
        <v>0.73913043499999997</v>
      </c>
      <c r="N1005">
        <v>1</v>
      </c>
      <c r="O1005" t="s">
        <v>606</v>
      </c>
      <c r="P1005">
        <f t="shared" si="137"/>
        <v>12.29233129</v>
      </c>
      <c r="Q1005">
        <f t="shared" si="138"/>
        <v>7.9000000000000001E-2</v>
      </c>
      <c r="R1005">
        <f t="shared" si="139"/>
        <v>2.5000000000000001E-2</v>
      </c>
      <c r="S1005">
        <f t="shared" si="140"/>
        <v>0.66400000000000003</v>
      </c>
      <c r="T1005">
        <f t="shared" si="141"/>
        <v>1.547428571</v>
      </c>
      <c r="U1005">
        <f t="shared" si="142"/>
        <v>6.667369034</v>
      </c>
      <c r="V1005">
        <f t="shared" si="143"/>
        <v>6.4000000000000001E-2</v>
      </c>
      <c r="W1005">
        <f t="shared" si="144"/>
        <v>0.17100000000000001</v>
      </c>
      <c r="X1005">
        <f t="shared" si="145"/>
        <v>0.58199999999999996</v>
      </c>
      <c r="Y1005">
        <v>134.577494</v>
      </c>
      <c r="Z1005">
        <v>1</v>
      </c>
      <c r="AA1005">
        <v>140316</v>
      </c>
      <c r="AB1005">
        <v>49638</v>
      </c>
      <c r="AC1005">
        <v>9.1283894000000004E-2</v>
      </c>
      <c r="AD1005">
        <v>0.60339869999999995</v>
      </c>
      <c r="AF1005">
        <v>12.29233129</v>
      </c>
      <c r="AG1005">
        <v>7.9000000000000001E-2</v>
      </c>
      <c r="AH1005">
        <v>2.5000000000000001E-2</v>
      </c>
      <c r="AI1005">
        <v>0.66400000000000003</v>
      </c>
      <c r="AJ1005">
        <v>1.547428571</v>
      </c>
      <c r="AK1005">
        <v>6.667369034</v>
      </c>
      <c r="AL1005">
        <v>6.4000000000000001E-2</v>
      </c>
      <c r="AM1005">
        <v>0.17100000000000001</v>
      </c>
      <c r="AN1005">
        <v>0.58199999999999996</v>
      </c>
    </row>
    <row r="1006" spans="1:40">
      <c r="A1006">
        <v>3074</v>
      </c>
      <c r="B1006" t="s">
        <v>701</v>
      </c>
      <c r="C1006" t="s">
        <v>696</v>
      </c>
      <c r="D1006" t="s">
        <v>697</v>
      </c>
      <c r="E1006">
        <v>300</v>
      </c>
      <c r="F1006">
        <v>940</v>
      </c>
      <c r="G1006">
        <v>63.581398739999997</v>
      </c>
      <c r="H1006">
        <v>240</v>
      </c>
      <c r="I1006">
        <v>9.9383047000000002E-2</v>
      </c>
      <c r="J1006">
        <v>1180</v>
      </c>
      <c r="K1006">
        <v>11873.25239</v>
      </c>
      <c r="L1006">
        <v>0.75</v>
      </c>
      <c r="M1006">
        <v>0.44444444399999999</v>
      </c>
      <c r="N1006">
        <v>0</v>
      </c>
      <c r="O1006" t="s">
        <v>613</v>
      </c>
      <c r="P1006">
        <f t="shared" si="137"/>
        <v>14.425416670000001</v>
      </c>
      <c r="Q1006">
        <f t="shared" si="138"/>
        <v>0.05</v>
      </c>
      <c r="R1006">
        <f t="shared" si="139"/>
        <v>2.7E-2</v>
      </c>
      <c r="S1006">
        <f t="shared" si="140"/>
        <v>0.75</v>
      </c>
      <c r="T1006">
        <f t="shared" si="141"/>
        <v>1.8812500000000001</v>
      </c>
      <c r="U1006">
        <f t="shared" si="142"/>
        <v>7.1816304349999998</v>
      </c>
      <c r="V1006">
        <f t="shared" si="143"/>
        <v>4.2999999999999997E-2</v>
      </c>
      <c r="W1006">
        <f t="shared" si="144"/>
        <v>0.17699999999999999</v>
      </c>
      <c r="X1006">
        <f t="shared" si="145"/>
        <v>0.73199999999999998</v>
      </c>
      <c r="Y1006">
        <v>77.976252040000006</v>
      </c>
      <c r="Z1006">
        <v>0</v>
      </c>
      <c r="AA1006">
        <v>22589</v>
      </c>
      <c r="AB1006">
        <v>7233</v>
      </c>
      <c r="AC1006">
        <v>3.8721845999999997E-2</v>
      </c>
      <c r="AD1006">
        <v>0.78947076400000005</v>
      </c>
      <c r="AF1006">
        <v>14.425416670000001</v>
      </c>
      <c r="AG1006">
        <v>0.05</v>
      </c>
      <c r="AH1006">
        <v>2.7E-2</v>
      </c>
      <c r="AI1006">
        <v>0.75</v>
      </c>
      <c r="AJ1006">
        <v>1.8812500000000001</v>
      </c>
      <c r="AK1006">
        <v>7.1816304349999998</v>
      </c>
      <c r="AL1006">
        <v>4.2999999999999997E-2</v>
      </c>
      <c r="AM1006">
        <v>0.17699999999999999</v>
      </c>
      <c r="AN1006">
        <v>0.73199999999999998</v>
      </c>
    </row>
    <row r="1007" spans="1:40">
      <c r="A1007">
        <v>3075</v>
      </c>
      <c r="B1007" t="s">
        <v>705</v>
      </c>
      <c r="C1007" t="s">
        <v>696</v>
      </c>
      <c r="D1007" t="s">
        <v>697</v>
      </c>
      <c r="E1007">
        <v>368</v>
      </c>
      <c r="F1007">
        <v>1098</v>
      </c>
      <c r="G1007">
        <v>59.902359449999999</v>
      </c>
      <c r="H1007">
        <v>3</v>
      </c>
      <c r="I1007">
        <v>9.3635600999999999E-2</v>
      </c>
      <c r="J1007">
        <v>1101</v>
      </c>
      <c r="K1007">
        <v>11758.348190000001</v>
      </c>
      <c r="L1007">
        <v>0.78500000000000003</v>
      </c>
      <c r="M1007">
        <v>8.0862529999999998E-3</v>
      </c>
      <c r="N1007">
        <v>0</v>
      </c>
      <c r="O1007" t="s">
        <v>620</v>
      </c>
      <c r="P1007">
        <f t="shared" si="137"/>
        <v>17.272345680000001</v>
      </c>
      <c r="Q1007">
        <f t="shared" si="138"/>
        <v>2.5999999999999999E-2</v>
      </c>
      <c r="R1007">
        <f t="shared" si="139"/>
        <v>1.7000000000000001E-2</v>
      </c>
      <c r="S1007">
        <f t="shared" si="140"/>
        <v>0.78500000000000003</v>
      </c>
      <c r="T1007">
        <f t="shared" si="141"/>
        <v>2.089</v>
      </c>
      <c r="U1007">
        <f t="shared" si="142"/>
        <v>7.538771552</v>
      </c>
      <c r="V1007">
        <f t="shared" si="143"/>
        <v>7.4999999999999997E-2</v>
      </c>
      <c r="W1007">
        <f t="shared" si="144"/>
        <v>9.2999999999999999E-2</v>
      </c>
      <c r="X1007">
        <f t="shared" si="145"/>
        <v>0.75700000000000001</v>
      </c>
      <c r="Y1007">
        <v>186.43775389999999</v>
      </c>
      <c r="Z1007">
        <v>0</v>
      </c>
      <c r="AA1007">
        <v>152832</v>
      </c>
      <c r="AB1007">
        <v>45686</v>
      </c>
      <c r="AC1007">
        <v>2.1596295000000001E-2</v>
      </c>
      <c r="AD1007">
        <v>0.84212384500000004</v>
      </c>
      <c r="AF1007">
        <v>17.272345680000001</v>
      </c>
      <c r="AG1007">
        <v>2.5999999999999999E-2</v>
      </c>
      <c r="AH1007">
        <v>1.7000000000000001E-2</v>
      </c>
      <c r="AI1007">
        <v>0.78500000000000003</v>
      </c>
      <c r="AJ1007">
        <v>2.089</v>
      </c>
      <c r="AK1007">
        <v>7.538771552</v>
      </c>
      <c r="AL1007">
        <v>7.4999999999999997E-2</v>
      </c>
      <c r="AM1007">
        <v>9.2999999999999999E-2</v>
      </c>
      <c r="AN1007">
        <v>0.75700000000000001</v>
      </c>
    </row>
    <row r="1008" spans="1:40">
      <c r="A1008">
        <v>3076</v>
      </c>
      <c r="B1008" t="s">
        <v>689</v>
      </c>
      <c r="C1008" t="s">
        <v>687</v>
      </c>
      <c r="D1008" t="s">
        <v>688</v>
      </c>
      <c r="E1008">
        <v>195</v>
      </c>
      <c r="F1008">
        <v>424</v>
      </c>
      <c r="G1008">
        <v>49.803796550000001</v>
      </c>
      <c r="H1008">
        <v>838</v>
      </c>
      <c r="I1008">
        <v>7.7843732999999998E-2</v>
      </c>
      <c r="J1008">
        <v>1262</v>
      </c>
      <c r="K1008">
        <v>16211.966609999999</v>
      </c>
      <c r="L1008">
        <v>0.63400000000000001</v>
      </c>
      <c r="M1008">
        <v>0.81122942899999995</v>
      </c>
      <c r="N1008">
        <v>1</v>
      </c>
      <c r="O1008" t="s">
        <v>606</v>
      </c>
      <c r="P1008">
        <f t="shared" si="137"/>
        <v>12.543217390000001</v>
      </c>
      <c r="Q1008">
        <f t="shared" si="138"/>
        <v>0.20300000000000001</v>
      </c>
      <c r="R1008">
        <f t="shared" si="139"/>
        <v>3.4000000000000002E-2</v>
      </c>
      <c r="S1008">
        <f t="shared" si="140"/>
        <v>0.63400000000000001</v>
      </c>
      <c r="T1008">
        <f t="shared" si="141"/>
        <v>1.7873749999999999</v>
      </c>
      <c r="U1008">
        <f t="shared" si="142"/>
        <v>5.9610074879999999</v>
      </c>
      <c r="V1008">
        <f t="shared" si="143"/>
        <v>7.8E-2</v>
      </c>
      <c r="W1008">
        <f t="shared" si="144"/>
        <v>0.245</v>
      </c>
      <c r="X1008">
        <f t="shared" si="145"/>
        <v>0.59899999999999998</v>
      </c>
      <c r="Y1008">
        <v>424.90790140000001</v>
      </c>
      <c r="Z1008">
        <v>0</v>
      </c>
      <c r="AA1008">
        <v>454184</v>
      </c>
      <c r="AB1008">
        <v>170596</v>
      </c>
      <c r="AC1008">
        <v>6.5715274000000004E-2</v>
      </c>
      <c r="AD1008">
        <v>0.72549415100000003</v>
      </c>
      <c r="AF1008">
        <v>12.543217390000001</v>
      </c>
      <c r="AG1008">
        <v>0.20300000000000001</v>
      </c>
      <c r="AH1008">
        <v>3.4000000000000002E-2</v>
      </c>
      <c r="AI1008">
        <v>0.63400000000000001</v>
      </c>
      <c r="AJ1008">
        <v>1.7873749999999999</v>
      </c>
      <c r="AK1008">
        <v>5.9610074879999999</v>
      </c>
      <c r="AL1008">
        <v>7.8E-2</v>
      </c>
      <c r="AM1008">
        <v>0.245</v>
      </c>
      <c r="AN1008">
        <v>0.59899999999999998</v>
      </c>
    </row>
    <row r="1009" spans="1:40">
      <c r="A1009">
        <v>3077</v>
      </c>
      <c r="B1009" t="s">
        <v>708</v>
      </c>
      <c r="C1009" t="s">
        <v>696</v>
      </c>
      <c r="D1009" t="s">
        <v>697</v>
      </c>
      <c r="E1009">
        <v>186</v>
      </c>
      <c r="F1009">
        <v>514</v>
      </c>
      <c r="G1009">
        <v>42.510399630000002</v>
      </c>
      <c r="H1009">
        <v>159</v>
      </c>
      <c r="I1009">
        <v>6.6445175999999995E-2</v>
      </c>
      <c r="J1009">
        <v>673</v>
      </c>
      <c r="K1009">
        <v>10128.651030000001</v>
      </c>
      <c r="L1009">
        <v>0.85599999999999998</v>
      </c>
      <c r="M1009">
        <v>0.46086956499999998</v>
      </c>
      <c r="N1009">
        <v>0</v>
      </c>
      <c r="O1009" t="s">
        <v>620</v>
      </c>
      <c r="P1009">
        <f t="shared" si="137"/>
        <v>16.40415385</v>
      </c>
      <c r="Q1009">
        <f t="shared" si="138"/>
        <v>2.4E-2</v>
      </c>
      <c r="R1009">
        <f t="shared" si="139"/>
        <v>1.6E-2</v>
      </c>
      <c r="S1009">
        <f t="shared" si="140"/>
        <v>0.85599999999999998</v>
      </c>
      <c r="T1009">
        <f t="shared" si="141"/>
        <v>1.5375000000000001</v>
      </c>
      <c r="U1009">
        <f t="shared" si="142"/>
        <v>7.8911928930000004</v>
      </c>
      <c r="V1009">
        <f t="shared" si="143"/>
        <v>2.7E-2</v>
      </c>
      <c r="W1009">
        <f t="shared" si="144"/>
        <v>5.5E-2</v>
      </c>
      <c r="X1009">
        <f t="shared" si="145"/>
        <v>0.89</v>
      </c>
      <c r="Y1009">
        <v>106.8328376</v>
      </c>
      <c r="Z1009">
        <v>0</v>
      </c>
      <c r="AA1009">
        <v>14998</v>
      </c>
      <c r="AB1009">
        <v>4485</v>
      </c>
      <c r="AC1009">
        <v>2.8516413000000001E-2</v>
      </c>
      <c r="AD1009">
        <v>0.81835686799999996</v>
      </c>
      <c r="AF1009">
        <v>16.40415385</v>
      </c>
      <c r="AG1009">
        <v>2.4E-2</v>
      </c>
      <c r="AH1009">
        <v>1.6E-2</v>
      </c>
      <c r="AI1009">
        <v>0.85599999999999998</v>
      </c>
      <c r="AJ1009">
        <v>1.5375000000000001</v>
      </c>
      <c r="AK1009">
        <v>7.8911928930000004</v>
      </c>
      <c r="AL1009">
        <v>2.7E-2</v>
      </c>
      <c r="AM1009">
        <v>5.5E-2</v>
      </c>
      <c r="AN1009">
        <v>0.89</v>
      </c>
    </row>
    <row r="1010" spans="1:40">
      <c r="A1010">
        <v>3078</v>
      </c>
      <c r="B1010" t="s">
        <v>695</v>
      </c>
      <c r="C1010" t="s">
        <v>696</v>
      </c>
      <c r="D1010" t="s">
        <v>697</v>
      </c>
      <c r="E1010">
        <v>428</v>
      </c>
      <c r="F1010">
        <v>1025</v>
      </c>
      <c r="G1010">
        <v>66.797742130000003</v>
      </c>
      <c r="H1010">
        <v>546</v>
      </c>
      <c r="I1010">
        <v>0.10441742499999999</v>
      </c>
      <c r="J1010">
        <v>1571</v>
      </c>
      <c r="K1010">
        <v>15045.38155</v>
      </c>
      <c r="L1010">
        <v>0.81200000000000006</v>
      </c>
      <c r="M1010">
        <v>0.56057494900000004</v>
      </c>
      <c r="N1010">
        <v>1</v>
      </c>
      <c r="O1010" t="s">
        <v>613</v>
      </c>
      <c r="P1010">
        <f t="shared" si="137"/>
        <v>12.83376812</v>
      </c>
      <c r="Q1010">
        <f t="shared" si="138"/>
        <v>1.9E-2</v>
      </c>
      <c r="R1010">
        <f t="shared" si="139"/>
        <v>3.1E-2</v>
      </c>
      <c r="S1010">
        <f t="shared" si="140"/>
        <v>0.81200000000000006</v>
      </c>
      <c r="T1010">
        <f t="shared" si="141"/>
        <v>2.2644736839999999</v>
      </c>
      <c r="U1010">
        <f t="shared" si="142"/>
        <v>6.7936625509999997</v>
      </c>
      <c r="V1010">
        <f t="shared" si="143"/>
        <v>4.8000000000000001E-2</v>
      </c>
      <c r="W1010">
        <f t="shared" si="144"/>
        <v>8.3000000000000004E-2</v>
      </c>
      <c r="X1010">
        <f t="shared" si="145"/>
        <v>0.82099999999999995</v>
      </c>
      <c r="Y1010">
        <v>151.612424</v>
      </c>
      <c r="Z1010">
        <v>0</v>
      </c>
      <c r="AA1010">
        <v>62139</v>
      </c>
      <c r="AB1010">
        <v>22178</v>
      </c>
      <c r="AC1010">
        <v>2.5956119999999999E-2</v>
      </c>
      <c r="AD1010">
        <v>0.81129361</v>
      </c>
      <c r="AF1010">
        <v>12.83376812</v>
      </c>
      <c r="AG1010">
        <v>1.9E-2</v>
      </c>
      <c r="AH1010">
        <v>3.1E-2</v>
      </c>
      <c r="AI1010">
        <v>0.81200000000000006</v>
      </c>
      <c r="AJ1010">
        <v>2.2644736839999999</v>
      </c>
      <c r="AK1010">
        <v>6.7936625509999997</v>
      </c>
      <c r="AL1010">
        <v>4.8000000000000001E-2</v>
      </c>
      <c r="AM1010">
        <v>8.3000000000000004E-2</v>
      </c>
      <c r="AN1010">
        <v>0.82099999999999995</v>
      </c>
    </row>
    <row r="1011" spans="1:40">
      <c r="A1011">
        <v>3079</v>
      </c>
      <c r="B1011" t="s">
        <v>689</v>
      </c>
      <c r="C1011" t="s">
        <v>687</v>
      </c>
      <c r="D1011" t="s">
        <v>688</v>
      </c>
      <c r="E1011">
        <v>503</v>
      </c>
      <c r="F1011">
        <v>1904</v>
      </c>
      <c r="G1011">
        <v>63.346553669999999</v>
      </c>
      <c r="H1011">
        <v>76</v>
      </c>
      <c r="I1011">
        <v>9.9014251999999997E-2</v>
      </c>
      <c r="J1011">
        <v>1980</v>
      </c>
      <c r="K1011">
        <v>19997.121220000001</v>
      </c>
      <c r="L1011">
        <v>0.748</v>
      </c>
      <c r="M1011">
        <v>0.13126079399999999</v>
      </c>
      <c r="N1011">
        <v>1</v>
      </c>
      <c r="O1011" t="s">
        <v>613</v>
      </c>
      <c r="P1011">
        <f t="shared" si="137"/>
        <v>10.91241758</v>
      </c>
      <c r="Q1011">
        <f t="shared" si="138"/>
        <v>0.08</v>
      </c>
      <c r="R1011">
        <f t="shared" si="139"/>
        <v>0.02</v>
      </c>
      <c r="S1011">
        <f t="shared" si="140"/>
        <v>0.748</v>
      </c>
      <c r="T1011">
        <f t="shared" si="141"/>
        <v>2.1658333330000001</v>
      </c>
      <c r="U1011">
        <f t="shared" si="142"/>
        <v>5.227395349</v>
      </c>
      <c r="V1011">
        <f t="shared" si="143"/>
        <v>5.3999999999999999E-2</v>
      </c>
      <c r="W1011">
        <f t="shared" si="144"/>
        <v>0.26400000000000001</v>
      </c>
      <c r="X1011">
        <f t="shared" si="145"/>
        <v>0.61499999999999999</v>
      </c>
      <c r="Y1011">
        <v>154.59994499999999</v>
      </c>
      <c r="Z1011">
        <v>0</v>
      </c>
      <c r="AA1011">
        <v>454184</v>
      </c>
      <c r="AB1011">
        <v>170596</v>
      </c>
      <c r="AC1011">
        <v>6.5715274000000004E-2</v>
      </c>
      <c r="AD1011">
        <v>0.72549415100000003</v>
      </c>
      <c r="AF1011">
        <v>10.91241758</v>
      </c>
      <c r="AG1011">
        <v>0.08</v>
      </c>
      <c r="AH1011">
        <v>0.02</v>
      </c>
      <c r="AI1011">
        <v>0.748</v>
      </c>
      <c r="AJ1011">
        <v>2.1658333330000001</v>
      </c>
      <c r="AK1011">
        <v>5.227395349</v>
      </c>
      <c r="AL1011">
        <v>5.3999999999999999E-2</v>
      </c>
      <c r="AM1011">
        <v>0.26400000000000001</v>
      </c>
      <c r="AN1011">
        <v>0.61499999999999999</v>
      </c>
    </row>
    <row r="1012" spans="1:40">
      <c r="A1012">
        <v>3080</v>
      </c>
      <c r="B1012" t="s">
        <v>689</v>
      </c>
      <c r="C1012" t="s">
        <v>687</v>
      </c>
      <c r="D1012" t="s">
        <v>688</v>
      </c>
      <c r="E1012">
        <v>377</v>
      </c>
      <c r="F1012">
        <v>1230</v>
      </c>
      <c r="G1012">
        <v>38.797965529999999</v>
      </c>
      <c r="H1012">
        <v>58</v>
      </c>
      <c r="I1012">
        <v>6.0644249999999997E-2</v>
      </c>
      <c r="J1012">
        <v>1288</v>
      </c>
      <c r="K1012">
        <v>21238.617020000002</v>
      </c>
      <c r="L1012">
        <v>0.82599999999999996</v>
      </c>
      <c r="M1012">
        <v>0.133333333</v>
      </c>
      <c r="N1012">
        <v>0</v>
      </c>
      <c r="O1012" t="s">
        <v>613</v>
      </c>
      <c r="P1012">
        <f t="shared" si="137"/>
        <v>11.91142857</v>
      </c>
      <c r="Q1012">
        <f t="shared" si="138"/>
        <v>2.7E-2</v>
      </c>
      <c r="R1012">
        <f t="shared" si="139"/>
        <v>1.4999999999999999E-2</v>
      </c>
      <c r="S1012">
        <f t="shared" si="140"/>
        <v>0.82599999999999996</v>
      </c>
      <c r="T1012">
        <f t="shared" si="141"/>
        <v>1.2224999999999999</v>
      </c>
      <c r="U1012">
        <f t="shared" si="142"/>
        <v>6.0600990100000001</v>
      </c>
      <c r="V1012">
        <f t="shared" si="143"/>
        <v>6.2414117647058849E-2</v>
      </c>
      <c r="W1012">
        <f t="shared" si="144"/>
        <v>9.0999999999999998E-2</v>
      </c>
      <c r="X1012">
        <f t="shared" si="145"/>
        <v>0.89100000000000001</v>
      </c>
      <c r="Y1012">
        <v>130.03793590000001</v>
      </c>
      <c r="Z1012">
        <v>0</v>
      </c>
      <c r="AA1012">
        <v>454184</v>
      </c>
      <c r="AB1012">
        <v>170596</v>
      </c>
      <c r="AC1012">
        <v>6.5715274000000004E-2</v>
      </c>
      <c r="AD1012">
        <v>0.72549415100000003</v>
      </c>
      <c r="AF1012">
        <v>11.91142857</v>
      </c>
      <c r="AG1012">
        <v>2.7E-2</v>
      </c>
      <c r="AH1012">
        <v>1.4999999999999999E-2</v>
      </c>
      <c r="AI1012">
        <v>0.82599999999999996</v>
      </c>
      <c r="AJ1012">
        <v>1.2224999999999999</v>
      </c>
      <c r="AK1012">
        <v>6.0600990100000001</v>
      </c>
      <c r="AL1012">
        <v>0</v>
      </c>
      <c r="AM1012">
        <v>9.0999999999999998E-2</v>
      </c>
      <c r="AN1012">
        <v>0.89100000000000001</v>
      </c>
    </row>
    <row r="1013" spans="1:40">
      <c r="A1013">
        <v>3081</v>
      </c>
      <c r="B1013" t="s">
        <v>703</v>
      </c>
      <c r="C1013" t="s">
        <v>696</v>
      </c>
      <c r="D1013" t="s">
        <v>697</v>
      </c>
      <c r="E1013">
        <v>0</v>
      </c>
      <c r="F1013">
        <v>0</v>
      </c>
      <c r="G1013">
        <v>215.3559923</v>
      </c>
      <c r="H1013">
        <v>1405</v>
      </c>
      <c r="I1013">
        <v>0.336624384</v>
      </c>
      <c r="J1013">
        <v>1405</v>
      </c>
      <c r="K1013">
        <v>4173.7915220000004</v>
      </c>
      <c r="L1013">
        <v>0.94199999999999995</v>
      </c>
      <c r="M1013" s="515">
        <v>1</v>
      </c>
      <c r="N1013">
        <v>0</v>
      </c>
      <c r="O1013" t="s">
        <v>620</v>
      </c>
      <c r="P1013">
        <f t="shared" si="137"/>
        <v>15.28265217</v>
      </c>
      <c r="Q1013">
        <f t="shared" si="138"/>
        <v>7.0000000000000001E-3</v>
      </c>
      <c r="R1013">
        <f t="shared" si="139"/>
        <v>2.7E-2</v>
      </c>
      <c r="S1013">
        <f t="shared" si="140"/>
        <v>0.94199999999999995</v>
      </c>
      <c r="T1013">
        <f t="shared" si="141"/>
        <v>2.7081249999999999</v>
      </c>
      <c r="U1013">
        <f t="shared" si="142"/>
        <v>11.861296299999999</v>
      </c>
      <c r="V1013">
        <f t="shared" si="143"/>
        <v>5.2999999999999999E-2</v>
      </c>
      <c r="W1013">
        <f t="shared" si="144"/>
        <v>8.0000000000000002E-3</v>
      </c>
      <c r="X1013">
        <f t="shared" si="145"/>
        <v>0.93100000000000005</v>
      </c>
      <c r="Y1013">
        <v>34.383439940000002</v>
      </c>
      <c r="Z1013">
        <v>0</v>
      </c>
      <c r="AA1013">
        <v>27567</v>
      </c>
      <c r="AB1013">
        <v>8371</v>
      </c>
      <c r="AC1013">
        <v>2.6639960000000001E-2</v>
      </c>
      <c r="AD1013">
        <v>0.83875813700000001</v>
      </c>
      <c r="AF1013">
        <v>15.28265217</v>
      </c>
      <c r="AG1013">
        <v>7.0000000000000001E-3</v>
      </c>
      <c r="AH1013">
        <v>2.7E-2</v>
      </c>
      <c r="AI1013">
        <v>0.94199999999999995</v>
      </c>
      <c r="AJ1013">
        <v>2.7081249999999999</v>
      </c>
      <c r="AK1013">
        <v>11.861296299999999</v>
      </c>
      <c r="AL1013">
        <v>5.2999999999999999E-2</v>
      </c>
      <c r="AM1013">
        <v>8.0000000000000002E-3</v>
      </c>
      <c r="AN1013">
        <v>0.93100000000000005</v>
      </c>
    </row>
    <row r="1014" spans="1:40">
      <c r="A1014">
        <v>3082</v>
      </c>
      <c r="B1014" t="s">
        <v>705</v>
      </c>
      <c r="C1014" t="s">
        <v>696</v>
      </c>
      <c r="D1014" t="s">
        <v>697</v>
      </c>
      <c r="E1014">
        <v>499</v>
      </c>
      <c r="F1014">
        <v>1764</v>
      </c>
      <c r="G1014">
        <v>58.532308909999998</v>
      </c>
      <c r="H1014">
        <v>1</v>
      </c>
      <c r="I1014">
        <v>9.1497656999999996E-2</v>
      </c>
      <c r="J1014">
        <v>1765</v>
      </c>
      <c r="K1014">
        <v>19290.111440000001</v>
      </c>
      <c r="L1014">
        <v>0.82199999999999995</v>
      </c>
      <c r="M1014">
        <v>2E-3</v>
      </c>
      <c r="N1014">
        <v>0</v>
      </c>
      <c r="O1014" t="s">
        <v>620</v>
      </c>
      <c r="P1014">
        <f t="shared" si="137"/>
        <v>11.61</v>
      </c>
      <c r="Q1014">
        <f t="shared" si="138"/>
        <v>0.02</v>
      </c>
      <c r="R1014">
        <f t="shared" si="139"/>
        <v>1.7000000000000001E-2</v>
      </c>
      <c r="S1014">
        <f t="shared" si="140"/>
        <v>0.82199999999999995</v>
      </c>
      <c r="T1014">
        <f t="shared" si="141"/>
        <v>1.695555556</v>
      </c>
      <c r="U1014">
        <f t="shared" si="142"/>
        <v>5.7633766230000001</v>
      </c>
      <c r="V1014">
        <f t="shared" si="143"/>
        <v>6.0000000000000001E-3</v>
      </c>
      <c r="W1014">
        <f t="shared" si="144"/>
        <v>6.4000000000000001E-2</v>
      </c>
      <c r="X1014">
        <f t="shared" si="145"/>
        <v>0.93</v>
      </c>
      <c r="Y1014">
        <v>72.334420550000004</v>
      </c>
      <c r="Z1014">
        <v>0</v>
      </c>
      <c r="AA1014">
        <v>152832</v>
      </c>
      <c r="AB1014">
        <v>45686</v>
      </c>
      <c r="AC1014">
        <v>2.1596295000000001E-2</v>
      </c>
      <c r="AD1014">
        <v>0.84212384500000004</v>
      </c>
      <c r="AF1014">
        <v>11.61</v>
      </c>
      <c r="AG1014">
        <v>0.02</v>
      </c>
      <c r="AH1014">
        <v>1.7000000000000001E-2</v>
      </c>
      <c r="AI1014">
        <v>0.82199999999999995</v>
      </c>
      <c r="AJ1014">
        <v>1.695555556</v>
      </c>
      <c r="AK1014">
        <v>5.7633766230000001</v>
      </c>
      <c r="AL1014">
        <v>6.0000000000000001E-3</v>
      </c>
      <c r="AM1014">
        <v>6.4000000000000001E-2</v>
      </c>
      <c r="AN1014">
        <v>0.93</v>
      </c>
    </row>
    <row r="1015" spans="1:40">
      <c r="A1015">
        <v>3083</v>
      </c>
      <c r="B1015" t="s">
        <v>691</v>
      </c>
      <c r="C1015" t="s">
        <v>684</v>
      </c>
      <c r="D1015" t="s">
        <v>685</v>
      </c>
      <c r="E1015">
        <v>422</v>
      </c>
      <c r="F1015">
        <v>1459</v>
      </c>
      <c r="G1015">
        <v>111.64363969999999</v>
      </c>
      <c r="H1015">
        <v>149</v>
      </c>
      <c r="I1015">
        <v>0.17450808000000001</v>
      </c>
      <c r="J1015">
        <v>1608</v>
      </c>
      <c r="K1015">
        <v>9214.4730490000002</v>
      </c>
      <c r="L1015">
        <v>0.86699999999999999</v>
      </c>
      <c r="M1015">
        <v>0.26094570900000003</v>
      </c>
      <c r="N1015">
        <v>0</v>
      </c>
      <c r="O1015" t="s">
        <v>620</v>
      </c>
      <c r="P1015">
        <f t="shared" si="137"/>
        <v>13.157372260000001</v>
      </c>
      <c r="Q1015">
        <f t="shared" si="138"/>
        <v>1.6E-2</v>
      </c>
      <c r="R1015">
        <f t="shared" si="139"/>
        <v>7.0000000000000001E-3</v>
      </c>
      <c r="S1015">
        <f t="shared" si="140"/>
        <v>0.86699999999999999</v>
      </c>
      <c r="T1015">
        <f t="shared" si="141"/>
        <v>2.0266666670000002</v>
      </c>
      <c r="U1015">
        <f t="shared" si="142"/>
        <v>8.0355449589999992</v>
      </c>
      <c r="V1015">
        <f t="shared" si="143"/>
        <v>2.7E-2</v>
      </c>
      <c r="W1015">
        <f t="shared" si="144"/>
        <v>4.1000000000000002E-2</v>
      </c>
      <c r="X1015">
        <f t="shared" si="145"/>
        <v>0.93200000000000005</v>
      </c>
      <c r="Y1015">
        <v>69.162953880000003</v>
      </c>
      <c r="Z1015">
        <v>0</v>
      </c>
      <c r="AA1015">
        <v>236250</v>
      </c>
      <c r="AB1015">
        <v>76158</v>
      </c>
      <c r="AC1015">
        <v>1.7652984E-2</v>
      </c>
      <c r="AD1015">
        <v>0.84750225300000004</v>
      </c>
      <c r="AF1015">
        <v>13.157372260000001</v>
      </c>
      <c r="AG1015">
        <v>1.6E-2</v>
      </c>
      <c r="AH1015">
        <v>7.0000000000000001E-3</v>
      </c>
      <c r="AI1015">
        <v>0.86699999999999999</v>
      </c>
      <c r="AJ1015">
        <v>2.0266666670000002</v>
      </c>
      <c r="AK1015">
        <v>8.0355449589999992</v>
      </c>
      <c r="AL1015">
        <v>2.7E-2</v>
      </c>
      <c r="AM1015">
        <v>4.1000000000000002E-2</v>
      </c>
      <c r="AN1015">
        <v>0.93200000000000005</v>
      </c>
    </row>
    <row r="1016" spans="1:40">
      <c r="A1016">
        <v>3084</v>
      </c>
      <c r="B1016" t="s">
        <v>689</v>
      </c>
      <c r="C1016" t="s">
        <v>687</v>
      </c>
      <c r="D1016" t="s">
        <v>688</v>
      </c>
      <c r="E1016">
        <v>516</v>
      </c>
      <c r="F1016">
        <v>1028</v>
      </c>
      <c r="G1016">
        <v>53.068491729999998</v>
      </c>
      <c r="H1016">
        <v>31</v>
      </c>
      <c r="I1016">
        <v>8.2958286000000006E-2</v>
      </c>
      <c r="J1016">
        <v>1059</v>
      </c>
      <c r="K1016">
        <v>12765.451779999999</v>
      </c>
      <c r="L1016">
        <v>0.69399999999999995</v>
      </c>
      <c r="M1016">
        <v>5.6672761000000002E-2</v>
      </c>
      <c r="N1016">
        <v>0</v>
      </c>
      <c r="O1016" t="s">
        <v>613</v>
      </c>
      <c r="P1016">
        <f t="shared" si="137"/>
        <v>6.6416250000000003</v>
      </c>
      <c r="Q1016">
        <f t="shared" si="138"/>
        <v>7.9000000000000001E-2</v>
      </c>
      <c r="R1016">
        <f t="shared" si="139"/>
        <v>0.05</v>
      </c>
      <c r="S1016">
        <f t="shared" si="140"/>
        <v>0.69399999999999995</v>
      </c>
      <c r="T1016">
        <f t="shared" si="141"/>
        <v>1.7609375</v>
      </c>
      <c r="U1016">
        <f t="shared" si="142"/>
        <v>4.8403317540000002</v>
      </c>
      <c r="V1016">
        <f t="shared" si="143"/>
        <v>9.1999999999999998E-2</v>
      </c>
      <c r="W1016">
        <f t="shared" si="144"/>
        <v>0.26</v>
      </c>
      <c r="X1016">
        <f t="shared" si="145"/>
        <v>0.61099999999999999</v>
      </c>
      <c r="Y1016">
        <v>184.7740766</v>
      </c>
      <c r="Z1016">
        <v>0</v>
      </c>
      <c r="AA1016">
        <v>454184</v>
      </c>
      <c r="AB1016">
        <v>170596</v>
      </c>
      <c r="AC1016">
        <v>6.5715274000000004E-2</v>
      </c>
      <c r="AD1016">
        <v>0.72549415100000003</v>
      </c>
      <c r="AF1016">
        <v>6.6416250000000003</v>
      </c>
      <c r="AG1016">
        <v>7.9000000000000001E-2</v>
      </c>
      <c r="AH1016">
        <v>0.05</v>
      </c>
      <c r="AI1016">
        <v>0.69399999999999995</v>
      </c>
      <c r="AJ1016">
        <v>1.7609375</v>
      </c>
      <c r="AK1016">
        <v>4.8403317540000002</v>
      </c>
      <c r="AL1016">
        <v>9.1999999999999998E-2</v>
      </c>
      <c r="AM1016">
        <v>0.26</v>
      </c>
      <c r="AN1016">
        <v>0.61099999999999999</v>
      </c>
    </row>
    <row r="1017" spans="1:40">
      <c r="A1017">
        <v>3085</v>
      </c>
      <c r="B1017" t="s">
        <v>701</v>
      </c>
      <c r="C1017" t="s">
        <v>696</v>
      </c>
      <c r="D1017" t="s">
        <v>697</v>
      </c>
      <c r="E1017">
        <v>333</v>
      </c>
      <c r="F1017">
        <v>1105</v>
      </c>
      <c r="G1017">
        <v>74.844071940000006</v>
      </c>
      <c r="H1017">
        <v>166</v>
      </c>
      <c r="I1017">
        <v>0.116992296</v>
      </c>
      <c r="J1017">
        <v>1271</v>
      </c>
      <c r="K1017">
        <v>10863.96321</v>
      </c>
      <c r="L1017">
        <v>0.85799999999999998</v>
      </c>
      <c r="M1017">
        <v>0.33266533100000001</v>
      </c>
      <c r="N1017">
        <v>0</v>
      </c>
      <c r="O1017" t="s">
        <v>620</v>
      </c>
      <c r="P1017">
        <f t="shared" si="137"/>
        <v>13.263773580000001</v>
      </c>
      <c r="Q1017">
        <f t="shared" si="138"/>
        <v>0.02</v>
      </c>
      <c r="R1017">
        <f t="shared" si="139"/>
        <v>2.4E-2</v>
      </c>
      <c r="S1017">
        <f t="shared" si="140"/>
        <v>0.85799999999999998</v>
      </c>
      <c r="T1017">
        <f t="shared" si="141"/>
        <v>1.9805882349999999</v>
      </c>
      <c r="U1017">
        <f t="shared" si="142"/>
        <v>6.8149319730000002</v>
      </c>
      <c r="V1017">
        <f t="shared" si="143"/>
        <v>0.05</v>
      </c>
      <c r="W1017">
        <f t="shared" si="144"/>
        <v>5.8000000000000003E-2</v>
      </c>
      <c r="X1017">
        <f t="shared" si="145"/>
        <v>0.876</v>
      </c>
      <c r="Y1017">
        <v>73.049581309999994</v>
      </c>
      <c r="Z1017">
        <v>0</v>
      </c>
      <c r="AA1017">
        <v>22589</v>
      </c>
      <c r="AB1017">
        <v>7233</v>
      </c>
      <c r="AC1017">
        <v>3.8721845999999997E-2</v>
      </c>
      <c r="AD1017">
        <v>0.78947076400000005</v>
      </c>
      <c r="AF1017">
        <v>13.263773580000001</v>
      </c>
      <c r="AG1017">
        <v>0.02</v>
      </c>
      <c r="AH1017">
        <v>2.4E-2</v>
      </c>
      <c r="AI1017">
        <v>0.85799999999999998</v>
      </c>
      <c r="AJ1017">
        <v>1.9805882349999999</v>
      </c>
      <c r="AK1017">
        <v>6.8149319730000002</v>
      </c>
      <c r="AL1017">
        <v>0.05</v>
      </c>
      <c r="AM1017">
        <v>5.8000000000000003E-2</v>
      </c>
      <c r="AN1017">
        <v>0.876</v>
      </c>
    </row>
    <row r="1018" spans="1:40">
      <c r="A1018">
        <v>3086</v>
      </c>
      <c r="B1018" t="s">
        <v>695</v>
      </c>
      <c r="C1018" t="s">
        <v>696</v>
      </c>
      <c r="D1018" t="s">
        <v>697</v>
      </c>
      <c r="E1018">
        <v>1070</v>
      </c>
      <c r="F1018">
        <v>2944</v>
      </c>
      <c r="G1018">
        <v>241.7821371</v>
      </c>
      <c r="H1018">
        <v>237</v>
      </c>
      <c r="I1018">
        <v>0.37793043799999998</v>
      </c>
      <c r="J1018">
        <v>3181</v>
      </c>
      <c r="K1018">
        <v>8416.8928460000006</v>
      </c>
      <c r="L1018">
        <v>0.81899999999999995</v>
      </c>
      <c r="M1018">
        <v>0.181331293</v>
      </c>
      <c r="N1018">
        <v>0</v>
      </c>
      <c r="O1018" t="s">
        <v>620</v>
      </c>
      <c r="P1018">
        <f t="shared" si="137"/>
        <v>13.729160309999999</v>
      </c>
      <c r="Q1018">
        <f t="shared" si="138"/>
        <v>1.2999999999999999E-2</v>
      </c>
      <c r="R1018">
        <f t="shared" si="139"/>
        <v>2.1000000000000001E-2</v>
      </c>
      <c r="S1018">
        <f t="shared" si="140"/>
        <v>0.81899999999999995</v>
      </c>
      <c r="T1018">
        <f t="shared" si="141"/>
        <v>1.7728205130000001</v>
      </c>
      <c r="U1018">
        <f t="shared" si="142"/>
        <v>7.3062266759999996</v>
      </c>
      <c r="V1018">
        <f t="shared" si="143"/>
        <v>0.01</v>
      </c>
      <c r="W1018">
        <f t="shared" si="144"/>
        <v>5.5E-2</v>
      </c>
      <c r="X1018">
        <f t="shared" si="145"/>
        <v>0.90700000000000003</v>
      </c>
      <c r="Y1018">
        <v>51.081782939999997</v>
      </c>
      <c r="Z1018">
        <v>0</v>
      </c>
      <c r="AA1018">
        <v>62139</v>
      </c>
      <c r="AB1018">
        <v>22178</v>
      </c>
      <c r="AC1018">
        <v>2.5956119999999999E-2</v>
      </c>
      <c r="AD1018">
        <v>0.81129361</v>
      </c>
      <c r="AF1018">
        <v>13.729160309999999</v>
      </c>
      <c r="AG1018">
        <v>1.2999999999999999E-2</v>
      </c>
      <c r="AH1018">
        <v>2.1000000000000001E-2</v>
      </c>
      <c r="AI1018">
        <v>0.81899999999999995</v>
      </c>
      <c r="AJ1018">
        <v>1.7728205130000001</v>
      </c>
      <c r="AK1018">
        <v>7.3062266759999996</v>
      </c>
      <c r="AL1018">
        <v>0.01</v>
      </c>
      <c r="AM1018">
        <v>5.5E-2</v>
      </c>
      <c r="AN1018">
        <v>0.90700000000000003</v>
      </c>
    </row>
    <row r="1019" spans="1:40">
      <c r="A1019">
        <v>3087</v>
      </c>
      <c r="B1019" t="s">
        <v>683</v>
      </c>
      <c r="C1019" t="s">
        <v>684</v>
      </c>
      <c r="D1019" t="s">
        <v>685</v>
      </c>
      <c r="E1019">
        <v>294</v>
      </c>
      <c r="F1019">
        <v>997</v>
      </c>
      <c r="G1019">
        <v>106.7474278</v>
      </c>
      <c r="H1019">
        <v>1006</v>
      </c>
      <c r="I1019">
        <v>0.16685766799999999</v>
      </c>
      <c r="J1019">
        <v>2003</v>
      </c>
      <c r="K1019">
        <v>12004.243039999999</v>
      </c>
      <c r="L1019">
        <v>0.80700000000000005</v>
      </c>
      <c r="M1019">
        <v>0.77384615400000001</v>
      </c>
      <c r="N1019">
        <v>1</v>
      </c>
      <c r="O1019" t="s">
        <v>613</v>
      </c>
      <c r="P1019">
        <f t="shared" si="137"/>
        <v>13.250787880000001</v>
      </c>
      <c r="Q1019">
        <f t="shared" si="138"/>
        <v>5.0999999999999997E-2</v>
      </c>
      <c r="R1019">
        <f t="shared" si="139"/>
        <v>1.0999999999999999E-2</v>
      </c>
      <c r="S1019">
        <f t="shared" si="140"/>
        <v>0.80700000000000005</v>
      </c>
      <c r="T1019">
        <f t="shared" si="141"/>
        <v>1.830833333</v>
      </c>
      <c r="U1019">
        <f t="shared" si="142"/>
        <v>5.5934536890000004</v>
      </c>
      <c r="V1019">
        <f t="shared" si="143"/>
        <v>3.4119999999999984E-2</v>
      </c>
      <c r="W1019">
        <f t="shared" si="144"/>
        <v>0.122</v>
      </c>
      <c r="X1019">
        <f t="shared" si="145"/>
        <v>0.80500000000000005</v>
      </c>
      <c r="Y1019">
        <v>143.00155899999999</v>
      </c>
      <c r="Z1019">
        <v>0</v>
      </c>
      <c r="AA1019">
        <v>75370</v>
      </c>
      <c r="AB1019">
        <v>21403</v>
      </c>
      <c r="AC1019">
        <v>2.4597187E-2</v>
      </c>
      <c r="AD1019">
        <v>0.84342094400000001</v>
      </c>
      <c r="AF1019">
        <v>13.250787880000001</v>
      </c>
      <c r="AG1019">
        <v>5.0999999999999997E-2</v>
      </c>
      <c r="AH1019">
        <v>1.0999999999999999E-2</v>
      </c>
      <c r="AI1019">
        <v>0.80700000000000005</v>
      </c>
      <c r="AJ1019">
        <v>1.830833333</v>
      </c>
      <c r="AK1019">
        <v>5.5934536890000004</v>
      </c>
      <c r="AL1019">
        <v>0</v>
      </c>
      <c r="AM1019">
        <v>0.122</v>
      </c>
      <c r="AN1019">
        <v>0.80500000000000005</v>
      </c>
    </row>
    <row r="1020" spans="1:40">
      <c r="A1020">
        <v>3088</v>
      </c>
      <c r="B1020" t="s">
        <v>689</v>
      </c>
      <c r="C1020" t="s">
        <v>687</v>
      </c>
      <c r="D1020" t="s">
        <v>688</v>
      </c>
      <c r="E1020">
        <v>166</v>
      </c>
      <c r="F1020">
        <v>180</v>
      </c>
      <c r="G1020">
        <v>32.949419849999998</v>
      </c>
      <c r="H1020">
        <v>12380</v>
      </c>
      <c r="I1020">
        <v>5.1508788E-2</v>
      </c>
      <c r="J1020">
        <v>12560</v>
      </c>
      <c r="K1020">
        <v>243841.88579999999</v>
      </c>
      <c r="L1020">
        <v>0.58899999999999997</v>
      </c>
      <c r="M1020">
        <v>0.98676869099999998</v>
      </c>
      <c r="N1020">
        <v>1</v>
      </c>
      <c r="O1020" t="s">
        <v>606</v>
      </c>
      <c r="P1020">
        <f t="shared" si="137"/>
        <v>13.22776509</v>
      </c>
      <c r="Q1020">
        <f t="shared" si="138"/>
        <v>0.127</v>
      </c>
      <c r="R1020">
        <f t="shared" si="139"/>
        <v>3.9E-2</v>
      </c>
      <c r="S1020">
        <f t="shared" si="140"/>
        <v>0.58899999999999997</v>
      </c>
      <c r="T1020">
        <f t="shared" si="141"/>
        <v>2.04142029</v>
      </c>
      <c r="U1020">
        <f t="shared" si="142"/>
        <v>8.0321877409999995</v>
      </c>
      <c r="V1020">
        <f t="shared" si="143"/>
        <v>7.4999999999999997E-2</v>
      </c>
      <c r="W1020">
        <f t="shared" si="144"/>
        <v>0.29299999999999998</v>
      </c>
      <c r="X1020">
        <f t="shared" si="145"/>
        <v>0.52900000000000003</v>
      </c>
      <c r="Y1020">
        <v>244.4002922</v>
      </c>
      <c r="Z1020">
        <v>0</v>
      </c>
      <c r="AA1020">
        <v>454184</v>
      </c>
      <c r="AB1020">
        <v>170596</v>
      </c>
      <c r="AC1020">
        <v>6.5715274000000004E-2</v>
      </c>
      <c r="AD1020">
        <v>0.72549415100000003</v>
      </c>
      <c r="AF1020">
        <v>13.22776509</v>
      </c>
      <c r="AG1020">
        <v>0.127</v>
      </c>
      <c r="AH1020">
        <v>3.9E-2</v>
      </c>
      <c r="AI1020">
        <v>0.58899999999999997</v>
      </c>
      <c r="AJ1020">
        <v>2.04142029</v>
      </c>
      <c r="AK1020">
        <v>8.0321877409999995</v>
      </c>
      <c r="AL1020">
        <v>7.4999999999999997E-2</v>
      </c>
      <c r="AM1020">
        <v>0.29299999999999998</v>
      </c>
      <c r="AN1020">
        <v>0.52900000000000003</v>
      </c>
    </row>
    <row r="1021" spans="1:40">
      <c r="A1021">
        <v>3089</v>
      </c>
      <c r="B1021" t="s">
        <v>707</v>
      </c>
      <c r="C1021" t="s">
        <v>693</v>
      </c>
      <c r="D1021" t="s">
        <v>694</v>
      </c>
      <c r="E1021">
        <v>114</v>
      </c>
      <c r="F1021">
        <v>303</v>
      </c>
      <c r="G1021">
        <v>1295.5563380000001</v>
      </c>
      <c r="H1021">
        <v>146</v>
      </c>
      <c r="I1021" s="515">
        <v>2.0250774962135001</v>
      </c>
      <c r="J1021">
        <v>449</v>
      </c>
      <c r="K1021">
        <v>221.7199099</v>
      </c>
      <c r="L1021">
        <v>0.94299999999999995</v>
      </c>
      <c r="M1021">
        <v>0.56153846200000002</v>
      </c>
      <c r="N1021">
        <v>0</v>
      </c>
      <c r="O1021" t="s">
        <v>625</v>
      </c>
      <c r="P1021">
        <f t="shared" si="137"/>
        <v>21.3912963</v>
      </c>
      <c r="Q1021">
        <f t="shared" si="138"/>
        <v>8.9999999999999993E-3</v>
      </c>
      <c r="R1021">
        <f t="shared" si="139"/>
        <v>2.8000000000000001E-2</v>
      </c>
      <c r="S1021">
        <f t="shared" si="140"/>
        <v>0.94299999999999995</v>
      </c>
      <c r="T1021">
        <f t="shared" si="141"/>
        <v>3.576666667</v>
      </c>
      <c r="U1021">
        <f t="shared" si="142"/>
        <v>12.58974619</v>
      </c>
      <c r="V1021">
        <f t="shared" si="143"/>
        <v>6.7000000000000004E-2</v>
      </c>
      <c r="W1021">
        <f t="shared" si="144"/>
        <v>3.3000000000000002E-2</v>
      </c>
      <c r="X1021">
        <f t="shared" si="145"/>
        <v>0.9</v>
      </c>
      <c r="Y1021">
        <v>27.72585909</v>
      </c>
      <c r="Z1021">
        <v>0</v>
      </c>
      <c r="AA1021">
        <v>21149</v>
      </c>
      <c r="AB1021">
        <v>6968</v>
      </c>
      <c r="AC1021">
        <v>1.6645858999999999E-2</v>
      </c>
      <c r="AD1021">
        <v>0.89069218999999999</v>
      </c>
      <c r="AF1021">
        <v>21.3912963</v>
      </c>
      <c r="AG1021">
        <v>8.9999999999999993E-3</v>
      </c>
      <c r="AH1021">
        <v>2.8000000000000001E-2</v>
      </c>
      <c r="AI1021">
        <v>0.94299999999999995</v>
      </c>
      <c r="AJ1021">
        <v>3.576666667</v>
      </c>
      <c r="AK1021">
        <v>12.58974619</v>
      </c>
      <c r="AL1021">
        <v>6.7000000000000004E-2</v>
      </c>
      <c r="AM1021">
        <v>3.3000000000000002E-2</v>
      </c>
      <c r="AN1021">
        <v>0.9</v>
      </c>
    </row>
    <row r="1022" spans="1:40">
      <c r="A1022">
        <v>3090</v>
      </c>
      <c r="B1022" t="s">
        <v>701</v>
      </c>
      <c r="C1022" t="s">
        <v>696</v>
      </c>
      <c r="D1022" t="s">
        <v>697</v>
      </c>
      <c r="E1022">
        <v>401</v>
      </c>
      <c r="F1022">
        <v>1328</v>
      </c>
      <c r="G1022">
        <v>80.887936800000006</v>
      </c>
      <c r="H1022">
        <v>42</v>
      </c>
      <c r="I1022">
        <v>0.126433147</v>
      </c>
      <c r="J1022">
        <v>1370</v>
      </c>
      <c r="K1022">
        <v>10835.76604</v>
      </c>
      <c r="L1022">
        <v>0.79400000000000004</v>
      </c>
      <c r="M1022">
        <v>9.4808126000000006E-2</v>
      </c>
      <c r="N1022">
        <v>1</v>
      </c>
      <c r="O1022" t="s">
        <v>620</v>
      </c>
      <c r="P1022">
        <f t="shared" si="137"/>
        <v>9.5472941179999999</v>
      </c>
      <c r="Q1022">
        <f t="shared" si="138"/>
        <v>5.0999999999999997E-2</v>
      </c>
      <c r="R1022">
        <f t="shared" si="139"/>
        <v>1.7999999999999999E-2</v>
      </c>
      <c r="S1022">
        <f t="shared" si="140"/>
        <v>0.79400000000000004</v>
      </c>
      <c r="T1022">
        <f t="shared" si="141"/>
        <v>2.48875</v>
      </c>
      <c r="U1022">
        <f t="shared" si="142"/>
        <v>5.30377907</v>
      </c>
      <c r="V1022">
        <f t="shared" si="143"/>
        <v>3.5999999999999997E-2</v>
      </c>
      <c r="W1022">
        <f t="shared" si="144"/>
        <v>0.191</v>
      </c>
      <c r="X1022">
        <f t="shared" si="145"/>
        <v>0.77300000000000002</v>
      </c>
      <c r="Y1022">
        <v>111.9306301</v>
      </c>
      <c r="Z1022">
        <v>0</v>
      </c>
      <c r="AA1022">
        <v>22589</v>
      </c>
      <c r="AB1022">
        <v>7233</v>
      </c>
      <c r="AC1022">
        <v>3.8721845999999997E-2</v>
      </c>
      <c r="AD1022">
        <v>0.78947076400000005</v>
      </c>
      <c r="AF1022">
        <v>9.5472941179999999</v>
      </c>
      <c r="AG1022">
        <v>5.0999999999999997E-2</v>
      </c>
      <c r="AH1022">
        <v>1.7999999999999999E-2</v>
      </c>
      <c r="AI1022">
        <v>0.79400000000000004</v>
      </c>
      <c r="AJ1022">
        <v>2.48875</v>
      </c>
      <c r="AK1022">
        <v>5.30377907</v>
      </c>
      <c r="AL1022">
        <v>3.5999999999999997E-2</v>
      </c>
      <c r="AM1022">
        <v>0.191</v>
      </c>
      <c r="AN1022">
        <v>0.77300000000000002</v>
      </c>
    </row>
    <row r="1023" spans="1:40">
      <c r="A1023">
        <v>3091</v>
      </c>
      <c r="B1023" t="s">
        <v>698</v>
      </c>
      <c r="C1023" t="s">
        <v>693</v>
      </c>
      <c r="D1023" t="s">
        <v>694</v>
      </c>
      <c r="E1023">
        <v>360</v>
      </c>
      <c r="F1023">
        <v>1262</v>
      </c>
      <c r="G1023">
        <v>87.843887390000006</v>
      </c>
      <c r="H1023">
        <v>95</v>
      </c>
      <c r="I1023">
        <v>0.13730904499999999</v>
      </c>
      <c r="J1023">
        <v>1357</v>
      </c>
      <c r="K1023">
        <v>9882.8158039999998</v>
      </c>
      <c r="L1023">
        <v>0.748</v>
      </c>
      <c r="M1023">
        <v>0.20879120900000001</v>
      </c>
      <c r="N1023">
        <v>0</v>
      </c>
      <c r="O1023" t="s">
        <v>620</v>
      </c>
      <c r="P1023">
        <f t="shared" si="137"/>
        <v>15.31294643</v>
      </c>
      <c r="Q1023">
        <f t="shared" si="138"/>
        <v>1.2999999999999999E-2</v>
      </c>
      <c r="R1023">
        <f t="shared" si="139"/>
        <v>2.4E-2</v>
      </c>
      <c r="S1023">
        <f t="shared" si="140"/>
        <v>0.748</v>
      </c>
      <c r="T1023">
        <f t="shared" si="141"/>
        <v>2.1527777779999999</v>
      </c>
      <c r="U1023">
        <f t="shared" si="142"/>
        <v>8.620090416</v>
      </c>
      <c r="V1023">
        <f t="shared" si="143"/>
        <v>3.3000000000000002E-2</v>
      </c>
      <c r="W1023">
        <f t="shared" si="144"/>
        <v>3.3000000000000002E-2</v>
      </c>
      <c r="X1023">
        <f t="shared" si="145"/>
        <v>0.93300000000000005</v>
      </c>
      <c r="Y1023">
        <v>184.5547109</v>
      </c>
      <c r="Z1023">
        <v>0</v>
      </c>
      <c r="AA1023">
        <v>88250</v>
      </c>
      <c r="AB1023">
        <v>31723</v>
      </c>
      <c r="AC1023">
        <v>1.0795895999999999E-2</v>
      </c>
      <c r="AD1023">
        <v>0.817760245</v>
      </c>
      <c r="AF1023">
        <v>15.31294643</v>
      </c>
      <c r="AG1023">
        <v>1.2999999999999999E-2</v>
      </c>
      <c r="AH1023">
        <v>2.4E-2</v>
      </c>
      <c r="AI1023">
        <v>0.748</v>
      </c>
      <c r="AJ1023">
        <v>2.1527777779999999</v>
      </c>
      <c r="AK1023">
        <v>8.620090416</v>
      </c>
      <c r="AL1023">
        <v>3.3000000000000002E-2</v>
      </c>
      <c r="AM1023">
        <v>3.3000000000000002E-2</v>
      </c>
      <c r="AN1023">
        <v>0.93300000000000005</v>
      </c>
    </row>
    <row r="1024" spans="1:40">
      <c r="A1024">
        <v>3092</v>
      </c>
      <c r="B1024" t="s">
        <v>701</v>
      </c>
      <c r="C1024" t="s">
        <v>696</v>
      </c>
      <c r="D1024" t="s">
        <v>697</v>
      </c>
      <c r="E1024">
        <v>302</v>
      </c>
      <c r="F1024">
        <v>625</v>
      </c>
      <c r="G1024">
        <v>35.711954079999998</v>
      </c>
      <c r="H1024">
        <v>201</v>
      </c>
      <c r="I1024">
        <v>5.5824973999999999E-2</v>
      </c>
      <c r="J1024">
        <v>826</v>
      </c>
      <c r="K1024">
        <v>14796.245140000001</v>
      </c>
      <c r="L1024">
        <v>0.81200000000000006</v>
      </c>
      <c r="M1024">
        <v>0.39960238599999998</v>
      </c>
      <c r="N1024">
        <v>1</v>
      </c>
      <c r="O1024" t="s">
        <v>613</v>
      </c>
      <c r="P1024">
        <f t="shared" si="137"/>
        <v>12.64263158</v>
      </c>
      <c r="Q1024">
        <f t="shared" si="138"/>
        <v>3.5999999999999997E-2</v>
      </c>
      <c r="R1024">
        <f t="shared" si="139"/>
        <v>1.4E-2</v>
      </c>
      <c r="S1024">
        <f t="shared" si="140"/>
        <v>0.81200000000000006</v>
      </c>
      <c r="T1024">
        <f t="shared" si="141"/>
        <v>1.596875</v>
      </c>
      <c r="U1024">
        <f t="shared" si="142"/>
        <v>5.854417582</v>
      </c>
      <c r="V1024">
        <f t="shared" si="143"/>
        <v>4.3222222222222231E-2</v>
      </c>
      <c r="W1024">
        <f t="shared" si="144"/>
        <v>9.9000000000000005E-2</v>
      </c>
      <c r="X1024">
        <f t="shared" si="145"/>
        <v>0.83499999999999996</v>
      </c>
      <c r="Y1024">
        <v>161.81227580000001</v>
      </c>
      <c r="Z1024">
        <v>0</v>
      </c>
      <c r="AA1024">
        <v>22589</v>
      </c>
      <c r="AB1024">
        <v>7233</v>
      </c>
      <c r="AC1024">
        <v>3.8721845999999997E-2</v>
      </c>
      <c r="AD1024">
        <v>0.78947076400000005</v>
      </c>
      <c r="AF1024">
        <v>12.64263158</v>
      </c>
      <c r="AG1024">
        <v>3.5999999999999997E-2</v>
      </c>
      <c r="AH1024">
        <v>1.4E-2</v>
      </c>
      <c r="AI1024">
        <v>0.81200000000000006</v>
      </c>
      <c r="AJ1024">
        <v>1.596875</v>
      </c>
      <c r="AK1024">
        <v>5.854417582</v>
      </c>
      <c r="AL1024">
        <v>0</v>
      </c>
      <c r="AM1024">
        <v>9.9000000000000005E-2</v>
      </c>
      <c r="AN1024">
        <v>0.83499999999999996</v>
      </c>
    </row>
    <row r="1025" spans="1:40">
      <c r="A1025">
        <v>3093</v>
      </c>
      <c r="B1025" t="s">
        <v>689</v>
      </c>
      <c r="C1025" t="s">
        <v>687</v>
      </c>
      <c r="D1025" t="s">
        <v>688</v>
      </c>
      <c r="E1025">
        <v>410</v>
      </c>
      <c r="F1025">
        <v>1137</v>
      </c>
      <c r="G1025">
        <v>82.282067089999998</v>
      </c>
      <c r="H1025">
        <v>114</v>
      </c>
      <c r="I1025">
        <v>0.12861876699999999</v>
      </c>
      <c r="J1025">
        <v>1251</v>
      </c>
      <c r="K1025">
        <v>9726.4188510000004</v>
      </c>
      <c r="L1025">
        <v>0.76200000000000001</v>
      </c>
      <c r="M1025">
        <v>0.21755725200000001</v>
      </c>
      <c r="N1025">
        <v>0</v>
      </c>
      <c r="O1025" t="s">
        <v>620</v>
      </c>
      <c r="P1025">
        <f t="shared" si="137"/>
        <v>14.597125</v>
      </c>
      <c r="Q1025">
        <f t="shared" si="138"/>
        <v>4.2000000000000003E-2</v>
      </c>
      <c r="R1025">
        <f t="shared" si="139"/>
        <v>4.5999999999999999E-2</v>
      </c>
      <c r="S1025">
        <f t="shared" si="140"/>
        <v>0.76200000000000001</v>
      </c>
      <c r="T1025">
        <f t="shared" si="141"/>
        <v>1.7893333330000001</v>
      </c>
      <c r="U1025">
        <f t="shared" si="142"/>
        <v>7.3905882350000001</v>
      </c>
      <c r="V1025">
        <f t="shared" si="143"/>
        <v>3.6999999999999998E-2</v>
      </c>
      <c r="W1025">
        <f t="shared" si="144"/>
        <v>0.185</v>
      </c>
      <c r="X1025">
        <f t="shared" si="145"/>
        <v>0.74099999999999999</v>
      </c>
      <c r="Y1025">
        <v>153.2704224</v>
      </c>
      <c r="Z1025">
        <v>0</v>
      </c>
      <c r="AA1025">
        <v>454184</v>
      </c>
      <c r="AB1025">
        <v>170596</v>
      </c>
      <c r="AC1025">
        <v>6.5715274000000004E-2</v>
      </c>
      <c r="AD1025">
        <v>0.72549415100000003</v>
      </c>
      <c r="AF1025">
        <v>14.597125</v>
      </c>
      <c r="AG1025">
        <v>4.2000000000000003E-2</v>
      </c>
      <c r="AH1025">
        <v>4.5999999999999999E-2</v>
      </c>
      <c r="AI1025">
        <v>0.76200000000000001</v>
      </c>
      <c r="AJ1025">
        <v>1.7893333330000001</v>
      </c>
      <c r="AK1025">
        <v>7.3905882350000001</v>
      </c>
      <c r="AL1025">
        <v>3.6999999999999998E-2</v>
      </c>
      <c r="AM1025">
        <v>0.185</v>
      </c>
      <c r="AN1025">
        <v>0.74099999999999999</v>
      </c>
    </row>
    <row r="1026" spans="1:40">
      <c r="A1026">
        <v>3094</v>
      </c>
      <c r="B1026" t="s">
        <v>705</v>
      </c>
      <c r="C1026" t="s">
        <v>696</v>
      </c>
      <c r="D1026" t="s">
        <v>697</v>
      </c>
      <c r="E1026">
        <v>261</v>
      </c>
      <c r="F1026">
        <v>699</v>
      </c>
      <c r="G1026">
        <v>78.268272519999996</v>
      </c>
      <c r="H1026">
        <v>635</v>
      </c>
      <c r="I1026">
        <v>0.12233554100000001</v>
      </c>
      <c r="J1026">
        <v>1334</v>
      </c>
      <c r="K1026">
        <v>10904.435369999999</v>
      </c>
      <c r="L1026">
        <v>0.83399999999999996</v>
      </c>
      <c r="M1026">
        <v>0.70870535700000004</v>
      </c>
      <c r="N1026">
        <v>0</v>
      </c>
      <c r="O1026" t="s">
        <v>620</v>
      </c>
      <c r="P1026">
        <f t="shared" si="137"/>
        <v>14.9961194</v>
      </c>
      <c r="Q1026">
        <f t="shared" si="138"/>
        <v>2.3E-2</v>
      </c>
      <c r="R1026">
        <f t="shared" si="139"/>
        <v>3.2000000000000001E-2</v>
      </c>
      <c r="S1026">
        <f t="shared" si="140"/>
        <v>0.83399999999999996</v>
      </c>
      <c r="T1026">
        <f t="shared" si="141"/>
        <v>2.0041071430000001</v>
      </c>
      <c r="U1026">
        <f t="shared" si="142"/>
        <v>6.858192603</v>
      </c>
      <c r="V1026">
        <f t="shared" si="143"/>
        <v>3.5999999999999997E-2</v>
      </c>
      <c r="W1026">
        <f t="shared" si="144"/>
        <v>0.13900000000000001</v>
      </c>
      <c r="X1026">
        <f t="shared" si="145"/>
        <v>0.80700000000000005</v>
      </c>
      <c r="Y1026">
        <v>104.6882749</v>
      </c>
      <c r="Z1026">
        <v>0</v>
      </c>
      <c r="AA1026">
        <v>152832</v>
      </c>
      <c r="AB1026">
        <v>45686</v>
      </c>
      <c r="AC1026">
        <v>2.1596295000000001E-2</v>
      </c>
      <c r="AD1026">
        <v>0.84212384500000004</v>
      </c>
      <c r="AF1026">
        <v>14.9961194</v>
      </c>
      <c r="AG1026">
        <v>2.3E-2</v>
      </c>
      <c r="AH1026">
        <v>3.2000000000000001E-2</v>
      </c>
      <c r="AI1026">
        <v>0.83399999999999996</v>
      </c>
      <c r="AJ1026">
        <v>2.0041071430000001</v>
      </c>
      <c r="AK1026">
        <v>6.858192603</v>
      </c>
      <c r="AL1026">
        <v>3.5999999999999997E-2</v>
      </c>
      <c r="AM1026">
        <v>0.13900000000000001</v>
      </c>
      <c r="AN1026">
        <v>0.80700000000000005</v>
      </c>
    </row>
    <row r="1027" spans="1:40">
      <c r="A1027">
        <v>3095</v>
      </c>
      <c r="B1027" t="s">
        <v>705</v>
      </c>
      <c r="C1027" t="s">
        <v>696</v>
      </c>
      <c r="D1027" t="s">
        <v>697</v>
      </c>
      <c r="E1027">
        <v>525</v>
      </c>
      <c r="F1027">
        <v>1405</v>
      </c>
      <c r="G1027">
        <v>95.326447239999993</v>
      </c>
      <c r="H1027">
        <v>408</v>
      </c>
      <c r="I1027">
        <v>0.14900459299999999</v>
      </c>
      <c r="J1027">
        <v>1813</v>
      </c>
      <c r="K1027">
        <v>12167.410169999999</v>
      </c>
      <c r="L1027">
        <v>0.77800000000000002</v>
      </c>
      <c r="M1027">
        <v>0.437299035</v>
      </c>
      <c r="N1027">
        <v>1</v>
      </c>
      <c r="O1027" t="s">
        <v>613</v>
      </c>
      <c r="P1027">
        <f t="shared" si="137"/>
        <v>11.110152279999999</v>
      </c>
      <c r="Q1027">
        <f t="shared" si="138"/>
        <v>2.8000000000000001E-2</v>
      </c>
      <c r="R1027">
        <f t="shared" si="139"/>
        <v>3.9E-2</v>
      </c>
      <c r="S1027">
        <f t="shared" si="140"/>
        <v>0.77800000000000002</v>
      </c>
      <c r="T1027">
        <f t="shared" si="141"/>
        <v>2.2702083329999998</v>
      </c>
      <c r="U1027">
        <f t="shared" si="142"/>
        <v>6.8993881860000004</v>
      </c>
      <c r="V1027">
        <f t="shared" si="143"/>
        <v>5.3999999999999999E-2</v>
      </c>
      <c r="W1027">
        <f t="shared" si="144"/>
        <v>0.1</v>
      </c>
      <c r="X1027">
        <f t="shared" si="145"/>
        <v>0.81699999999999995</v>
      </c>
      <c r="Y1027">
        <v>49.033005670000001</v>
      </c>
      <c r="Z1027">
        <v>0</v>
      </c>
      <c r="AA1027">
        <v>152832</v>
      </c>
      <c r="AB1027">
        <v>45686</v>
      </c>
      <c r="AC1027">
        <v>2.1596295000000001E-2</v>
      </c>
      <c r="AD1027">
        <v>0.84212384500000004</v>
      </c>
      <c r="AF1027">
        <v>11.110152279999999</v>
      </c>
      <c r="AG1027">
        <v>2.8000000000000001E-2</v>
      </c>
      <c r="AH1027">
        <v>3.9E-2</v>
      </c>
      <c r="AI1027">
        <v>0.77800000000000002</v>
      </c>
      <c r="AJ1027">
        <v>2.2702083329999998</v>
      </c>
      <c r="AK1027">
        <v>6.8993881860000004</v>
      </c>
      <c r="AL1027">
        <v>5.3999999999999999E-2</v>
      </c>
      <c r="AM1027">
        <v>0.1</v>
      </c>
      <c r="AN1027">
        <v>0.81699999999999995</v>
      </c>
    </row>
    <row r="1028" spans="1:40">
      <c r="A1028">
        <v>3096</v>
      </c>
      <c r="B1028" t="s">
        <v>686</v>
      </c>
      <c r="C1028" t="s">
        <v>687</v>
      </c>
      <c r="D1028" t="s">
        <v>688</v>
      </c>
      <c r="E1028">
        <v>603</v>
      </c>
      <c r="F1028">
        <v>3242</v>
      </c>
      <c r="G1028">
        <v>20.1014184</v>
      </c>
      <c r="H1028">
        <v>637</v>
      </c>
      <c r="I1028">
        <v>3.1425884000000001E-2</v>
      </c>
      <c r="J1028">
        <v>3879</v>
      </c>
      <c r="K1028">
        <v>123433.2819</v>
      </c>
      <c r="L1028">
        <v>0.36699999999999999</v>
      </c>
      <c r="M1028">
        <v>0.51370967700000003</v>
      </c>
      <c r="N1028">
        <v>1</v>
      </c>
      <c r="O1028" t="s">
        <v>606</v>
      </c>
      <c r="P1028">
        <f t="shared" si="137"/>
        <v>10.744</v>
      </c>
      <c r="Q1028">
        <f t="shared" si="138"/>
        <v>0.154</v>
      </c>
      <c r="R1028">
        <f t="shared" si="139"/>
        <v>5.8999999999999997E-2</v>
      </c>
      <c r="S1028">
        <f t="shared" si="140"/>
        <v>0.36699999999999999</v>
      </c>
      <c r="T1028">
        <f t="shared" si="141"/>
        <v>1.3093571429999999</v>
      </c>
      <c r="U1028">
        <f t="shared" si="142"/>
        <v>5.8906706590000004</v>
      </c>
      <c r="V1028">
        <f t="shared" si="143"/>
        <v>0.104</v>
      </c>
      <c r="W1028">
        <f t="shared" si="144"/>
        <v>0.32400000000000001</v>
      </c>
      <c r="X1028">
        <f t="shared" si="145"/>
        <v>0.28499999999999998</v>
      </c>
      <c r="Y1028">
        <v>46.051868710000001</v>
      </c>
      <c r="Z1028">
        <v>1</v>
      </c>
      <c r="AA1028">
        <v>140316</v>
      </c>
      <c r="AB1028">
        <v>49638</v>
      </c>
      <c r="AC1028">
        <v>9.1283894000000004E-2</v>
      </c>
      <c r="AD1028">
        <v>0.60339869999999995</v>
      </c>
      <c r="AF1028">
        <v>10.744</v>
      </c>
      <c r="AG1028">
        <v>0.154</v>
      </c>
      <c r="AH1028">
        <v>5.8999999999999997E-2</v>
      </c>
      <c r="AI1028">
        <v>0.36699999999999999</v>
      </c>
      <c r="AJ1028">
        <v>1.3093571429999999</v>
      </c>
      <c r="AK1028">
        <v>5.8906706590000004</v>
      </c>
      <c r="AL1028">
        <v>0.104</v>
      </c>
      <c r="AM1028">
        <v>0.32400000000000001</v>
      </c>
      <c r="AN1028">
        <v>0.28499999999999998</v>
      </c>
    </row>
    <row r="1029" spans="1:40">
      <c r="A1029">
        <v>3097</v>
      </c>
      <c r="B1029" t="s">
        <v>702</v>
      </c>
      <c r="C1029" t="s">
        <v>696</v>
      </c>
      <c r="D1029" t="s">
        <v>697</v>
      </c>
      <c r="E1029">
        <v>29</v>
      </c>
      <c r="F1029">
        <v>112</v>
      </c>
      <c r="G1029">
        <v>467.22893470000002</v>
      </c>
      <c r="H1029">
        <v>2487</v>
      </c>
      <c r="I1029">
        <v>0.73033789999999998</v>
      </c>
      <c r="J1029">
        <v>2599</v>
      </c>
      <c r="K1029">
        <v>3558.6267670000002</v>
      </c>
      <c r="L1029">
        <v>0.89900000000000002</v>
      </c>
      <c r="M1029">
        <v>0.98847376799999997</v>
      </c>
      <c r="N1029">
        <v>0</v>
      </c>
      <c r="O1029" t="s">
        <v>620</v>
      </c>
      <c r="P1029">
        <f t="shared" si="137"/>
        <v>16.15623441</v>
      </c>
      <c r="Q1029">
        <f t="shared" si="138"/>
        <v>1.4E-2</v>
      </c>
      <c r="R1029">
        <f t="shared" si="139"/>
        <v>0.02</v>
      </c>
      <c r="S1029">
        <f t="shared" si="140"/>
        <v>0.89900000000000002</v>
      </c>
      <c r="T1029">
        <f t="shared" si="141"/>
        <v>3.0481481480000001</v>
      </c>
      <c r="U1029">
        <f t="shared" si="142"/>
        <v>11.60009136</v>
      </c>
      <c r="V1029">
        <f t="shared" si="143"/>
        <v>0.03</v>
      </c>
      <c r="W1029">
        <f t="shared" si="144"/>
        <v>2.5999999999999999E-2</v>
      </c>
      <c r="X1029">
        <f t="shared" si="145"/>
        <v>0.93500000000000005</v>
      </c>
      <c r="Y1029">
        <v>38.120821849999999</v>
      </c>
      <c r="Z1029">
        <v>0</v>
      </c>
      <c r="AA1029">
        <v>90778</v>
      </c>
      <c r="AB1029">
        <v>31662</v>
      </c>
      <c r="AC1029">
        <v>3.1753482E-2</v>
      </c>
      <c r="AD1029">
        <v>0.82960131100000001</v>
      </c>
      <c r="AF1029">
        <v>16.15623441</v>
      </c>
      <c r="AG1029">
        <v>1.4E-2</v>
      </c>
      <c r="AH1029">
        <v>0.02</v>
      </c>
      <c r="AI1029">
        <v>0.89900000000000002</v>
      </c>
      <c r="AJ1029">
        <v>3.0481481480000001</v>
      </c>
      <c r="AK1029">
        <v>11.60009136</v>
      </c>
      <c r="AL1029">
        <v>0.03</v>
      </c>
      <c r="AM1029">
        <v>2.5999999999999999E-2</v>
      </c>
      <c r="AN1029">
        <v>0.93500000000000005</v>
      </c>
    </row>
    <row r="1030" spans="1:40">
      <c r="A1030">
        <v>3098</v>
      </c>
      <c r="B1030" t="s">
        <v>702</v>
      </c>
      <c r="C1030" t="s">
        <v>696</v>
      </c>
      <c r="D1030" t="s">
        <v>697</v>
      </c>
      <c r="E1030">
        <v>758</v>
      </c>
      <c r="F1030">
        <v>2421</v>
      </c>
      <c r="G1030">
        <v>194.13679339999999</v>
      </c>
      <c r="H1030">
        <v>177</v>
      </c>
      <c r="I1030">
        <v>0.30345688900000001</v>
      </c>
      <c r="J1030">
        <v>2598</v>
      </c>
      <c r="K1030">
        <v>8561.3479019999995</v>
      </c>
      <c r="L1030">
        <v>0.79400000000000004</v>
      </c>
      <c r="M1030">
        <v>0.18930481299999999</v>
      </c>
      <c r="N1030">
        <v>0</v>
      </c>
      <c r="O1030" t="s">
        <v>620</v>
      </c>
      <c r="P1030">
        <f t="shared" si="137"/>
        <v>12.47899471</v>
      </c>
      <c r="Q1030">
        <f t="shared" si="138"/>
        <v>4.1000000000000002E-2</v>
      </c>
      <c r="R1030">
        <f t="shared" si="139"/>
        <v>2.1000000000000001E-2</v>
      </c>
      <c r="S1030">
        <f t="shared" si="140"/>
        <v>0.79400000000000004</v>
      </c>
      <c r="T1030">
        <f t="shared" si="141"/>
        <v>2.393928571</v>
      </c>
      <c r="U1030">
        <f t="shared" si="142"/>
        <v>7.1895004900000004</v>
      </c>
      <c r="V1030">
        <f t="shared" si="143"/>
        <v>3.1E-2</v>
      </c>
      <c r="W1030">
        <f t="shared" si="144"/>
        <v>0.17799999999999999</v>
      </c>
      <c r="X1030">
        <f t="shared" si="145"/>
        <v>0.73</v>
      </c>
      <c r="Y1030">
        <v>50.53557163</v>
      </c>
      <c r="Z1030">
        <v>0</v>
      </c>
      <c r="AA1030">
        <v>90778</v>
      </c>
      <c r="AB1030">
        <v>31662</v>
      </c>
      <c r="AC1030">
        <v>3.1753482E-2</v>
      </c>
      <c r="AD1030">
        <v>0.82960131100000001</v>
      </c>
      <c r="AF1030">
        <v>12.47899471</v>
      </c>
      <c r="AG1030">
        <v>4.1000000000000002E-2</v>
      </c>
      <c r="AH1030">
        <v>2.1000000000000001E-2</v>
      </c>
      <c r="AI1030">
        <v>0.79400000000000004</v>
      </c>
      <c r="AJ1030">
        <v>2.393928571</v>
      </c>
      <c r="AK1030">
        <v>7.1895004900000004</v>
      </c>
      <c r="AL1030">
        <v>3.1E-2</v>
      </c>
      <c r="AM1030">
        <v>0.17799999999999999</v>
      </c>
      <c r="AN1030">
        <v>0.73</v>
      </c>
    </row>
    <row r="1031" spans="1:40">
      <c r="A1031">
        <v>3099</v>
      </c>
      <c r="B1031" t="s">
        <v>702</v>
      </c>
      <c r="C1031" t="s">
        <v>696</v>
      </c>
      <c r="D1031" t="s">
        <v>697</v>
      </c>
      <c r="E1031">
        <v>63</v>
      </c>
      <c r="F1031">
        <v>210</v>
      </c>
      <c r="G1031">
        <v>183.59390250000001</v>
      </c>
      <c r="H1031">
        <v>2967</v>
      </c>
      <c r="I1031">
        <v>0.28697755899999999</v>
      </c>
      <c r="J1031">
        <v>3177</v>
      </c>
      <c r="K1031">
        <v>11070.55204</v>
      </c>
      <c r="L1031">
        <v>0.86499999999999999</v>
      </c>
      <c r="M1031">
        <v>0.97920792099999998</v>
      </c>
      <c r="N1031">
        <v>0</v>
      </c>
      <c r="O1031" t="s">
        <v>613</v>
      </c>
      <c r="P1031">
        <f t="shared" si="137"/>
        <v>14.05348214</v>
      </c>
      <c r="Q1031">
        <f t="shared" si="138"/>
        <v>1.4E-2</v>
      </c>
      <c r="R1031">
        <f t="shared" si="139"/>
        <v>0.02</v>
      </c>
      <c r="S1031">
        <f t="shared" si="140"/>
        <v>0.86499999999999999</v>
      </c>
      <c r="T1031">
        <f t="shared" si="141"/>
        <v>2.78</v>
      </c>
      <c r="U1031">
        <f t="shared" si="142"/>
        <v>8.8531489360000002</v>
      </c>
      <c r="V1031">
        <f t="shared" si="143"/>
        <v>4.4999999999999998E-2</v>
      </c>
      <c r="W1031">
        <f t="shared" si="144"/>
        <v>4.2999999999999997E-2</v>
      </c>
      <c r="X1031">
        <f t="shared" si="145"/>
        <v>0.878</v>
      </c>
      <c r="Y1031">
        <v>58.187532709999999</v>
      </c>
      <c r="Z1031">
        <v>0</v>
      </c>
      <c r="AA1031">
        <v>90778</v>
      </c>
      <c r="AB1031">
        <v>31662</v>
      </c>
      <c r="AC1031">
        <v>3.1753482E-2</v>
      </c>
      <c r="AD1031">
        <v>0.82960131100000001</v>
      </c>
      <c r="AF1031">
        <v>14.05348214</v>
      </c>
      <c r="AG1031">
        <v>1.4E-2</v>
      </c>
      <c r="AH1031">
        <v>0.02</v>
      </c>
      <c r="AI1031">
        <v>0.86499999999999999</v>
      </c>
      <c r="AJ1031">
        <v>2.78</v>
      </c>
      <c r="AK1031">
        <v>8.8531489360000002</v>
      </c>
      <c r="AL1031">
        <v>4.4999999999999998E-2</v>
      </c>
      <c r="AM1031">
        <v>4.2999999999999997E-2</v>
      </c>
      <c r="AN1031">
        <v>0.878</v>
      </c>
    </row>
    <row r="1032" spans="1:40">
      <c r="A1032">
        <v>3100</v>
      </c>
      <c r="B1032" t="s">
        <v>702</v>
      </c>
      <c r="C1032" t="s">
        <v>696</v>
      </c>
      <c r="D1032" t="s">
        <v>697</v>
      </c>
      <c r="E1032">
        <v>568</v>
      </c>
      <c r="F1032">
        <v>1831</v>
      </c>
      <c r="G1032">
        <v>112.53152900000001</v>
      </c>
      <c r="H1032">
        <v>505</v>
      </c>
      <c r="I1032">
        <v>0.175899784</v>
      </c>
      <c r="J1032">
        <v>2336</v>
      </c>
      <c r="K1032">
        <v>13280.28919</v>
      </c>
      <c r="L1032">
        <v>0.82899999999999996</v>
      </c>
      <c r="M1032">
        <v>0.47064305699999998</v>
      </c>
      <c r="N1032">
        <v>1</v>
      </c>
      <c r="O1032" t="s">
        <v>613</v>
      </c>
      <c r="P1032">
        <f t="shared" si="137"/>
        <v>12.925029589999999</v>
      </c>
      <c r="Q1032">
        <f t="shared" si="138"/>
        <v>3.2000000000000001E-2</v>
      </c>
      <c r="R1032">
        <f t="shared" si="139"/>
        <v>8.9999999999999993E-3</v>
      </c>
      <c r="S1032">
        <f t="shared" si="140"/>
        <v>0.82899999999999996</v>
      </c>
      <c r="T1032">
        <f t="shared" si="141"/>
        <v>2.2368749999999999</v>
      </c>
      <c r="U1032">
        <f t="shared" si="142"/>
        <v>6.3460597830000003</v>
      </c>
      <c r="V1032">
        <f t="shared" si="143"/>
        <v>2.4E-2</v>
      </c>
      <c r="W1032">
        <f t="shared" si="144"/>
        <v>0.105</v>
      </c>
      <c r="X1032">
        <f t="shared" si="145"/>
        <v>0.80500000000000005</v>
      </c>
      <c r="Y1032">
        <v>263.34714830000001</v>
      </c>
      <c r="Z1032">
        <v>0</v>
      </c>
      <c r="AA1032">
        <v>90778</v>
      </c>
      <c r="AB1032">
        <v>31662</v>
      </c>
      <c r="AC1032">
        <v>3.1753482E-2</v>
      </c>
      <c r="AD1032">
        <v>0.82960131100000001</v>
      </c>
      <c r="AF1032">
        <v>12.925029589999999</v>
      </c>
      <c r="AG1032">
        <v>3.2000000000000001E-2</v>
      </c>
      <c r="AH1032">
        <v>8.9999999999999993E-3</v>
      </c>
      <c r="AI1032">
        <v>0.82899999999999996</v>
      </c>
      <c r="AJ1032">
        <v>2.2368749999999999</v>
      </c>
      <c r="AK1032">
        <v>6.3460597830000003</v>
      </c>
      <c r="AL1032">
        <v>2.4E-2</v>
      </c>
      <c r="AM1032">
        <v>0.105</v>
      </c>
      <c r="AN1032">
        <v>0.80500000000000005</v>
      </c>
    </row>
    <row r="1033" spans="1:40">
      <c r="A1033">
        <v>3101</v>
      </c>
      <c r="B1033" t="s">
        <v>705</v>
      </c>
      <c r="C1033" t="s">
        <v>696</v>
      </c>
      <c r="D1033" t="s">
        <v>697</v>
      </c>
      <c r="E1033">
        <v>133</v>
      </c>
      <c r="F1033">
        <v>440</v>
      </c>
      <c r="G1033">
        <v>133.3279086</v>
      </c>
      <c r="H1033">
        <v>2915</v>
      </c>
      <c r="I1033">
        <v>0.208405168</v>
      </c>
      <c r="J1033">
        <v>3355</v>
      </c>
      <c r="K1033">
        <v>16098.44915</v>
      </c>
      <c r="L1033">
        <v>0.88300000000000001</v>
      </c>
      <c r="M1033">
        <v>0.95636482899999997</v>
      </c>
      <c r="N1033">
        <v>0</v>
      </c>
      <c r="O1033" t="s">
        <v>620</v>
      </c>
      <c r="P1033">
        <f t="shared" si="137"/>
        <v>11.98930788</v>
      </c>
      <c r="Q1033">
        <f t="shared" si="138"/>
        <v>1.2999999999999999E-2</v>
      </c>
      <c r="R1033">
        <f t="shared" si="139"/>
        <v>1.2999999999999999E-2</v>
      </c>
      <c r="S1033">
        <f t="shared" si="140"/>
        <v>0.88300000000000001</v>
      </c>
      <c r="T1033">
        <f t="shared" si="141"/>
        <v>2.5546666669999998</v>
      </c>
      <c r="U1033">
        <f t="shared" si="142"/>
        <v>6.3940156689999998</v>
      </c>
      <c r="V1033">
        <f t="shared" si="143"/>
        <v>4.2999999999999997E-2</v>
      </c>
      <c r="W1033">
        <f t="shared" si="144"/>
        <v>4.4999999999999998E-2</v>
      </c>
      <c r="X1033">
        <f t="shared" si="145"/>
        <v>0.89100000000000001</v>
      </c>
      <c r="Y1033">
        <v>278.29905059999999</v>
      </c>
      <c r="Z1033">
        <v>0</v>
      </c>
      <c r="AA1033">
        <v>152832</v>
      </c>
      <c r="AB1033">
        <v>45686</v>
      </c>
      <c r="AC1033">
        <v>2.1596295000000001E-2</v>
      </c>
      <c r="AD1033">
        <v>0.84212384500000004</v>
      </c>
      <c r="AF1033">
        <v>11.98930788</v>
      </c>
      <c r="AG1033">
        <v>1.2999999999999999E-2</v>
      </c>
      <c r="AH1033">
        <v>1.2999999999999999E-2</v>
      </c>
      <c r="AI1033">
        <v>0.88300000000000001</v>
      </c>
      <c r="AJ1033">
        <v>2.5546666669999998</v>
      </c>
      <c r="AK1033">
        <v>6.3940156689999998</v>
      </c>
      <c r="AL1033">
        <v>4.2999999999999997E-2</v>
      </c>
      <c r="AM1033">
        <v>4.4999999999999998E-2</v>
      </c>
      <c r="AN1033">
        <v>0.89100000000000001</v>
      </c>
    </row>
    <row r="1034" spans="1:40">
      <c r="A1034">
        <v>3102</v>
      </c>
      <c r="B1034" t="s">
        <v>686</v>
      </c>
      <c r="C1034" t="s">
        <v>687</v>
      </c>
      <c r="D1034" t="s">
        <v>688</v>
      </c>
      <c r="E1034">
        <v>507</v>
      </c>
      <c r="F1034">
        <v>918</v>
      </c>
      <c r="G1034">
        <v>53.777357739999999</v>
      </c>
      <c r="H1034">
        <v>55</v>
      </c>
      <c r="I1034">
        <v>8.4064776999999993E-2</v>
      </c>
      <c r="J1034">
        <v>973</v>
      </c>
      <c r="K1034">
        <v>11574.407670000001</v>
      </c>
      <c r="L1034">
        <v>0.59099999999999997</v>
      </c>
      <c r="M1034">
        <v>9.7864769000000004E-2</v>
      </c>
      <c r="N1034">
        <v>1</v>
      </c>
      <c r="O1034" t="s">
        <v>613</v>
      </c>
      <c r="P1034">
        <f t="shared" si="137"/>
        <v>7.9545238100000004</v>
      </c>
      <c r="Q1034">
        <f t="shared" si="138"/>
        <v>0.15</v>
      </c>
      <c r="R1034">
        <f t="shared" si="139"/>
        <v>3.4000000000000002E-2</v>
      </c>
      <c r="S1034">
        <f t="shared" si="140"/>
        <v>0.59099999999999997</v>
      </c>
      <c r="T1034">
        <f t="shared" si="141"/>
        <v>1.5476190480000001</v>
      </c>
      <c r="U1034">
        <f t="shared" si="142"/>
        <v>4.8283094560000004</v>
      </c>
      <c r="V1034">
        <f t="shared" si="143"/>
        <v>3.6999999999999998E-2</v>
      </c>
      <c r="W1034">
        <f t="shared" si="144"/>
        <v>0.35799999999999998</v>
      </c>
      <c r="X1034">
        <f t="shared" si="145"/>
        <v>0.51900000000000002</v>
      </c>
      <c r="Y1034">
        <v>223.17315239999999</v>
      </c>
      <c r="Z1034">
        <v>1</v>
      </c>
      <c r="AA1034">
        <v>140316</v>
      </c>
      <c r="AB1034">
        <v>49638</v>
      </c>
      <c r="AC1034">
        <v>9.1283894000000004E-2</v>
      </c>
      <c r="AD1034">
        <v>0.60339869999999995</v>
      </c>
      <c r="AF1034">
        <v>7.9545238100000004</v>
      </c>
      <c r="AG1034">
        <v>0.15</v>
      </c>
      <c r="AH1034">
        <v>3.4000000000000002E-2</v>
      </c>
      <c r="AI1034">
        <v>0.59099999999999997</v>
      </c>
      <c r="AJ1034">
        <v>1.5476190480000001</v>
      </c>
      <c r="AK1034">
        <v>4.8283094560000004</v>
      </c>
      <c r="AL1034">
        <v>3.6999999999999998E-2</v>
      </c>
      <c r="AM1034">
        <v>0.35799999999999998</v>
      </c>
      <c r="AN1034">
        <v>0.51900000000000002</v>
      </c>
    </row>
    <row r="1035" spans="1:40">
      <c r="A1035">
        <v>3103</v>
      </c>
      <c r="B1035" t="s">
        <v>689</v>
      </c>
      <c r="C1035" t="s">
        <v>687</v>
      </c>
      <c r="D1035" t="s">
        <v>688</v>
      </c>
      <c r="E1035">
        <v>368</v>
      </c>
      <c r="F1035">
        <v>940</v>
      </c>
      <c r="G1035">
        <v>323.39978930000001</v>
      </c>
      <c r="H1035">
        <v>84</v>
      </c>
      <c r="I1035">
        <v>0.505511771</v>
      </c>
      <c r="J1035">
        <v>1024</v>
      </c>
      <c r="K1035">
        <v>2025.669942</v>
      </c>
      <c r="L1035">
        <v>0.83299999999999996</v>
      </c>
      <c r="M1035">
        <v>0.18584070799999999</v>
      </c>
      <c r="N1035">
        <v>0</v>
      </c>
      <c r="O1035" t="s">
        <v>620</v>
      </c>
      <c r="P1035">
        <f t="shared" si="137"/>
        <v>10.99175258</v>
      </c>
      <c r="Q1035">
        <f t="shared" si="138"/>
        <v>6.8000000000000005E-2</v>
      </c>
      <c r="R1035">
        <f t="shared" si="139"/>
        <v>1.9E-2</v>
      </c>
      <c r="S1035">
        <f t="shared" si="140"/>
        <v>0.83299999999999996</v>
      </c>
      <c r="T1035">
        <f t="shared" si="141"/>
        <v>2.6880000000000002</v>
      </c>
      <c r="U1035">
        <f t="shared" si="142"/>
        <v>6.9552463050000002</v>
      </c>
      <c r="V1035">
        <f t="shared" si="143"/>
        <v>3.1E-2</v>
      </c>
      <c r="W1035">
        <f t="shared" si="144"/>
        <v>0.214</v>
      </c>
      <c r="X1035">
        <f t="shared" si="145"/>
        <v>0.74</v>
      </c>
      <c r="Y1035">
        <v>45.581127709999997</v>
      </c>
      <c r="Z1035">
        <v>0</v>
      </c>
      <c r="AA1035">
        <v>454184</v>
      </c>
      <c r="AB1035">
        <v>170596</v>
      </c>
      <c r="AC1035">
        <v>6.5715274000000004E-2</v>
      </c>
      <c r="AD1035">
        <v>0.72549415100000003</v>
      </c>
      <c r="AF1035">
        <v>10.99175258</v>
      </c>
      <c r="AG1035">
        <v>6.8000000000000005E-2</v>
      </c>
      <c r="AH1035">
        <v>1.9E-2</v>
      </c>
      <c r="AI1035">
        <v>0.83299999999999996</v>
      </c>
      <c r="AJ1035">
        <v>2.6880000000000002</v>
      </c>
      <c r="AK1035">
        <v>6.9552463050000002</v>
      </c>
      <c r="AL1035">
        <v>3.1E-2</v>
      </c>
      <c r="AM1035">
        <v>0.214</v>
      </c>
      <c r="AN1035">
        <v>0.74</v>
      </c>
    </row>
    <row r="1036" spans="1:40">
      <c r="A1036">
        <v>3104</v>
      </c>
      <c r="B1036" t="s">
        <v>702</v>
      </c>
      <c r="C1036" t="s">
        <v>696</v>
      </c>
      <c r="D1036" t="s">
        <v>697</v>
      </c>
      <c r="E1036">
        <v>247</v>
      </c>
      <c r="F1036">
        <v>724</v>
      </c>
      <c r="G1036">
        <v>62.373615379999997</v>
      </c>
      <c r="H1036">
        <v>107</v>
      </c>
      <c r="I1036">
        <v>9.7494953999999995E-2</v>
      </c>
      <c r="J1036">
        <v>831</v>
      </c>
      <c r="K1036">
        <v>8523.5180479999999</v>
      </c>
      <c r="L1036">
        <v>0.80200000000000005</v>
      </c>
      <c r="M1036">
        <v>0.302259887</v>
      </c>
      <c r="N1036">
        <v>0</v>
      </c>
      <c r="O1036" t="s">
        <v>620</v>
      </c>
      <c r="P1036">
        <f t="shared" ref="P1036:P1099" si="146">IF(OR(IFERROR(AF1036=0,TRUE),ISERROR(AF1036)),AVERAGEIFS(AF:AF,$B:$B,$B1036,AF:AF,"&gt;0"),AF1036)</f>
        <v>13.133188410000001</v>
      </c>
      <c r="Q1036">
        <f t="shared" ref="Q1036:Q1099" si="147">IF(OR(IFERROR(AG1036=0,TRUE),ISERROR(AG1036)),AVERAGEIFS(AG:AG,$B:$B,$B1036,AG:AG,"&gt;0"),AG1036)</f>
        <v>5.2999999999999999E-2</v>
      </c>
      <c r="R1036">
        <f t="shared" ref="R1036:R1099" si="148">IF(OR(IFERROR(AH1036=0,TRUE),ISERROR(AH1036)),AVERAGEIFS(AH:AH,$B:$B,$B1036,AH:AH,"&gt;0"),AH1036)</f>
        <v>1.2999999999999999E-2</v>
      </c>
      <c r="S1036">
        <f t="shared" ref="S1036:S1099" si="149">IF(OR(IFERROR(AI1036=0,TRUE),ISERROR(AI1036)),AVERAGEIFS(AI:AI,$B:$B,$B1036,AI:AI,"&gt;0"),AI1036)</f>
        <v>0.80200000000000005</v>
      </c>
      <c r="T1036">
        <f t="shared" ref="T1036:T1099" si="150">IF(OR(IFERROR(AJ1036=0,TRUE),ISERROR(AJ1036)),AVERAGEIFS(AJ:AJ,$B:$B,$B1036,AJ:AJ,"&gt;0"),AJ1036)</f>
        <v>3.4333333330000002</v>
      </c>
      <c r="U1036">
        <f t="shared" ref="U1036:U1099" si="151">IF(OR(IFERROR(AK1036=0,TRUE),ISERROR(AK1036)),AVERAGEIFS(AK:AK,$B:$B,$B1036,AK:AK,"&gt;0"),AK1036)</f>
        <v>7.2929532159999999</v>
      </c>
      <c r="V1036">
        <f t="shared" ref="V1036:V1099" si="152">IF(OR(IFERROR(AL1036=0,TRUE),ISERROR(AL1036)),AVERAGEIFS(AL:AL,$B:$B,$B1036,AL:AL,"&gt;0"),AL1036)</f>
        <v>2.5999999999999999E-2</v>
      </c>
      <c r="W1036">
        <f t="shared" ref="W1036:W1099" si="153">IF(OR(IFERROR(AM1036=0,TRUE),ISERROR(AM1036)),AVERAGEIFS(AM:AM,$B:$B,$B1036,AM:AM,"&gt;0"),AM1036)</f>
        <v>7.8E-2</v>
      </c>
      <c r="X1036">
        <f t="shared" ref="X1036:X1099" si="154">IF(OR(IFERROR(AN1036=0,TRUE),ISERROR(AN1036)),AVERAGEIFS(AN:AN,$B:$B,$B1036,AN:AN,"&gt;0"),AN1036)</f>
        <v>0.89600000000000002</v>
      </c>
      <c r="Y1036">
        <v>128.11599459999999</v>
      </c>
      <c r="Z1036">
        <v>0</v>
      </c>
      <c r="AA1036">
        <v>90778</v>
      </c>
      <c r="AB1036">
        <v>31662</v>
      </c>
      <c r="AC1036">
        <v>3.1753482E-2</v>
      </c>
      <c r="AD1036">
        <v>0.82960131100000001</v>
      </c>
      <c r="AF1036">
        <v>13.133188410000001</v>
      </c>
      <c r="AG1036">
        <v>5.2999999999999999E-2</v>
      </c>
      <c r="AH1036">
        <v>1.2999999999999999E-2</v>
      </c>
      <c r="AI1036">
        <v>0.80200000000000005</v>
      </c>
      <c r="AJ1036">
        <v>3.4333333330000002</v>
      </c>
      <c r="AK1036">
        <v>7.2929532159999999</v>
      </c>
      <c r="AL1036">
        <v>2.5999999999999999E-2</v>
      </c>
      <c r="AM1036">
        <v>7.8E-2</v>
      </c>
      <c r="AN1036">
        <v>0.89600000000000002</v>
      </c>
    </row>
    <row r="1037" spans="1:40">
      <c r="A1037">
        <v>3105</v>
      </c>
      <c r="B1037" t="s">
        <v>689</v>
      </c>
      <c r="C1037" t="s">
        <v>687</v>
      </c>
      <c r="D1037" t="s">
        <v>688</v>
      </c>
      <c r="E1037">
        <v>42</v>
      </c>
      <c r="F1037">
        <v>229</v>
      </c>
      <c r="G1037">
        <v>77.673436210000006</v>
      </c>
      <c r="H1037">
        <v>1355</v>
      </c>
      <c r="I1037">
        <v>0.121414798</v>
      </c>
      <c r="J1037">
        <v>1584</v>
      </c>
      <c r="K1037">
        <v>13046.18569</v>
      </c>
      <c r="L1037">
        <v>0.83399999999999996</v>
      </c>
      <c r="M1037">
        <v>0.96993557600000002</v>
      </c>
      <c r="N1037">
        <v>1</v>
      </c>
      <c r="O1037" t="s">
        <v>613</v>
      </c>
      <c r="P1037">
        <f t="shared" si="146"/>
        <v>14.801666669999999</v>
      </c>
      <c r="Q1037">
        <f t="shared" si="147"/>
        <v>4.1000000000000002E-2</v>
      </c>
      <c r="R1037">
        <f t="shared" si="148"/>
        <v>1.9E-2</v>
      </c>
      <c r="S1037">
        <f t="shared" si="149"/>
        <v>0.83399999999999996</v>
      </c>
      <c r="T1037">
        <f t="shared" si="150"/>
        <v>2.36625</v>
      </c>
      <c r="U1037">
        <f t="shared" si="151"/>
        <v>9.1533480180000009</v>
      </c>
      <c r="V1037">
        <f t="shared" si="152"/>
        <v>3.3000000000000002E-2</v>
      </c>
      <c r="W1037">
        <f t="shared" si="153"/>
        <v>0.11799999999999999</v>
      </c>
      <c r="X1037">
        <f t="shared" si="154"/>
        <v>0.79200000000000004</v>
      </c>
      <c r="Y1037">
        <v>76.006320840000001</v>
      </c>
      <c r="Z1037">
        <v>0</v>
      </c>
      <c r="AA1037">
        <v>454184</v>
      </c>
      <c r="AB1037">
        <v>170596</v>
      </c>
      <c r="AC1037">
        <v>6.5715274000000004E-2</v>
      </c>
      <c r="AD1037">
        <v>0.72549415100000003</v>
      </c>
      <c r="AF1037">
        <v>14.801666669999999</v>
      </c>
      <c r="AG1037">
        <v>4.1000000000000002E-2</v>
      </c>
      <c r="AH1037">
        <v>1.9E-2</v>
      </c>
      <c r="AI1037">
        <v>0.83399999999999996</v>
      </c>
      <c r="AJ1037">
        <v>2.36625</v>
      </c>
      <c r="AK1037">
        <v>9.1533480180000009</v>
      </c>
      <c r="AL1037">
        <v>3.3000000000000002E-2</v>
      </c>
      <c r="AM1037">
        <v>0.11799999999999999</v>
      </c>
      <c r="AN1037">
        <v>0.79200000000000004</v>
      </c>
    </row>
    <row r="1038" spans="1:40">
      <c r="A1038">
        <v>3106</v>
      </c>
      <c r="B1038" t="s">
        <v>702</v>
      </c>
      <c r="C1038" t="s">
        <v>696</v>
      </c>
      <c r="D1038" t="s">
        <v>697</v>
      </c>
      <c r="E1038">
        <v>725</v>
      </c>
      <c r="F1038">
        <v>2196</v>
      </c>
      <c r="G1038">
        <v>99.670548229999994</v>
      </c>
      <c r="H1038">
        <v>324</v>
      </c>
      <c r="I1038">
        <v>0.15579444000000001</v>
      </c>
      <c r="J1038">
        <v>2520</v>
      </c>
      <c r="K1038">
        <v>16175.160040000001</v>
      </c>
      <c r="L1038">
        <v>0.85299999999999998</v>
      </c>
      <c r="M1038">
        <v>0.30886558600000003</v>
      </c>
      <c r="N1038">
        <v>0</v>
      </c>
      <c r="O1038" t="s">
        <v>620</v>
      </c>
      <c r="P1038">
        <f t="shared" si="146"/>
        <v>13.07564103</v>
      </c>
      <c r="Q1038">
        <f t="shared" si="147"/>
        <v>1.2E-2</v>
      </c>
      <c r="R1038">
        <f t="shared" si="148"/>
        <v>0.02</v>
      </c>
      <c r="S1038">
        <f t="shared" si="149"/>
        <v>0.85299999999999998</v>
      </c>
      <c r="T1038">
        <f t="shared" si="150"/>
        <v>1.8903125000000001</v>
      </c>
      <c r="U1038">
        <f t="shared" si="151"/>
        <v>6.2977671329999998</v>
      </c>
      <c r="V1038">
        <f t="shared" si="152"/>
        <v>2.3E-2</v>
      </c>
      <c r="W1038">
        <f t="shared" si="153"/>
        <v>6.9000000000000006E-2</v>
      </c>
      <c r="X1038">
        <f t="shared" si="154"/>
        <v>0.89100000000000001</v>
      </c>
      <c r="Y1038">
        <v>138.67367440000001</v>
      </c>
      <c r="Z1038">
        <v>0</v>
      </c>
      <c r="AA1038">
        <v>90778</v>
      </c>
      <c r="AB1038">
        <v>31662</v>
      </c>
      <c r="AC1038">
        <v>3.1753482E-2</v>
      </c>
      <c r="AD1038">
        <v>0.82960131100000001</v>
      </c>
      <c r="AF1038">
        <v>13.07564103</v>
      </c>
      <c r="AG1038">
        <v>1.2E-2</v>
      </c>
      <c r="AH1038">
        <v>0.02</v>
      </c>
      <c r="AI1038">
        <v>0.85299999999999998</v>
      </c>
      <c r="AJ1038">
        <v>1.8903125000000001</v>
      </c>
      <c r="AK1038">
        <v>6.2977671329999998</v>
      </c>
      <c r="AL1038">
        <v>2.3E-2</v>
      </c>
      <c r="AM1038">
        <v>6.9000000000000006E-2</v>
      </c>
      <c r="AN1038">
        <v>0.89100000000000001</v>
      </c>
    </row>
    <row r="1039" spans="1:40">
      <c r="A1039">
        <v>3107</v>
      </c>
      <c r="B1039" t="s">
        <v>698</v>
      </c>
      <c r="C1039" t="s">
        <v>693</v>
      </c>
      <c r="D1039" t="s">
        <v>694</v>
      </c>
      <c r="E1039">
        <v>976</v>
      </c>
      <c r="F1039">
        <v>2495</v>
      </c>
      <c r="G1039">
        <v>282.69180419999998</v>
      </c>
      <c r="H1039">
        <v>0</v>
      </c>
      <c r="I1039">
        <v>0.44188255500000001</v>
      </c>
      <c r="J1039">
        <v>2495</v>
      </c>
      <c r="K1039">
        <v>5646.2966729999998</v>
      </c>
      <c r="L1039">
        <v>0.80200000000000005</v>
      </c>
      <c r="M1039">
        <v>0</v>
      </c>
      <c r="N1039">
        <v>0</v>
      </c>
      <c r="O1039" t="s">
        <v>620</v>
      </c>
      <c r="P1039">
        <f t="shared" si="146"/>
        <v>19.449798990000001</v>
      </c>
      <c r="Q1039">
        <f t="shared" si="147"/>
        <v>2.5000000000000001E-2</v>
      </c>
      <c r="R1039">
        <f t="shared" si="148"/>
        <v>1.7999999999999999E-2</v>
      </c>
      <c r="S1039">
        <f t="shared" si="149"/>
        <v>0.80200000000000005</v>
      </c>
      <c r="T1039">
        <f t="shared" si="150"/>
        <v>2.895</v>
      </c>
      <c r="U1039">
        <f t="shared" si="151"/>
        <v>8.6947021279999994</v>
      </c>
      <c r="V1039">
        <f t="shared" si="152"/>
        <v>1.7999999999999999E-2</v>
      </c>
      <c r="W1039">
        <f t="shared" si="153"/>
        <v>0.106</v>
      </c>
      <c r="X1039">
        <f t="shared" si="154"/>
        <v>0.877</v>
      </c>
      <c r="Y1039">
        <v>83.798720959999997</v>
      </c>
      <c r="Z1039">
        <v>0</v>
      </c>
      <c r="AA1039">
        <v>88250</v>
      </c>
      <c r="AB1039">
        <v>31723</v>
      </c>
      <c r="AC1039">
        <v>1.0795895999999999E-2</v>
      </c>
      <c r="AD1039">
        <v>0.817760245</v>
      </c>
      <c r="AF1039">
        <v>19.449798990000001</v>
      </c>
      <c r="AG1039">
        <v>2.5000000000000001E-2</v>
      </c>
      <c r="AH1039">
        <v>1.7999999999999999E-2</v>
      </c>
      <c r="AI1039">
        <v>0.80200000000000005</v>
      </c>
      <c r="AJ1039">
        <v>2.895</v>
      </c>
      <c r="AK1039">
        <v>8.6947021279999994</v>
      </c>
      <c r="AL1039">
        <v>1.7999999999999999E-2</v>
      </c>
      <c r="AM1039">
        <v>0.106</v>
      </c>
      <c r="AN1039">
        <v>0.877</v>
      </c>
    </row>
    <row r="1040" spans="1:40">
      <c r="A1040">
        <v>3108</v>
      </c>
      <c r="B1040" t="s">
        <v>690</v>
      </c>
      <c r="C1040" t="s">
        <v>687</v>
      </c>
      <c r="D1040" t="s">
        <v>688</v>
      </c>
      <c r="E1040">
        <v>537</v>
      </c>
      <c r="F1040">
        <v>1303</v>
      </c>
      <c r="G1040">
        <v>65.002939839999996</v>
      </c>
      <c r="H1040">
        <v>172</v>
      </c>
      <c r="I1040">
        <v>0.101610062</v>
      </c>
      <c r="J1040">
        <v>1475</v>
      </c>
      <c r="K1040">
        <v>14516.278910000001</v>
      </c>
      <c r="L1040">
        <v>0.80700000000000005</v>
      </c>
      <c r="M1040">
        <v>0.24259520500000001</v>
      </c>
      <c r="N1040">
        <v>0</v>
      </c>
      <c r="O1040" t="s">
        <v>613</v>
      </c>
      <c r="P1040">
        <f t="shared" si="146"/>
        <v>8.1204477609999994</v>
      </c>
      <c r="Q1040">
        <f t="shared" si="147"/>
        <v>6.8000000000000005E-2</v>
      </c>
      <c r="R1040">
        <f t="shared" si="148"/>
        <v>1.2E-2</v>
      </c>
      <c r="S1040">
        <f t="shared" si="149"/>
        <v>0.80700000000000005</v>
      </c>
      <c r="T1040">
        <f t="shared" si="150"/>
        <v>3.1587499999999999</v>
      </c>
      <c r="U1040">
        <f t="shared" si="151"/>
        <v>6.4568703699999999</v>
      </c>
      <c r="V1040">
        <f t="shared" si="152"/>
        <v>1.7000000000000001E-2</v>
      </c>
      <c r="W1040">
        <f t="shared" si="153"/>
        <v>0.17399999999999999</v>
      </c>
      <c r="X1040">
        <f t="shared" si="154"/>
        <v>0.77900000000000003</v>
      </c>
      <c r="Y1040">
        <v>222.0626408</v>
      </c>
      <c r="Z1040">
        <v>0</v>
      </c>
      <c r="AA1040">
        <v>82284</v>
      </c>
      <c r="AB1040">
        <v>32030</v>
      </c>
      <c r="AC1040">
        <v>4.7570397E-2</v>
      </c>
      <c r="AD1040">
        <v>0.78974696300000002</v>
      </c>
      <c r="AF1040">
        <v>8.1204477609999994</v>
      </c>
      <c r="AG1040">
        <v>6.8000000000000005E-2</v>
      </c>
      <c r="AH1040">
        <v>1.2E-2</v>
      </c>
      <c r="AI1040">
        <v>0.80700000000000005</v>
      </c>
      <c r="AJ1040">
        <v>3.1587499999999999</v>
      </c>
      <c r="AK1040">
        <v>6.4568703699999999</v>
      </c>
      <c r="AL1040">
        <v>1.7000000000000001E-2</v>
      </c>
      <c r="AM1040">
        <v>0.17399999999999999</v>
      </c>
      <c r="AN1040">
        <v>0.77900000000000003</v>
      </c>
    </row>
    <row r="1041" spans="1:40">
      <c r="A1041">
        <v>3109</v>
      </c>
      <c r="B1041" t="s">
        <v>702</v>
      </c>
      <c r="C1041" t="s">
        <v>696</v>
      </c>
      <c r="D1041" t="s">
        <v>697</v>
      </c>
      <c r="E1041">
        <v>299</v>
      </c>
      <c r="F1041">
        <v>758</v>
      </c>
      <c r="G1041">
        <v>53.861175109999998</v>
      </c>
      <c r="H1041">
        <v>45</v>
      </c>
      <c r="I1041">
        <v>8.4190259000000003E-2</v>
      </c>
      <c r="J1041">
        <v>803</v>
      </c>
      <c r="K1041">
        <v>9537.9205330000004</v>
      </c>
      <c r="L1041">
        <v>0.73099999999999998</v>
      </c>
      <c r="M1041">
        <v>0.13081395300000001</v>
      </c>
      <c r="N1041">
        <v>0</v>
      </c>
      <c r="O1041" t="s">
        <v>613</v>
      </c>
      <c r="P1041">
        <f t="shared" si="146"/>
        <v>11.564255319999999</v>
      </c>
      <c r="Q1041">
        <f t="shared" si="147"/>
        <v>0.106</v>
      </c>
      <c r="R1041">
        <f t="shared" si="148"/>
        <v>2.5999999999999999E-2</v>
      </c>
      <c r="S1041">
        <f t="shared" si="149"/>
        <v>0.73099999999999998</v>
      </c>
      <c r="T1041">
        <f t="shared" si="150"/>
        <v>1.986</v>
      </c>
      <c r="U1041">
        <f t="shared" si="151"/>
        <v>5.8752059929999998</v>
      </c>
      <c r="V1041">
        <f t="shared" si="152"/>
        <v>6.8000000000000005E-2</v>
      </c>
      <c r="W1041">
        <f t="shared" si="153"/>
        <v>0.375</v>
      </c>
      <c r="X1041">
        <f t="shared" si="154"/>
        <v>0.53400000000000003</v>
      </c>
      <c r="Y1041">
        <v>88.971323040000001</v>
      </c>
      <c r="Z1041">
        <v>0</v>
      </c>
      <c r="AA1041">
        <v>90778</v>
      </c>
      <c r="AB1041">
        <v>31662</v>
      </c>
      <c r="AC1041">
        <v>3.1753482E-2</v>
      </c>
      <c r="AD1041">
        <v>0.82960131100000001</v>
      </c>
      <c r="AF1041">
        <v>11.564255319999999</v>
      </c>
      <c r="AG1041">
        <v>0.106</v>
      </c>
      <c r="AH1041">
        <v>2.5999999999999999E-2</v>
      </c>
      <c r="AI1041">
        <v>0.73099999999999998</v>
      </c>
      <c r="AJ1041">
        <v>1.986</v>
      </c>
      <c r="AK1041">
        <v>5.8752059929999998</v>
      </c>
      <c r="AL1041">
        <v>6.8000000000000005E-2</v>
      </c>
      <c r="AM1041">
        <v>0.375</v>
      </c>
      <c r="AN1041">
        <v>0.53400000000000003</v>
      </c>
    </row>
    <row r="1042" spans="1:40">
      <c r="A1042">
        <v>3110</v>
      </c>
      <c r="B1042" t="s">
        <v>705</v>
      </c>
      <c r="C1042" t="s">
        <v>696</v>
      </c>
      <c r="D1042" t="s">
        <v>697</v>
      </c>
      <c r="E1042">
        <v>428</v>
      </c>
      <c r="F1042">
        <v>1044</v>
      </c>
      <c r="G1042">
        <v>46.07109578</v>
      </c>
      <c r="H1042">
        <v>452</v>
      </c>
      <c r="I1042">
        <v>7.2013052999999994E-2</v>
      </c>
      <c r="J1042">
        <v>1496</v>
      </c>
      <c r="K1042">
        <v>20774.011620000001</v>
      </c>
      <c r="L1042">
        <v>0.78800000000000003</v>
      </c>
      <c r="M1042">
        <v>0.51363636400000001</v>
      </c>
      <c r="N1042">
        <v>0</v>
      </c>
      <c r="O1042" t="s">
        <v>613</v>
      </c>
      <c r="P1042">
        <f t="shared" si="146"/>
        <v>13.17075949</v>
      </c>
      <c r="Q1042">
        <f t="shared" si="147"/>
        <v>1.7999999999999999E-2</v>
      </c>
      <c r="R1042">
        <f t="shared" si="148"/>
        <v>0.03</v>
      </c>
      <c r="S1042">
        <f t="shared" si="149"/>
        <v>0.78800000000000003</v>
      </c>
      <c r="T1042">
        <f t="shared" si="150"/>
        <v>1.6897058819999999</v>
      </c>
      <c r="U1042">
        <f t="shared" si="151"/>
        <v>7.1904387989999998</v>
      </c>
      <c r="V1042">
        <f t="shared" si="152"/>
        <v>6.8000000000000005E-2</v>
      </c>
      <c r="W1042">
        <f t="shared" si="153"/>
        <v>8.4000000000000005E-2</v>
      </c>
      <c r="X1042">
        <f t="shared" si="154"/>
        <v>0.83199999999999996</v>
      </c>
      <c r="Y1042">
        <v>146.75894500000001</v>
      </c>
      <c r="Z1042">
        <v>0</v>
      </c>
      <c r="AA1042">
        <v>152832</v>
      </c>
      <c r="AB1042">
        <v>45686</v>
      </c>
      <c r="AC1042">
        <v>2.1596295000000001E-2</v>
      </c>
      <c r="AD1042">
        <v>0.84212384500000004</v>
      </c>
      <c r="AF1042">
        <v>13.17075949</v>
      </c>
      <c r="AG1042">
        <v>1.7999999999999999E-2</v>
      </c>
      <c r="AH1042">
        <v>0.03</v>
      </c>
      <c r="AI1042">
        <v>0.78800000000000003</v>
      </c>
      <c r="AJ1042">
        <v>1.6897058819999999</v>
      </c>
      <c r="AK1042">
        <v>7.1904387989999998</v>
      </c>
      <c r="AL1042">
        <v>6.8000000000000005E-2</v>
      </c>
      <c r="AM1042">
        <v>8.4000000000000005E-2</v>
      </c>
      <c r="AN1042">
        <v>0.83199999999999996</v>
      </c>
    </row>
    <row r="1043" spans="1:40">
      <c r="A1043">
        <v>3111</v>
      </c>
      <c r="B1043" t="s">
        <v>705</v>
      </c>
      <c r="C1043" t="s">
        <v>696</v>
      </c>
      <c r="D1043" t="s">
        <v>697</v>
      </c>
      <c r="E1043">
        <v>200</v>
      </c>
      <c r="F1043">
        <v>368</v>
      </c>
      <c r="G1043">
        <v>35.894286489999999</v>
      </c>
      <c r="H1043">
        <v>1030</v>
      </c>
      <c r="I1043">
        <v>5.6102638000000003E-2</v>
      </c>
      <c r="J1043">
        <v>1398</v>
      </c>
      <c r="K1043">
        <v>24918.61434</v>
      </c>
      <c r="L1043">
        <v>0.80400000000000005</v>
      </c>
      <c r="M1043">
        <v>0.83739837399999995</v>
      </c>
      <c r="N1043">
        <v>1</v>
      </c>
      <c r="O1043" t="s">
        <v>613</v>
      </c>
      <c r="P1043">
        <f t="shared" si="146"/>
        <v>10.550273969999999</v>
      </c>
      <c r="Q1043">
        <f t="shared" si="147"/>
        <v>1.9E-2</v>
      </c>
      <c r="R1043">
        <f t="shared" si="148"/>
        <v>2.5000000000000001E-2</v>
      </c>
      <c r="S1043">
        <f t="shared" si="149"/>
        <v>0.80400000000000005</v>
      </c>
      <c r="T1043">
        <f t="shared" si="150"/>
        <v>2.3650000000000002</v>
      </c>
      <c r="U1043">
        <f t="shared" si="151"/>
        <v>6.1333438989999998</v>
      </c>
      <c r="V1043">
        <f t="shared" si="152"/>
        <v>6.5000000000000002E-2</v>
      </c>
      <c r="W1043">
        <f t="shared" si="153"/>
        <v>8.5999999999999993E-2</v>
      </c>
      <c r="X1043">
        <f t="shared" si="154"/>
        <v>0.78500000000000003</v>
      </c>
      <c r="Y1043">
        <v>157.4662271</v>
      </c>
      <c r="Z1043">
        <v>0</v>
      </c>
      <c r="AA1043">
        <v>152832</v>
      </c>
      <c r="AB1043">
        <v>45686</v>
      </c>
      <c r="AC1043">
        <v>2.1596295000000001E-2</v>
      </c>
      <c r="AD1043">
        <v>0.84212384500000004</v>
      </c>
      <c r="AF1043">
        <v>10.550273969999999</v>
      </c>
      <c r="AG1043">
        <v>1.9E-2</v>
      </c>
      <c r="AH1043">
        <v>2.5000000000000001E-2</v>
      </c>
      <c r="AI1043">
        <v>0.80400000000000005</v>
      </c>
      <c r="AJ1043">
        <v>2.3650000000000002</v>
      </c>
      <c r="AK1043">
        <v>6.1333438989999998</v>
      </c>
      <c r="AL1043">
        <v>6.5000000000000002E-2</v>
      </c>
      <c r="AM1043">
        <v>8.5999999999999993E-2</v>
      </c>
      <c r="AN1043">
        <v>0.78500000000000003</v>
      </c>
    </row>
    <row r="1044" spans="1:40">
      <c r="A1044">
        <v>3112</v>
      </c>
      <c r="B1044" t="s">
        <v>705</v>
      </c>
      <c r="C1044" t="s">
        <v>696</v>
      </c>
      <c r="D1044" t="s">
        <v>697</v>
      </c>
      <c r="E1044">
        <v>158</v>
      </c>
      <c r="F1044">
        <v>434</v>
      </c>
      <c r="G1044">
        <v>35.543528240000001</v>
      </c>
      <c r="H1044">
        <v>273</v>
      </c>
      <c r="I1044">
        <v>5.5554978999999997E-2</v>
      </c>
      <c r="J1044">
        <v>707</v>
      </c>
      <c r="K1044">
        <v>12726.13207</v>
      </c>
      <c r="L1044">
        <v>0.83599999999999997</v>
      </c>
      <c r="M1044">
        <v>0.63341067299999998</v>
      </c>
      <c r="N1044">
        <v>0</v>
      </c>
      <c r="O1044" t="s">
        <v>613</v>
      </c>
      <c r="P1044">
        <f t="shared" si="146"/>
        <v>14.04212766</v>
      </c>
      <c r="Q1044">
        <f t="shared" si="147"/>
        <v>1.4999999999999999E-2</v>
      </c>
      <c r="R1044">
        <f t="shared" si="148"/>
        <v>2.3E-2</v>
      </c>
      <c r="S1044">
        <f t="shared" si="149"/>
        <v>0.83599999999999997</v>
      </c>
      <c r="T1044">
        <f t="shared" si="150"/>
        <v>2.2262499999999998</v>
      </c>
      <c r="U1044">
        <f t="shared" si="151"/>
        <v>6.6364192949999996</v>
      </c>
      <c r="V1044">
        <f t="shared" si="152"/>
        <v>8.5999999999999993E-2</v>
      </c>
      <c r="W1044">
        <f t="shared" si="153"/>
        <v>3.4000000000000002E-2</v>
      </c>
      <c r="X1044">
        <f t="shared" si="154"/>
        <v>0.81</v>
      </c>
      <c r="Y1044">
        <v>111.1010158</v>
      </c>
      <c r="Z1044">
        <v>0</v>
      </c>
      <c r="AA1044">
        <v>152832</v>
      </c>
      <c r="AB1044">
        <v>45686</v>
      </c>
      <c r="AC1044">
        <v>2.1596295000000001E-2</v>
      </c>
      <c r="AD1044">
        <v>0.84212384500000004</v>
      </c>
      <c r="AF1044">
        <v>14.04212766</v>
      </c>
      <c r="AG1044">
        <v>1.4999999999999999E-2</v>
      </c>
      <c r="AH1044">
        <v>2.3E-2</v>
      </c>
      <c r="AI1044">
        <v>0.83599999999999997</v>
      </c>
      <c r="AJ1044">
        <v>2.2262499999999998</v>
      </c>
      <c r="AK1044">
        <v>6.6364192949999996</v>
      </c>
      <c r="AL1044">
        <v>8.5999999999999993E-2</v>
      </c>
      <c r="AM1044">
        <v>3.4000000000000002E-2</v>
      </c>
      <c r="AN1044">
        <v>0.81</v>
      </c>
    </row>
    <row r="1045" spans="1:40">
      <c r="A1045">
        <v>3113</v>
      </c>
      <c r="B1045" t="s">
        <v>689</v>
      </c>
      <c r="C1045" t="s">
        <v>687</v>
      </c>
      <c r="D1045" t="s">
        <v>688</v>
      </c>
      <c r="E1045">
        <v>486</v>
      </c>
      <c r="F1045">
        <v>1292</v>
      </c>
      <c r="G1045">
        <v>51.593715840000002</v>
      </c>
      <c r="H1045">
        <v>117</v>
      </c>
      <c r="I1045">
        <v>8.0646776000000003E-2</v>
      </c>
      <c r="J1045">
        <v>1409</v>
      </c>
      <c r="K1045">
        <v>17471.250179999999</v>
      </c>
      <c r="L1045">
        <v>0.66200000000000003</v>
      </c>
      <c r="M1045">
        <v>0.194029851</v>
      </c>
      <c r="N1045">
        <v>0</v>
      </c>
      <c r="O1045" t="s">
        <v>613</v>
      </c>
      <c r="P1045">
        <f t="shared" si="146"/>
        <v>9.6957831330000008</v>
      </c>
      <c r="Q1045">
        <f t="shared" si="147"/>
        <v>7.8E-2</v>
      </c>
      <c r="R1045">
        <f t="shared" si="148"/>
        <v>2.5999999999999999E-2</v>
      </c>
      <c r="S1045">
        <f t="shared" si="149"/>
        <v>0.66200000000000003</v>
      </c>
      <c r="T1045">
        <f t="shared" si="150"/>
        <v>2.1545000000000001</v>
      </c>
      <c r="U1045">
        <f t="shared" si="151"/>
        <v>5.9518446599999999</v>
      </c>
      <c r="V1045">
        <f t="shared" si="152"/>
        <v>2.4E-2</v>
      </c>
      <c r="W1045">
        <f t="shared" si="153"/>
        <v>0.29099999999999998</v>
      </c>
      <c r="X1045">
        <f t="shared" si="154"/>
        <v>0.65400000000000003</v>
      </c>
      <c r="Y1045">
        <v>206.48484239999999</v>
      </c>
      <c r="Z1045">
        <v>0</v>
      </c>
      <c r="AA1045">
        <v>454184</v>
      </c>
      <c r="AB1045">
        <v>170596</v>
      </c>
      <c r="AC1045">
        <v>6.5715274000000004E-2</v>
      </c>
      <c r="AD1045">
        <v>0.72549415100000003</v>
      </c>
      <c r="AF1045">
        <v>9.6957831330000008</v>
      </c>
      <c r="AG1045">
        <v>7.8E-2</v>
      </c>
      <c r="AH1045">
        <v>2.5999999999999999E-2</v>
      </c>
      <c r="AI1045">
        <v>0.66200000000000003</v>
      </c>
      <c r="AJ1045">
        <v>2.1545000000000001</v>
      </c>
      <c r="AK1045">
        <v>5.9518446599999999</v>
      </c>
      <c r="AL1045">
        <v>2.4E-2</v>
      </c>
      <c r="AM1045">
        <v>0.29099999999999998</v>
      </c>
      <c r="AN1045">
        <v>0.65400000000000003</v>
      </c>
    </row>
    <row r="1046" spans="1:40">
      <c r="A1046">
        <v>3114</v>
      </c>
      <c r="B1046" t="s">
        <v>689</v>
      </c>
      <c r="C1046" t="s">
        <v>687</v>
      </c>
      <c r="D1046" t="s">
        <v>688</v>
      </c>
      <c r="E1046">
        <v>123</v>
      </c>
      <c r="F1046">
        <v>713</v>
      </c>
      <c r="G1046">
        <v>100.8183449</v>
      </c>
      <c r="H1046">
        <v>1367</v>
      </c>
      <c r="I1046">
        <v>0.15759224899999999</v>
      </c>
      <c r="J1046">
        <v>2080</v>
      </c>
      <c r="K1046">
        <v>13198.61867</v>
      </c>
      <c r="L1046">
        <v>0.84099999999999997</v>
      </c>
      <c r="M1046">
        <v>0.91744966400000005</v>
      </c>
      <c r="N1046">
        <v>1</v>
      </c>
      <c r="O1046" t="s">
        <v>613</v>
      </c>
      <c r="P1046">
        <f t="shared" si="146"/>
        <v>12.043052210000001</v>
      </c>
      <c r="Q1046">
        <f t="shared" si="147"/>
        <v>0.05</v>
      </c>
      <c r="R1046">
        <f t="shared" si="148"/>
        <v>2.5999999999999999E-2</v>
      </c>
      <c r="S1046">
        <f t="shared" si="149"/>
        <v>0.84099999999999997</v>
      </c>
      <c r="T1046">
        <f t="shared" si="150"/>
        <v>2.2945652170000002</v>
      </c>
      <c r="U1046">
        <f t="shared" si="151"/>
        <v>6.7869094619999997</v>
      </c>
      <c r="V1046">
        <f t="shared" si="152"/>
        <v>5.1999999999999998E-2</v>
      </c>
      <c r="W1046">
        <f t="shared" si="153"/>
        <v>0.105</v>
      </c>
      <c r="X1046">
        <f t="shared" si="154"/>
        <v>0.81599999999999995</v>
      </c>
      <c r="Y1046">
        <v>97.739930950000002</v>
      </c>
      <c r="Z1046">
        <v>0</v>
      </c>
      <c r="AA1046">
        <v>454184</v>
      </c>
      <c r="AB1046">
        <v>170596</v>
      </c>
      <c r="AC1046">
        <v>6.5715274000000004E-2</v>
      </c>
      <c r="AD1046">
        <v>0.72549415100000003</v>
      </c>
      <c r="AF1046">
        <v>12.043052210000001</v>
      </c>
      <c r="AG1046">
        <v>0.05</v>
      </c>
      <c r="AH1046">
        <v>2.5999999999999999E-2</v>
      </c>
      <c r="AI1046">
        <v>0.84099999999999997</v>
      </c>
      <c r="AJ1046">
        <v>2.2945652170000002</v>
      </c>
      <c r="AK1046">
        <v>6.7869094619999997</v>
      </c>
      <c r="AL1046">
        <v>5.1999999999999998E-2</v>
      </c>
      <c r="AM1046">
        <v>0.105</v>
      </c>
      <c r="AN1046">
        <v>0.81599999999999995</v>
      </c>
    </row>
    <row r="1047" spans="1:40">
      <c r="A1047">
        <v>3115</v>
      </c>
      <c r="B1047" t="s">
        <v>689</v>
      </c>
      <c r="C1047" t="s">
        <v>687</v>
      </c>
      <c r="D1047" t="s">
        <v>688</v>
      </c>
      <c r="E1047">
        <v>136</v>
      </c>
      <c r="F1047">
        <v>420</v>
      </c>
      <c r="G1047">
        <v>30.519401649999999</v>
      </c>
      <c r="H1047">
        <v>171</v>
      </c>
      <c r="I1047">
        <v>4.7706835000000003E-2</v>
      </c>
      <c r="J1047">
        <v>591</v>
      </c>
      <c r="K1047">
        <v>12388.161990000001</v>
      </c>
      <c r="L1047">
        <v>0.71099999999999997</v>
      </c>
      <c r="M1047">
        <v>0.55700325699999997</v>
      </c>
      <c r="N1047">
        <v>0</v>
      </c>
      <c r="O1047" t="s">
        <v>613</v>
      </c>
      <c r="P1047">
        <f t="shared" si="146"/>
        <v>10.634375</v>
      </c>
      <c r="Q1047">
        <f t="shared" si="147"/>
        <v>4.9000000000000002E-2</v>
      </c>
      <c r="R1047">
        <f t="shared" si="148"/>
        <v>4.9000000000000002E-2</v>
      </c>
      <c r="S1047">
        <f t="shared" si="149"/>
        <v>0.71099999999999997</v>
      </c>
      <c r="T1047">
        <f t="shared" si="150"/>
        <v>2.2259090910000001</v>
      </c>
      <c r="U1047">
        <f t="shared" si="151"/>
        <v>6.3856782330000001</v>
      </c>
      <c r="V1047">
        <f t="shared" si="152"/>
        <v>8.5000000000000006E-2</v>
      </c>
      <c r="W1047">
        <f t="shared" si="153"/>
        <v>0.155</v>
      </c>
      <c r="X1047">
        <f t="shared" si="154"/>
        <v>0.67600000000000005</v>
      </c>
      <c r="Y1047">
        <v>132.8082259</v>
      </c>
      <c r="Z1047">
        <v>0</v>
      </c>
      <c r="AA1047">
        <v>454184</v>
      </c>
      <c r="AB1047">
        <v>170596</v>
      </c>
      <c r="AC1047">
        <v>6.5715274000000004E-2</v>
      </c>
      <c r="AD1047">
        <v>0.72549415100000003</v>
      </c>
      <c r="AF1047">
        <v>10.634375</v>
      </c>
      <c r="AG1047">
        <v>4.9000000000000002E-2</v>
      </c>
      <c r="AH1047">
        <v>4.9000000000000002E-2</v>
      </c>
      <c r="AI1047">
        <v>0.71099999999999997</v>
      </c>
      <c r="AJ1047">
        <v>2.2259090910000001</v>
      </c>
      <c r="AK1047">
        <v>6.3856782330000001</v>
      </c>
      <c r="AL1047">
        <v>8.5000000000000006E-2</v>
      </c>
      <c r="AM1047">
        <v>0.155</v>
      </c>
      <c r="AN1047">
        <v>0.67600000000000005</v>
      </c>
    </row>
    <row r="1048" spans="1:40">
      <c r="A1048">
        <v>3116</v>
      </c>
      <c r="B1048" t="s">
        <v>689</v>
      </c>
      <c r="C1048" t="s">
        <v>687</v>
      </c>
      <c r="D1048" t="s">
        <v>688</v>
      </c>
      <c r="E1048">
        <v>375</v>
      </c>
      <c r="F1048">
        <v>991</v>
      </c>
      <c r="G1048">
        <v>34.947202369999999</v>
      </c>
      <c r="H1048">
        <v>96</v>
      </c>
      <c r="I1048">
        <v>5.4627110999999999E-2</v>
      </c>
      <c r="J1048">
        <v>1087</v>
      </c>
      <c r="K1048">
        <v>19898.544519999999</v>
      </c>
      <c r="L1048">
        <v>0.73699999999999999</v>
      </c>
      <c r="M1048">
        <v>0.20382165599999999</v>
      </c>
      <c r="N1048">
        <v>0</v>
      </c>
      <c r="O1048" t="s">
        <v>613</v>
      </c>
      <c r="P1048">
        <f t="shared" si="146"/>
        <v>10.89673267</v>
      </c>
      <c r="Q1048">
        <f t="shared" si="147"/>
        <v>4.3999999999999997E-2</v>
      </c>
      <c r="R1048">
        <f t="shared" si="148"/>
        <v>4.4999999999999998E-2</v>
      </c>
      <c r="S1048">
        <f t="shared" si="149"/>
        <v>0.73699999999999999</v>
      </c>
      <c r="T1048">
        <f t="shared" si="150"/>
        <v>2.1503571429999999</v>
      </c>
      <c r="U1048">
        <f t="shared" si="151"/>
        <v>6.6668374159999999</v>
      </c>
      <c r="V1048">
        <f t="shared" si="152"/>
        <v>7.2999999999999995E-2</v>
      </c>
      <c r="W1048">
        <f t="shared" si="153"/>
        <v>0.113</v>
      </c>
      <c r="X1048">
        <f t="shared" si="154"/>
        <v>0.81499999999999995</v>
      </c>
      <c r="Y1048">
        <v>152.41015429999999</v>
      </c>
      <c r="Z1048">
        <v>0</v>
      </c>
      <c r="AA1048">
        <v>454184</v>
      </c>
      <c r="AB1048">
        <v>170596</v>
      </c>
      <c r="AC1048">
        <v>6.5715274000000004E-2</v>
      </c>
      <c r="AD1048">
        <v>0.72549415100000003</v>
      </c>
      <c r="AF1048">
        <v>10.89673267</v>
      </c>
      <c r="AG1048">
        <v>4.3999999999999997E-2</v>
      </c>
      <c r="AH1048">
        <v>4.4999999999999998E-2</v>
      </c>
      <c r="AI1048">
        <v>0.73699999999999999</v>
      </c>
      <c r="AJ1048">
        <v>2.1503571429999999</v>
      </c>
      <c r="AK1048">
        <v>6.6668374159999999</v>
      </c>
      <c r="AL1048">
        <v>7.2999999999999995E-2</v>
      </c>
      <c r="AM1048">
        <v>0.113</v>
      </c>
      <c r="AN1048">
        <v>0.81499999999999995</v>
      </c>
    </row>
    <row r="1049" spans="1:40">
      <c r="A1049">
        <v>3117</v>
      </c>
      <c r="B1049" t="s">
        <v>692</v>
      </c>
      <c r="C1049" t="s">
        <v>693</v>
      </c>
      <c r="D1049" t="s">
        <v>694</v>
      </c>
      <c r="E1049">
        <v>365</v>
      </c>
      <c r="F1049">
        <v>1086</v>
      </c>
      <c r="G1049">
        <v>111.1694045</v>
      </c>
      <c r="H1049">
        <v>221</v>
      </c>
      <c r="I1049">
        <v>0.17377226400000001</v>
      </c>
      <c r="J1049">
        <v>1307</v>
      </c>
      <c r="K1049">
        <v>7521.3383880000001</v>
      </c>
      <c r="L1049">
        <v>0.72399999999999998</v>
      </c>
      <c r="M1049">
        <v>0.377133106</v>
      </c>
      <c r="N1049">
        <v>0</v>
      </c>
      <c r="O1049" t="s">
        <v>620</v>
      </c>
      <c r="P1049">
        <f t="shared" si="146"/>
        <v>13.42509615</v>
      </c>
      <c r="Q1049">
        <f t="shared" si="147"/>
        <v>1.4999999999999999E-2</v>
      </c>
      <c r="R1049">
        <f t="shared" si="148"/>
        <v>4.2000000000000003E-2</v>
      </c>
      <c r="S1049">
        <f t="shared" si="149"/>
        <v>0.72399999999999998</v>
      </c>
      <c r="T1049">
        <f t="shared" si="150"/>
        <v>1.796551724</v>
      </c>
      <c r="U1049">
        <f t="shared" si="151"/>
        <v>8.2213152399999991</v>
      </c>
      <c r="V1049">
        <f t="shared" si="152"/>
        <v>6.4000000000000001E-2</v>
      </c>
      <c r="W1049">
        <f t="shared" si="153"/>
        <v>4.8000000000000001E-2</v>
      </c>
      <c r="X1049">
        <f t="shared" si="154"/>
        <v>0.83199999999999996</v>
      </c>
      <c r="Y1049">
        <v>106.24493219999999</v>
      </c>
      <c r="Z1049">
        <v>0</v>
      </c>
      <c r="AA1049">
        <v>77808</v>
      </c>
      <c r="AB1049">
        <v>27489</v>
      </c>
      <c r="AC1049">
        <v>1.1225541E-2</v>
      </c>
      <c r="AD1049">
        <v>0.835708267</v>
      </c>
      <c r="AF1049">
        <v>13.42509615</v>
      </c>
      <c r="AG1049">
        <v>1.4999999999999999E-2</v>
      </c>
      <c r="AH1049">
        <v>4.2000000000000003E-2</v>
      </c>
      <c r="AI1049">
        <v>0.72399999999999998</v>
      </c>
      <c r="AJ1049">
        <v>1.796551724</v>
      </c>
      <c r="AK1049">
        <v>8.2213152399999991</v>
      </c>
      <c r="AL1049">
        <v>6.4000000000000001E-2</v>
      </c>
      <c r="AM1049">
        <v>4.8000000000000001E-2</v>
      </c>
      <c r="AN1049">
        <v>0.83199999999999996</v>
      </c>
    </row>
    <row r="1050" spans="1:40">
      <c r="A1050">
        <v>3118</v>
      </c>
      <c r="B1050" t="s">
        <v>698</v>
      </c>
      <c r="C1050" t="s">
        <v>693</v>
      </c>
      <c r="D1050" t="s">
        <v>694</v>
      </c>
      <c r="E1050">
        <v>308</v>
      </c>
      <c r="F1050">
        <v>874</v>
      </c>
      <c r="G1050">
        <v>66.696069870000002</v>
      </c>
      <c r="H1050">
        <v>102</v>
      </c>
      <c r="I1050">
        <v>0.104249958</v>
      </c>
      <c r="J1050">
        <v>976</v>
      </c>
      <c r="K1050">
        <v>9362.1140840000007</v>
      </c>
      <c r="L1050">
        <v>0.67200000000000004</v>
      </c>
      <c r="M1050">
        <v>0.24878048799999999</v>
      </c>
      <c r="N1050">
        <v>0</v>
      </c>
      <c r="O1050" t="s">
        <v>620</v>
      </c>
      <c r="P1050">
        <f t="shared" si="146"/>
        <v>17.43735294</v>
      </c>
      <c r="Q1050">
        <f t="shared" si="147"/>
        <v>1.9E-2</v>
      </c>
      <c r="R1050">
        <f t="shared" si="148"/>
        <v>1.4999999999999999E-2</v>
      </c>
      <c r="S1050">
        <f t="shared" si="149"/>
        <v>0.67200000000000004</v>
      </c>
      <c r="T1050">
        <f t="shared" si="150"/>
        <v>2.0175000000000001</v>
      </c>
      <c r="U1050">
        <f t="shared" si="151"/>
        <v>7.5021839080000001</v>
      </c>
      <c r="V1050">
        <f t="shared" si="152"/>
        <v>2.5000000000000001E-2</v>
      </c>
      <c r="W1050">
        <f t="shared" si="153"/>
        <v>3.6999999999999998E-2</v>
      </c>
      <c r="X1050">
        <f t="shared" si="154"/>
        <v>0.84</v>
      </c>
      <c r="Y1050">
        <v>101.4544489</v>
      </c>
      <c r="Z1050">
        <v>0</v>
      </c>
      <c r="AA1050">
        <v>88250</v>
      </c>
      <c r="AB1050">
        <v>31723</v>
      </c>
      <c r="AC1050">
        <v>1.0795895999999999E-2</v>
      </c>
      <c r="AD1050">
        <v>0.817760245</v>
      </c>
      <c r="AF1050">
        <v>17.43735294</v>
      </c>
      <c r="AG1050">
        <v>1.9E-2</v>
      </c>
      <c r="AH1050">
        <v>1.4999999999999999E-2</v>
      </c>
      <c r="AI1050">
        <v>0.67200000000000004</v>
      </c>
      <c r="AJ1050">
        <v>2.0175000000000001</v>
      </c>
      <c r="AK1050">
        <v>7.5021839080000001</v>
      </c>
      <c r="AL1050">
        <v>2.5000000000000001E-2</v>
      </c>
      <c r="AM1050">
        <v>3.6999999999999998E-2</v>
      </c>
      <c r="AN1050">
        <v>0.84</v>
      </c>
    </row>
    <row r="1051" spans="1:40">
      <c r="A1051">
        <v>3119</v>
      </c>
      <c r="B1051" t="s">
        <v>689</v>
      </c>
      <c r="C1051" t="s">
        <v>687</v>
      </c>
      <c r="D1051" t="s">
        <v>688</v>
      </c>
      <c r="E1051">
        <v>155</v>
      </c>
      <c r="F1051">
        <v>366</v>
      </c>
      <c r="G1051">
        <v>56.122872700000002</v>
      </c>
      <c r="H1051">
        <v>1635</v>
      </c>
      <c r="I1051">
        <v>8.7728573000000004E-2</v>
      </c>
      <c r="J1051">
        <v>2001</v>
      </c>
      <c r="K1051">
        <v>22808.988359999999</v>
      </c>
      <c r="L1051">
        <v>0.78300000000000003</v>
      </c>
      <c r="M1051">
        <v>0.91340782099999995</v>
      </c>
      <c r="N1051">
        <v>1</v>
      </c>
      <c r="O1051" t="s">
        <v>606</v>
      </c>
      <c r="P1051">
        <f t="shared" si="146"/>
        <v>12.190213679999999</v>
      </c>
      <c r="Q1051">
        <f t="shared" si="147"/>
        <v>5.5E-2</v>
      </c>
      <c r="R1051">
        <f t="shared" si="148"/>
        <v>2.1000000000000001E-2</v>
      </c>
      <c r="S1051">
        <f t="shared" si="149"/>
        <v>0.78300000000000003</v>
      </c>
      <c r="T1051">
        <f t="shared" si="150"/>
        <v>2.6973684210000002</v>
      </c>
      <c r="U1051">
        <f t="shared" si="151"/>
        <v>6.6813243629999999</v>
      </c>
      <c r="V1051">
        <f t="shared" si="152"/>
        <v>7.1999999999999995E-2</v>
      </c>
      <c r="W1051">
        <f t="shared" si="153"/>
        <v>0.15</v>
      </c>
      <c r="X1051">
        <f t="shared" si="154"/>
        <v>0.73099999999999998</v>
      </c>
      <c r="Y1051">
        <v>299.67992700000002</v>
      </c>
      <c r="Z1051">
        <v>0</v>
      </c>
      <c r="AA1051">
        <v>454184</v>
      </c>
      <c r="AB1051">
        <v>170596</v>
      </c>
      <c r="AC1051">
        <v>6.5715274000000004E-2</v>
      </c>
      <c r="AD1051">
        <v>0.72549415100000003</v>
      </c>
      <c r="AF1051">
        <v>12.190213679999999</v>
      </c>
      <c r="AG1051">
        <v>5.5E-2</v>
      </c>
      <c r="AH1051">
        <v>2.1000000000000001E-2</v>
      </c>
      <c r="AI1051">
        <v>0.78300000000000003</v>
      </c>
      <c r="AJ1051">
        <v>2.6973684210000002</v>
      </c>
      <c r="AK1051">
        <v>6.6813243629999999</v>
      </c>
      <c r="AL1051">
        <v>7.1999999999999995E-2</v>
      </c>
      <c r="AM1051">
        <v>0.15</v>
      </c>
      <c r="AN1051">
        <v>0.73099999999999998</v>
      </c>
    </row>
    <row r="1052" spans="1:40">
      <c r="A1052">
        <v>3120</v>
      </c>
      <c r="B1052" t="s">
        <v>691</v>
      </c>
      <c r="C1052" t="s">
        <v>684</v>
      </c>
      <c r="D1052" t="s">
        <v>685</v>
      </c>
      <c r="E1052">
        <v>517</v>
      </c>
      <c r="F1052">
        <v>1790</v>
      </c>
      <c r="G1052">
        <v>56.337846589999998</v>
      </c>
      <c r="H1052">
        <v>0</v>
      </c>
      <c r="I1052">
        <v>8.8055992E-2</v>
      </c>
      <c r="J1052">
        <v>1790</v>
      </c>
      <c r="K1052">
        <v>20327.97495</v>
      </c>
      <c r="L1052">
        <v>0.82</v>
      </c>
      <c r="M1052">
        <v>0</v>
      </c>
      <c r="N1052">
        <v>0</v>
      </c>
      <c r="O1052" t="s">
        <v>620</v>
      </c>
      <c r="P1052">
        <f t="shared" si="146"/>
        <v>15.102499999999999</v>
      </c>
      <c r="Q1052">
        <f t="shared" si="147"/>
        <v>1.2E-2</v>
      </c>
      <c r="R1052">
        <f t="shared" si="148"/>
        <v>2.5999999999999999E-2</v>
      </c>
      <c r="S1052">
        <f t="shared" si="149"/>
        <v>0.82</v>
      </c>
      <c r="T1052">
        <f t="shared" si="150"/>
        <v>3.0782608699999998</v>
      </c>
      <c r="U1052">
        <f t="shared" si="151"/>
        <v>7.9007072139999996</v>
      </c>
      <c r="V1052">
        <f t="shared" si="152"/>
        <v>3.7999999999999999E-2</v>
      </c>
      <c r="W1052">
        <f t="shared" si="153"/>
        <v>6.4000000000000001E-2</v>
      </c>
      <c r="X1052">
        <f t="shared" si="154"/>
        <v>0.89700000000000002</v>
      </c>
      <c r="Y1052">
        <v>142.3363646</v>
      </c>
      <c r="Z1052">
        <v>0</v>
      </c>
      <c r="AA1052">
        <v>236250</v>
      </c>
      <c r="AB1052">
        <v>76158</v>
      </c>
      <c r="AC1052">
        <v>1.7652984E-2</v>
      </c>
      <c r="AD1052">
        <v>0.84750225300000004</v>
      </c>
      <c r="AF1052">
        <v>15.102499999999999</v>
      </c>
      <c r="AG1052">
        <v>1.2E-2</v>
      </c>
      <c r="AH1052">
        <v>2.5999999999999999E-2</v>
      </c>
      <c r="AI1052">
        <v>0.82</v>
      </c>
      <c r="AJ1052">
        <v>3.0782608699999998</v>
      </c>
      <c r="AK1052">
        <v>7.9007072139999996</v>
      </c>
      <c r="AL1052">
        <v>3.7999999999999999E-2</v>
      </c>
      <c r="AM1052">
        <v>6.4000000000000001E-2</v>
      </c>
      <c r="AN1052">
        <v>0.89700000000000002</v>
      </c>
    </row>
    <row r="1053" spans="1:40">
      <c r="A1053">
        <v>3121</v>
      </c>
      <c r="B1053" t="s">
        <v>698</v>
      </c>
      <c r="C1053" t="s">
        <v>693</v>
      </c>
      <c r="D1053" t="s">
        <v>694</v>
      </c>
      <c r="E1053">
        <v>390</v>
      </c>
      <c r="F1053">
        <v>1335</v>
      </c>
      <c r="G1053">
        <v>153.93107409999999</v>
      </c>
      <c r="H1053">
        <v>14</v>
      </c>
      <c r="I1053">
        <v>0.24061216399999999</v>
      </c>
      <c r="J1053">
        <v>1349</v>
      </c>
      <c r="K1053">
        <v>5606.532843</v>
      </c>
      <c r="L1053">
        <v>0.86099999999999999</v>
      </c>
      <c r="M1053">
        <v>3.4653465000000001E-2</v>
      </c>
      <c r="N1053">
        <v>0</v>
      </c>
      <c r="O1053" t="s">
        <v>625</v>
      </c>
      <c r="P1053">
        <f t="shared" si="146"/>
        <v>19.092242989999999</v>
      </c>
      <c r="Q1053">
        <f t="shared" si="147"/>
        <v>4.0000000000000001E-3</v>
      </c>
      <c r="R1053">
        <f t="shared" si="148"/>
        <v>3.5999999999999997E-2</v>
      </c>
      <c r="S1053">
        <f t="shared" si="149"/>
        <v>0.86099999999999999</v>
      </c>
      <c r="T1053">
        <f t="shared" si="150"/>
        <v>1.735263158</v>
      </c>
      <c r="U1053">
        <f t="shared" si="151"/>
        <v>8.518482143</v>
      </c>
      <c r="V1053">
        <f t="shared" si="152"/>
        <v>5.0999999999999997E-2</v>
      </c>
      <c r="W1053">
        <f t="shared" si="153"/>
        <v>1.7000000000000001E-2</v>
      </c>
      <c r="X1053">
        <f t="shared" si="154"/>
        <v>0.91500000000000004</v>
      </c>
      <c r="Y1053">
        <v>139.82557270000001</v>
      </c>
      <c r="Z1053">
        <v>0</v>
      </c>
      <c r="AA1053">
        <v>88250</v>
      </c>
      <c r="AB1053">
        <v>31723</v>
      </c>
      <c r="AC1053">
        <v>1.0795895999999999E-2</v>
      </c>
      <c r="AD1053">
        <v>0.817760245</v>
      </c>
      <c r="AF1053">
        <v>19.092242989999999</v>
      </c>
      <c r="AG1053">
        <v>4.0000000000000001E-3</v>
      </c>
      <c r="AH1053">
        <v>3.5999999999999997E-2</v>
      </c>
      <c r="AI1053">
        <v>0.86099999999999999</v>
      </c>
      <c r="AJ1053">
        <v>1.735263158</v>
      </c>
      <c r="AK1053">
        <v>8.518482143</v>
      </c>
      <c r="AL1053">
        <v>5.0999999999999997E-2</v>
      </c>
      <c r="AM1053">
        <v>1.7000000000000001E-2</v>
      </c>
      <c r="AN1053">
        <v>0.91500000000000004</v>
      </c>
    </row>
    <row r="1054" spans="1:40">
      <c r="A1054">
        <v>3122</v>
      </c>
      <c r="B1054" t="s">
        <v>709</v>
      </c>
      <c r="C1054" t="s">
        <v>693</v>
      </c>
      <c r="D1054" t="s">
        <v>694</v>
      </c>
      <c r="E1054">
        <v>346</v>
      </c>
      <c r="F1054">
        <v>1046</v>
      </c>
      <c r="G1054">
        <v>108.46046440000001</v>
      </c>
      <c r="H1054">
        <v>142</v>
      </c>
      <c r="I1054">
        <v>0.169533346</v>
      </c>
      <c r="J1054">
        <v>1188</v>
      </c>
      <c r="K1054">
        <v>7007.4709670000002</v>
      </c>
      <c r="L1054">
        <v>0.81799999999999995</v>
      </c>
      <c r="M1054">
        <v>0.29098360699999998</v>
      </c>
      <c r="N1054">
        <v>0</v>
      </c>
      <c r="O1054" t="s">
        <v>620</v>
      </c>
      <c r="P1054">
        <f t="shared" si="146"/>
        <v>17.720090089999999</v>
      </c>
      <c r="Q1054">
        <f t="shared" si="147"/>
        <v>3.0000000000000001E-3</v>
      </c>
      <c r="R1054">
        <f t="shared" si="148"/>
        <v>2.5000000000000001E-2</v>
      </c>
      <c r="S1054">
        <f t="shared" si="149"/>
        <v>0.81799999999999995</v>
      </c>
      <c r="T1054">
        <f t="shared" si="150"/>
        <v>2.4249999999999998</v>
      </c>
      <c r="U1054">
        <f t="shared" si="151"/>
        <v>9.0359685039999995</v>
      </c>
      <c r="V1054">
        <f t="shared" si="152"/>
        <v>1.7000000000000001E-2</v>
      </c>
      <c r="W1054">
        <f t="shared" si="153"/>
        <v>1.7000000000000001E-2</v>
      </c>
      <c r="X1054">
        <f t="shared" si="154"/>
        <v>0.94899999999999995</v>
      </c>
      <c r="Y1054">
        <v>65.960676199999995</v>
      </c>
      <c r="Z1054">
        <v>0</v>
      </c>
      <c r="AA1054">
        <v>56865</v>
      </c>
      <c r="AB1054">
        <v>22398</v>
      </c>
      <c r="AC1054">
        <v>1.1143686E-2</v>
      </c>
      <c r="AD1054">
        <v>0.81944707100000003</v>
      </c>
      <c r="AF1054">
        <v>17.720090089999999</v>
      </c>
      <c r="AG1054">
        <v>3.0000000000000001E-3</v>
      </c>
      <c r="AH1054">
        <v>2.5000000000000001E-2</v>
      </c>
      <c r="AI1054">
        <v>0.81799999999999995</v>
      </c>
      <c r="AJ1054">
        <v>2.4249999999999998</v>
      </c>
      <c r="AK1054">
        <v>9.0359685039999995</v>
      </c>
      <c r="AL1054">
        <v>1.7000000000000001E-2</v>
      </c>
      <c r="AM1054">
        <v>1.7000000000000001E-2</v>
      </c>
      <c r="AN1054">
        <v>0.94899999999999995</v>
      </c>
    </row>
    <row r="1055" spans="1:40">
      <c r="A1055">
        <v>3123</v>
      </c>
      <c r="B1055" t="s">
        <v>683</v>
      </c>
      <c r="C1055" t="s">
        <v>684</v>
      </c>
      <c r="D1055" t="s">
        <v>685</v>
      </c>
      <c r="E1055">
        <v>29</v>
      </c>
      <c r="F1055">
        <v>110</v>
      </c>
      <c r="G1055">
        <v>158.855715</v>
      </c>
      <c r="H1055">
        <v>786</v>
      </c>
      <c r="I1055">
        <v>0.248305478</v>
      </c>
      <c r="J1055">
        <v>896</v>
      </c>
      <c r="K1055">
        <v>3608.4584490000002</v>
      </c>
      <c r="L1055">
        <v>0.85499999999999998</v>
      </c>
      <c r="M1055">
        <v>0.96441717800000004</v>
      </c>
      <c r="N1055">
        <v>0</v>
      </c>
      <c r="O1055" t="s">
        <v>620</v>
      </c>
      <c r="P1055">
        <f t="shared" si="146"/>
        <v>15.31113043</v>
      </c>
      <c r="Q1055">
        <f t="shared" si="147"/>
        <v>2.5000000000000001E-2</v>
      </c>
      <c r="R1055">
        <f t="shared" si="148"/>
        <v>0.02</v>
      </c>
      <c r="S1055">
        <f t="shared" si="149"/>
        <v>0.85499999999999998</v>
      </c>
      <c r="T1055">
        <f t="shared" si="150"/>
        <v>3.2570000000000001</v>
      </c>
      <c r="U1055">
        <f t="shared" si="151"/>
        <v>9.7041469189999994</v>
      </c>
      <c r="V1055">
        <f t="shared" si="152"/>
        <v>4.3999999999999997E-2</v>
      </c>
      <c r="W1055">
        <f t="shared" si="153"/>
        <v>7.3999999999999996E-2</v>
      </c>
      <c r="X1055">
        <f t="shared" si="154"/>
        <v>0.85199999999999998</v>
      </c>
      <c r="Y1055">
        <v>40.417221949999998</v>
      </c>
      <c r="Z1055">
        <v>0</v>
      </c>
      <c r="AA1055">
        <v>75370</v>
      </c>
      <c r="AB1055">
        <v>21403</v>
      </c>
      <c r="AC1055">
        <v>2.4597187E-2</v>
      </c>
      <c r="AD1055">
        <v>0.84342094400000001</v>
      </c>
      <c r="AF1055">
        <v>15.31113043</v>
      </c>
      <c r="AG1055">
        <v>2.5000000000000001E-2</v>
      </c>
      <c r="AH1055">
        <v>0.02</v>
      </c>
      <c r="AI1055">
        <v>0.85499999999999998</v>
      </c>
      <c r="AJ1055">
        <v>3.2570000000000001</v>
      </c>
      <c r="AK1055">
        <v>9.7041469189999994</v>
      </c>
      <c r="AL1055">
        <v>4.3999999999999997E-2</v>
      </c>
      <c r="AM1055">
        <v>7.3999999999999996E-2</v>
      </c>
      <c r="AN1055">
        <v>0.85199999999999998</v>
      </c>
    </row>
    <row r="1056" spans="1:40">
      <c r="A1056">
        <v>3124</v>
      </c>
      <c r="B1056" t="s">
        <v>689</v>
      </c>
      <c r="C1056" t="s">
        <v>687</v>
      </c>
      <c r="D1056" t="s">
        <v>688</v>
      </c>
      <c r="E1056">
        <v>261</v>
      </c>
      <c r="F1056">
        <v>883</v>
      </c>
      <c r="G1056">
        <v>61.397761070000001</v>
      </c>
      <c r="H1056">
        <v>280</v>
      </c>
      <c r="I1056">
        <v>9.5973269999999999E-2</v>
      </c>
      <c r="J1056">
        <v>1163</v>
      </c>
      <c r="K1056">
        <v>12117.95743</v>
      </c>
      <c r="L1056">
        <v>0.76700000000000002</v>
      </c>
      <c r="M1056">
        <v>0.51756007400000004</v>
      </c>
      <c r="N1056">
        <v>1</v>
      </c>
      <c r="O1056" t="s">
        <v>613</v>
      </c>
      <c r="P1056">
        <f t="shared" si="146"/>
        <v>9.1583783780000001</v>
      </c>
      <c r="Q1056">
        <f t="shared" si="147"/>
        <v>6.3E-2</v>
      </c>
      <c r="R1056">
        <f t="shared" si="148"/>
        <v>1.0999999999999999E-2</v>
      </c>
      <c r="S1056">
        <f t="shared" si="149"/>
        <v>0.76700000000000002</v>
      </c>
      <c r="T1056">
        <f t="shared" si="150"/>
        <v>2.5539999999999998</v>
      </c>
      <c r="U1056">
        <f t="shared" si="151"/>
        <v>5.8414900149999998</v>
      </c>
      <c r="V1056">
        <f t="shared" si="152"/>
        <v>6.2414117647058849E-2</v>
      </c>
      <c r="W1056">
        <f t="shared" si="153"/>
        <v>0.13600000000000001</v>
      </c>
      <c r="X1056">
        <f t="shared" si="154"/>
        <v>0.71799999999999997</v>
      </c>
      <c r="Y1056">
        <v>108.2133791</v>
      </c>
      <c r="Z1056">
        <v>0</v>
      </c>
      <c r="AA1056">
        <v>454184</v>
      </c>
      <c r="AB1056">
        <v>170596</v>
      </c>
      <c r="AC1056">
        <v>6.5715274000000004E-2</v>
      </c>
      <c r="AD1056">
        <v>0.72549415100000003</v>
      </c>
      <c r="AF1056">
        <v>9.1583783780000001</v>
      </c>
      <c r="AG1056">
        <v>6.3E-2</v>
      </c>
      <c r="AH1056">
        <v>1.0999999999999999E-2</v>
      </c>
      <c r="AI1056">
        <v>0.76700000000000002</v>
      </c>
      <c r="AJ1056">
        <v>2.5539999999999998</v>
      </c>
      <c r="AK1056">
        <v>5.8414900149999998</v>
      </c>
      <c r="AL1056">
        <v>0</v>
      </c>
      <c r="AM1056">
        <v>0.13600000000000001</v>
      </c>
      <c r="AN1056">
        <v>0.71799999999999997</v>
      </c>
    </row>
    <row r="1057" spans="1:40">
      <c r="A1057">
        <v>3125</v>
      </c>
      <c r="B1057" t="s">
        <v>689</v>
      </c>
      <c r="C1057" t="s">
        <v>687</v>
      </c>
      <c r="D1057" t="s">
        <v>688</v>
      </c>
      <c r="E1057">
        <v>471</v>
      </c>
      <c r="F1057">
        <v>1755</v>
      </c>
      <c r="G1057">
        <v>37.828905069999998</v>
      </c>
      <c r="H1057">
        <v>126</v>
      </c>
      <c r="I1057">
        <v>5.9130402999999998E-2</v>
      </c>
      <c r="J1057">
        <v>1881</v>
      </c>
      <c r="K1057">
        <v>31811.04651</v>
      </c>
      <c r="L1057">
        <v>0.65300000000000002</v>
      </c>
      <c r="M1057">
        <v>0.21105527600000001</v>
      </c>
      <c r="N1057">
        <v>1</v>
      </c>
      <c r="O1057" t="s">
        <v>606</v>
      </c>
      <c r="P1057">
        <f t="shared" si="146"/>
        <v>10.94552846</v>
      </c>
      <c r="Q1057">
        <f t="shared" si="147"/>
        <v>0.11799999999999999</v>
      </c>
      <c r="R1057">
        <f t="shared" si="148"/>
        <v>3.6999999999999998E-2</v>
      </c>
      <c r="S1057">
        <f t="shared" si="149"/>
        <v>0.65300000000000002</v>
      </c>
      <c r="T1057">
        <f t="shared" si="150"/>
        <v>2.2208333329999999</v>
      </c>
      <c r="U1057">
        <f t="shared" si="151"/>
        <v>5.5269682150000001</v>
      </c>
      <c r="V1057">
        <f t="shared" si="152"/>
        <v>3.5999999999999997E-2</v>
      </c>
      <c r="W1057">
        <f t="shared" si="153"/>
        <v>0.315</v>
      </c>
      <c r="X1057">
        <f t="shared" si="154"/>
        <v>0.624</v>
      </c>
      <c r="Y1057">
        <v>214.2399848</v>
      </c>
      <c r="Z1057">
        <v>0</v>
      </c>
      <c r="AA1057">
        <v>454184</v>
      </c>
      <c r="AB1057">
        <v>170596</v>
      </c>
      <c r="AC1057">
        <v>6.5715274000000004E-2</v>
      </c>
      <c r="AD1057">
        <v>0.72549415100000003</v>
      </c>
      <c r="AF1057">
        <v>10.94552846</v>
      </c>
      <c r="AG1057">
        <v>0.11799999999999999</v>
      </c>
      <c r="AH1057">
        <v>3.6999999999999998E-2</v>
      </c>
      <c r="AI1057">
        <v>0.65300000000000002</v>
      </c>
      <c r="AJ1057">
        <v>2.2208333329999999</v>
      </c>
      <c r="AK1057">
        <v>5.5269682150000001</v>
      </c>
      <c r="AL1057">
        <v>3.5999999999999997E-2</v>
      </c>
      <c r="AM1057">
        <v>0.315</v>
      </c>
      <c r="AN1057">
        <v>0.624</v>
      </c>
    </row>
    <row r="1058" spans="1:40">
      <c r="A1058">
        <v>3126</v>
      </c>
      <c r="B1058" t="s">
        <v>699</v>
      </c>
      <c r="C1058" t="s">
        <v>687</v>
      </c>
      <c r="D1058" t="s">
        <v>688</v>
      </c>
      <c r="E1058">
        <v>576</v>
      </c>
      <c r="F1058">
        <v>1369</v>
      </c>
      <c r="G1058">
        <v>36.827924830000001</v>
      </c>
      <c r="H1058">
        <v>257</v>
      </c>
      <c r="I1058">
        <v>5.7570313999999997E-2</v>
      </c>
      <c r="J1058">
        <v>1626</v>
      </c>
      <c r="K1058">
        <v>28243.722969999999</v>
      </c>
      <c r="L1058">
        <v>0.70399999999999996</v>
      </c>
      <c r="M1058">
        <v>0.30852340900000003</v>
      </c>
      <c r="N1058">
        <v>0</v>
      </c>
      <c r="O1058" t="s">
        <v>613</v>
      </c>
      <c r="P1058">
        <f t="shared" si="146"/>
        <v>12.99990099</v>
      </c>
      <c r="Q1058">
        <f t="shared" si="147"/>
        <v>5.3999999999999999E-2</v>
      </c>
      <c r="R1058">
        <f t="shared" si="148"/>
        <v>2.4E-2</v>
      </c>
      <c r="S1058">
        <f t="shared" si="149"/>
        <v>0.70399999999999996</v>
      </c>
      <c r="T1058">
        <f t="shared" si="150"/>
        <v>1.875769231</v>
      </c>
      <c r="U1058">
        <f t="shared" si="151"/>
        <v>6.3563355699999997</v>
      </c>
      <c r="V1058">
        <f t="shared" si="152"/>
        <v>4.1000000000000002E-2</v>
      </c>
      <c r="W1058">
        <f t="shared" si="153"/>
        <v>0.13500000000000001</v>
      </c>
      <c r="X1058">
        <f t="shared" si="154"/>
        <v>0.68200000000000005</v>
      </c>
      <c r="Y1058">
        <v>115.8362393</v>
      </c>
      <c r="Z1058">
        <v>0</v>
      </c>
      <c r="AA1058">
        <v>20912</v>
      </c>
      <c r="AB1058">
        <v>7469</v>
      </c>
      <c r="AC1058">
        <v>5.5261644999999998E-2</v>
      </c>
      <c r="AD1058">
        <v>0.74284071299999999</v>
      </c>
      <c r="AF1058">
        <v>12.99990099</v>
      </c>
      <c r="AG1058">
        <v>5.3999999999999999E-2</v>
      </c>
      <c r="AH1058">
        <v>2.4E-2</v>
      </c>
      <c r="AI1058">
        <v>0.70399999999999996</v>
      </c>
      <c r="AJ1058">
        <v>1.875769231</v>
      </c>
      <c r="AK1058">
        <v>6.3563355699999997</v>
      </c>
      <c r="AL1058">
        <v>4.1000000000000002E-2</v>
      </c>
      <c r="AM1058">
        <v>0.13500000000000001</v>
      </c>
      <c r="AN1058">
        <v>0.68200000000000005</v>
      </c>
    </row>
    <row r="1059" spans="1:40">
      <c r="A1059">
        <v>3127</v>
      </c>
      <c r="B1059" t="s">
        <v>686</v>
      </c>
      <c r="C1059" t="s">
        <v>687</v>
      </c>
      <c r="D1059" t="s">
        <v>688</v>
      </c>
      <c r="E1059">
        <v>465</v>
      </c>
      <c r="F1059">
        <v>1065</v>
      </c>
      <c r="G1059">
        <v>74.488899599999996</v>
      </c>
      <c r="H1059">
        <v>328</v>
      </c>
      <c r="I1059">
        <v>0.116445887</v>
      </c>
      <c r="J1059">
        <v>1393</v>
      </c>
      <c r="K1059">
        <v>11962.638059999999</v>
      </c>
      <c r="L1059">
        <v>0.78200000000000003</v>
      </c>
      <c r="M1059">
        <v>0.41361916799999998</v>
      </c>
      <c r="N1059">
        <v>0</v>
      </c>
      <c r="O1059" t="s">
        <v>613</v>
      </c>
      <c r="P1059">
        <f t="shared" si="146"/>
        <v>13.673359380000001</v>
      </c>
      <c r="Q1059">
        <f t="shared" si="147"/>
        <v>1.7000000000000001E-2</v>
      </c>
      <c r="R1059">
        <f t="shared" si="148"/>
        <v>3.5999999999999997E-2</v>
      </c>
      <c r="S1059">
        <f t="shared" si="149"/>
        <v>0.78200000000000003</v>
      </c>
      <c r="T1059">
        <f t="shared" si="150"/>
        <v>2.411944444</v>
      </c>
      <c r="U1059">
        <f t="shared" si="151"/>
        <v>7.767370466</v>
      </c>
      <c r="V1059">
        <f t="shared" si="152"/>
        <v>6.2E-2</v>
      </c>
      <c r="W1059">
        <f t="shared" si="153"/>
        <v>7.3999999999999996E-2</v>
      </c>
      <c r="X1059">
        <f t="shared" si="154"/>
        <v>0.79</v>
      </c>
      <c r="Y1059">
        <v>154.90865830000001</v>
      </c>
      <c r="Z1059">
        <v>1</v>
      </c>
      <c r="AA1059">
        <v>140316</v>
      </c>
      <c r="AB1059">
        <v>49638</v>
      </c>
      <c r="AC1059">
        <v>9.1283894000000004E-2</v>
      </c>
      <c r="AD1059">
        <v>0.60339869999999995</v>
      </c>
      <c r="AF1059">
        <v>13.673359380000001</v>
      </c>
      <c r="AG1059">
        <v>1.7000000000000001E-2</v>
      </c>
      <c r="AH1059">
        <v>3.5999999999999997E-2</v>
      </c>
      <c r="AI1059">
        <v>0.78200000000000003</v>
      </c>
      <c r="AJ1059">
        <v>2.411944444</v>
      </c>
      <c r="AK1059">
        <v>7.767370466</v>
      </c>
      <c r="AL1059">
        <v>6.2E-2</v>
      </c>
      <c r="AM1059">
        <v>7.3999999999999996E-2</v>
      </c>
      <c r="AN1059">
        <v>0.79</v>
      </c>
    </row>
    <row r="1060" spans="1:40">
      <c r="A1060">
        <v>3128</v>
      </c>
      <c r="B1060" t="s">
        <v>686</v>
      </c>
      <c r="C1060" t="s">
        <v>687</v>
      </c>
      <c r="D1060" t="s">
        <v>688</v>
      </c>
      <c r="E1060">
        <v>442</v>
      </c>
      <c r="F1060">
        <v>1084</v>
      </c>
      <c r="G1060">
        <v>49.576506850000001</v>
      </c>
      <c r="H1060">
        <v>111</v>
      </c>
      <c r="I1060">
        <v>7.7496944999999998E-2</v>
      </c>
      <c r="J1060">
        <v>1195</v>
      </c>
      <c r="K1060">
        <v>15419.962680000001</v>
      </c>
      <c r="L1060">
        <v>0.73899999999999999</v>
      </c>
      <c r="M1060">
        <v>0.20072332700000001</v>
      </c>
      <c r="N1060">
        <v>0</v>
      </c>
      <c r="O1060" t="s">
        <v>613</v>
      </c>
      <c r="P1060">
        <f t="shared" si="146"/>
        <v>11.78528736</v>
      </c>
      <c r="Q1060">
        <f t="shared" si="147"/>
        <v>0.115</v>
      </c>
      <c r="R1060">
        <f t="shared" si="148"/>
        <v>2.4E-2</v>
      </c>
      <c r="S1060">
        <f t="shared" si="149"/>
        <v>0.73899999999999999</v>
      </c>
      <c r="T1060">
        <f t="shared" si="150"/>
        <v>1.9183333330000001</v>
      </c>
      <c r="U1060">
        <f t="shared" si="151"/>
        <v>6.6129489599999998</v>
      </c>
      <c r="V1060">
        <f t="shared" si="152"/>
        <v>8.6999999999999994E-2</v>
      </c>
      <c r="W1060">
        <f t="shared" si="153"/>
        <v>0.307</v>
      </c>
      <c r="X1060">
        <f t="shared" si="154"/>
        <v>0.57999999999999996</v>
      </c>
      <c r="Y1060">
        <v>169.30077180000001</v>
      </c>
      <c r="Z1060">
        <v>1</v>
      </c>
      <c r="AA1060">
        <v>140316</v>
      </c>
      <c r="AB1060">
        <v>49638</v>
      </c>
      <c r="AC1060">
        <v>9.1283894000000004E-2</v>
      </c>
      <c r="AD1060">
        <v>0.60339869999999995</v>
      </c>
      <c r="AF1060">
        <v>11.78528736</v>
      </c>
      <c r="AG1060">
        <v>0.115</v>
      </c>
      <c r="AH1060">
        <v>2.4E-2</v>
      </c>
      <c r="AI1060">
        <v>0.73899999999999999</v>
      </c>
      <c r="AJ1060">
        <v>1.9183333330000001</v>
      </c>
      <c r="AK1060">
        <v>6.6129489599999998</v>
      </c>
      <c r="AL1060">
        <v>8.6999999999999994E-2</v>
      </c>
      <c r="AM1060">
        <v>0.307</v>
      </c>
      <c r="AN1060">
        <v>0.57999999999999996</v>
      </c>
    </row>
    <row r="1061" spans="1:40">
      <c r="A1061">
        <v>3129</v>
      </c>
      <c r="B1061" t="s">
        <v>689</v>
      </c>
      <c r="C1061" t="s">
        <v>687</v>
      </c>
      <c r="D1061" t="s">
        <v>688</v>
      </c>
      <c r="E1061">
        <v>113</v>
      </c>
      <c r="F1061">
        <v>249</v>
      </c>
      <c r="G1061">
        <v>93.688939590000004</v>
      </c>
      <c r="H1061">
        <v>2387</v>
      </c>
      <c r="I1061">
        <v>0.146450154</v>
      </c>
      <c r="J1061">
        <v>2636</v>
      </c>
      <c r="K1061">
        <v>17999.29825</v>
      </c>
      <c r="L1061">
        <v>0.83</v>
      </c>
      <c r="M1061">
        <v>0.95479999999999998</v>
      </c>
      <c r="N1061">
        <v>0</v>
      </c>
      <c r="O1061" t="s">
        <v>613</v>
      </c>
      <c r="P1061">
        <f t="shared" si="146"/>
        <v>14.27907104</v>
      </c>
      <c r="Q1061">
        <f t="shared" si="147"/>
        <v>2.5999999999999999E-2</v>
      </c>
      <c r="R1061">
        <f t="shared" si="148"/>
        <v>3.3000000000000002E-2</v>
      </c>
      <c r="S1061">
        <f t="shared" si="149"/>
        <v>0.83</v>
      </c>
      <c r="T1061">
        <f t="shared" si="150"/>
        <v>2.0969620249999998</v>
      </c>
      <c r="U1061">
        <f t="shared" si="151"/>
        <v>7.8719845360000003</v>
      </c>
      <c r="V1061">
        <f t="shared" si="152"/>
        <v>6.2E-2</v>
      </c>
      <c r="W1061">
        <f t="shared" si="153"/>
        <v>3.9E-2</v>
      </c>
      <c r="X1061">
        <f t="shared" si="154"/>
        <v>0.83899999999999997</v>
      </c>
      <c r="Y1061">
        <v>129.32343879999999</v>
      </c>
      <c r="Z1061">
        <v>0</v>
      </c>
      <c r="AA1061">
        <v>454184</v>
      </c>
      <c r="AB1061">
        <v>170596</v>
      </c>
      <c r="AC1061">
        <v>6.5715274000000004E-2</v>
      </c>
      <c r="AD1061">
        <v>0.72549415100000003</v>
      </c>
      <c r="AF1061">
        <v>14.27907104</v>
      </c>
      <c r="AG1061">
        <v>2.5999999999999999E-2</v>
      </c>
      <c r="AH1061">
        <v>3.3000000000000002E-2</v>
      </c>
      <c r="AI1061">
        <v>0.83</v>
      </c>
      <c r="AJ1061">
        <v>2.0969620249999998</v>
      </c>
      <c r="AK1061">
        <v>7.8719845360000003</v>
      </c>
      <c r="AL1061">
        <v>6.2E-2</v>
      </c>
      <c r="AM1061">
        <v>3.9E-2</v>
      </c>
      <c r="AN1061">
        <v>0.83899999999999997</v>
      </c>
    </row>
    <row r="1062" spans="1:40">
      <c r="A1062">
        <v>3130</v>
      </c>
      <c r="B1062" t="s">
        <v>691</v>
      </c>
      <c r="C1062" t="s">
        <v>684</v>
      </c>
      <c r="D1062" t="s">
        <v>685</v>
      </c>
      <c r="E1062">
        <v>70</v>
      </c>
      <c r="F1062">
        <v>125</v>
      </c>
      <c r="G1062">
        <v>11271.96797</v>
      </c>
      <c r="H1062">
        <v>1283</v>
      </c>
      <c r="I1062" s="515">
        <v>17.618872542550399</v>
      </c>
      <c r="J1062">
        <v>1408</v>
      </c>
      <c r="K1062">
        <v>79.914307600000001</v>
      </c>
      <c r="L1062">
        <v>0.96899999999999997</v>
      </c>
      <c r="M1062">
        <v>0.94826311900000004</v>
      </c>
      <c r="N1062">
        <v>0</v>
      </c>
      <c r="O1062" t="s">
        <v>625</v>
      </c>
      <c r="P1062">
        <f t="shared" si="146"/>
        <v>17.081935479999999</v>
      </c>
      <c r="Q1062">
        <f t="shared" si="147"/>
        <v>1.8070175438596476E-2</v>
      </c>
      <c r="R1062">
        <f t="shared" si="148"/>
        <v>1.4999999999999999E-2</v>
      </c>
      <c r="S1062">
        <f t="shared" si="149"/>
        <v>0.96899999999999997</v>
      </c>
      <c r="T1062">
        <f t="shared" si="150"/>
        <v>3.7512500000000002</v>
      </c>
      <c r="U1062">
        <f t="shared" si="151"/>
        <v>13.85614625</v>
      </c>
      <c r="V1062">
        <f t="shared" si="152"/>
        <v>2.7E-2</v>
      </c>
      <c r="W1062">
        <f t="shared" si="153"/>
        <v>5.9146341463414652E-2</v>
      </c>
      <c r="X1062">
        <f t="shared" si="154"/>
        <v>0.97299999999999998</v>
      </c>
      <c r="Y1062">
        <v>12.961643710000001</v>
      </c>
      <c r="Z1062">
        <v>0</v>
      </c>
      <c r="AA1062">
        <v>236250</v>
      </c>
      <c r="AB1062">
        <v>76158</v>
      </c>
      <c r="AC1062">
        <v>1.7652984E-2</v>
      </c>
      <c r="AD1062">
        <v>0.84750225300000004</v>
      </c>
      <c r="AF1062">
        <v>17.081935479999999</v>
      </c>
      <c r="AG1062">
        <v>0</v>
      </c>
      <c r="AH1062">
        <v>1.4999999999999999E-2</v>
      </c>
      <c r="AI1062">
        <v>0.96899999999999997</v>
      </c>
      <c r="AJ1062">
        <v>3.7512500000000002</v>
      </c>
      <c r="AK1062">
        <v>13.85614625</v>
      </c>
      <c r="AL1062">
        <v>2.7E-2</v>
      </c>
      <c r="AM1062">
        <v>0</v>
      </c>
      <c r="AN1062">
        <v>0.97299999999999998</v>
      </c>
    </row>
    <row r="1063" spans="1:40">
      <c r="A1063">
        <v>3131</v>
      </c>
      <c r="B1063" t="s">
        <v>686</v>
      </c>
      <c r="C1063" t="s">
        <v>687</v>
      </c>
      <c r="D1063" t="s">
        <v>688</v>
      </c>
      <c r="E1063">
        <v>10</v>
      </c>
      <c r="F1063">
        <v>123</v>
      </c>
      <c r="G1063">
        <v>406.6382213</v>
      </c>
      <c r="H1063">
        <v>67</v>
      </c>
      <c r="I1063">
        <v>0.63562375500000001</v>
      </c>
      <c r="J1063">
        <v>190</v>
      </c>
      <c r="K1063">
        <v>298.91897290000003</v>
      </c>
      <c r="L1063">
        <v>0.96</v>
      </c>
      <c r="M1063">
        <v>0.87012986999999997</v>
      </c>
      <c r="N1063">
        <v>0</v>
      </c>
      <c r="O1063" t="s">
        <v>625</v>
      </c>
      <c r="P1063">
        <f t="shared" si="146"/>
        <v>15.414</v>
      </c>
      <c r="Q1063">
        <f t="shared" si="147"/>
        <v>7.4635036496350365E-2</v>
      </c>
      <c r="R1063">
        <f t="shared" si="148"/>
        <v>4.0659259259259235E-2</v>
      </c>
      <c r="S1063">
        <f t="shared" si="149"/>
        <v>0.96</v>
      </c>
      <c r="T1063">
        <f t="shared" si="150"/>
        <v>1.9264575557555557</v>
      </c>
      <c r="U1063">
        <f t="shared" si="151"/>
        <v>12.12875</v>
      </c>
      <c r="V1063">
        <f t="shared" si="152"/>
        <v>8.2500000000000018E-2</v>
      </c>
      <c r="W1063">
        <f t="shared" si="153"/>
        <v>0.18733823529411764</v>
      </c>
      <c r="X1063">
        <f t="shared" si="154"/>
        <v>1</v>
      </c>
      <c r="Y1063">
        <v>180.3658939</v>
      </c>
      <c r="Z1063">
        <v>1</v>
      </c>
      <c r="AA1063">
        <v>140316</v>
      </c>
      <c r="AB1063">
        <v>49638</v>
      </c>
      <c r="AC1063">
        <v>9.1283894000000004E-2</v>
      </c>
      <c r="AD1063">
        <v>0.60339869999999995</v>
      </c>
      <c r="AF1063">
        <v>15.414</v>
      </c>
      <c r="AG1063">
        <v>0</v>
      </c>
      <c r="AH1063">
        <v>0</v>
      </c>
      <c r="AI1063">
        <v>0.96</v>
      </c>
      <c r="AK1063">
        <v>12.12875</v>
      </c>
      <c r="AL1063">
        <v>0</v>
      </c>
      <c r="AM1063">
        <v>0</v>
      </c>
      <c r="AN1063">
        <v>1</v>
      </c>
    </row>
    <row r="1064" spans="1:40">
      <c r="A1064">
        <v>3132</v>
      </c>
      <c r="B1064" t="s">
        <v>698</v>
      </c>
      <c r="C1064" t="s">
        <v>693</v>
      </c>
      <c r="D1064" t="s">
        <v>694</v>
      </c>
      <c r="E1064">
        <v>344</v>
      </c>
      <c r="F1064">
        <v>1096</v>
      </c>
      <c r="G1064">
        <v>632.56858850000003</v>
      </c>
      <c r="H1064">
        <v>0</v>
      </c>
      <c r="I1064">
        <v>0.988786901</v>
      </c>
      <c r="J1064">
        <v>1096</v>
      </c>
      <c r="K1064">
        <v>1108.4289229999999</v>
      </c>
      <c r="L1064">
        <v>0.871</v>
      </c>
      <c r="M1064">
        <v>0</v>
      </c>
      <c r="N1064">
        <v>0</v>
      </c>
      <c r="O1064" t="s">
        <v>625</v>
      </c>
      <c r="P1064">
        <f t="shared" si="146"/>
        <v>19.424646460000002</v>
      </c>
      <c r="Q1064">
        <f t="shared" si="147"/>
        <v>8.0000000000000002E-3</v>
      </c>
      <c r="R1064">
        <f t="shared" si="148"/>
        <v>2.1000000000000001E-2</v>
      </c>
      <c r="S1064">
        <f t="shared" si="149"/>
        <v>0.871</v>
      </c>
      <c r="T1064">
        <f t="shared" si="150"/>
        <v>2.883</v>
      </c>
      <c r="U1064">
        <f t="shared" si="151"/>
        <v>9.2785396040000006</v>
      </c>
      <c r="V1064">
        <f t="shared" si="152"/>
        <v>5.6000000000000001E-2</v>
      </c>
      <c r="W1064">
        <f t="shared" si="153"/>
        <v>1.9E-2</v>
      </c>
      <c r="X1064">
        <f t="shared" si="154"/>
        <v>0.92500000000000004</v>
      </c>
      <c r="Y1064">
        <v>8.2156825300000005</v>
      </c>
      <c r="Z1064">
        <v>0</v>
      </c>
      <c r="AA1064">
        <v>88250</v>
      </c>
      <c r="AB1064">
        <v>31723</v>
      </c>
      <c r="AC1064">
        <v>1.0795895999999999E-2</v>
      </c>
      <c r="AD1064">
        <v>0.817760245</v>
      </c>
      <c r="AF1064">
        <v>19.424646460000002</v>
      </c>
      <c r="AG1064">
        <v>8.0000000000000002E-3</v>
      </c>
      <c r="AH1064">
        <v>2.1000000000000001E-2</v>
      </c>
      <c r="AI1064">
        <v>0.871</v>
      </c>
      <c r="AJ1064">
        <v>2.883</v>
      </c>
      <c r="AK1064">
        <v>9.2785396040000006</v>
      </c>
      <c r="AL1064">
        <v>5.6000000000000001E-2</v>
      </c>
      <c r="AM1064">
        <v>1.9E-2</v>
      </c>
      <c r="AN1064">
        <v>0.92500000000000004</v>
      </c>
    </row>
    <row r="1065" spans="1:40">
      <c r="A1065">
        <v>3133</v>
      </c>
      <c r="B1065" t="s">
        <v>689</v>
      </c>
      <c r="C1065" t="s">
        <v>687</v>
      </c>
      <c r="D1065" t="s">
        <v>688</v>
      </c>
      <c r="E1065">
        <v>283</v>
      </c>
      <c r="F1065">
        <v>538</v>
      </c>
      <c r="G1065">
        <v>14.92553749</v>
      </c>
      <c r="H1065">
        <v>6538</v>
      </c>
      <c r="I1065">
        <v>2.3331436000000001E-2</v>
      </c>
      <c r="J1065">
        <v>7076</v>
      </c>
      <c r="K1065">
        <v>303281.804</v>
      </c>
      <c r="L1065">
        <v>0.61499999999999999</v>
      </c>
      <c r="M1065">
        <v>0.958510482</v>
      </c>
      <c r="N1065">
        <v>1</v>
      </c>
      <c r="O1065" t="s">
        <v>606</v>
      </c>
      <c r="P1065">
        <f t="shared" si="146"/>
        <v>13.219730459999999</v>
      </c>
      <c r="Q1065">
        <f t="shared" si="147"/>
        <v>0.13700000000000001</v>
      </c>
      <c r="R1065">
        <f t="shared" si="148"/>
        <v>0.03</v>
      </c>
      <c r="S1065">
        <f t="shared" si="149"/>
        <v>0.61499999999999999</v>
      </c>
      <c r="T1065">
        <f t="shared" si="150"/>
        <v>2.214083333</v>
      </c>
      <c r="U1065">
        <f t="shared" si="151"/>
        <v>9.1601227999999999</v>
      </c>
      <c r="V1065">
        <f t="shared" si="152"/>
        <v>4.3999999999999997E-2</v>
      </c>
      <c r="W1065">
        <f t="shared" si="153"/>
        <v>0.28299999999999997</v>
      </c>
      <c r="X1065">
        <f t="shared" si="154"/>
        <v>0.60699999999999998</v>
      </c>
      <c r="Y1065">
        <v>291.2313102</v>
      </c>
      <c r="Z1065">
        <v>0</v>
      </c>
      <c r="AA1065">
        <v>454184</v>
      </c>
      <c r="AB1065">
        <v>170596</v>
      </c>
      <c r="AC1065">
        <v>6.5715274000000004E-2</v>
      </c>
      <c r="AD1065">
        <v>0.72549415100000003</v>
      </c>
      <c r="AF1065">
        <v>13.219730459999999</v>
      </c>
      <c r="AG1065">
        <v>0.13700000000000001</v>
      </c>
      <c r="AH1065">
        <v>0.03</v>
      </c>
      <c r="AI1065">
        <v>0.61499999999999999</v>
      </c>
      <c r="AJ1065">
        <v>2.214083333</v>
      </c>
      <c r="AK1065">
        <v>9.1601227999999999</v>
      </c>
      <c r="AL1065">
        <v>4.3999999999999997E-2</v>
      </c>
      <c r="AM1065">
        <v>0.28299999999999997</v>
      </c>
      <c r="AN1065">
        <v>0.60699999999999998</v>
      </c>
    </row>
    <row r="1066" spans="1:40">
      <c r="A1066">
        <v>3134</v>
      </c>
      <c r="B1066" t="s">
        <v>689</v>
      </c>
      <c r="C1066" t="s">
        <v>687</v>
      </c>
      <c r="D1066" t="s">
        <v>688</v>
      </c>
      <c r="E1066">
        <v>165</v>
      </c>
      <c r="F1066">
        <v>208</v>
      </c>
      <c r="G1066">
        <v>16.858493840000001</v>
      </c>
      <c r="H1066">
        <v>2672</v>
      </c>
      <c r="I1066">
        <v>2.6349659000000001E-2</v>
      </c>
      <c r="J1066">
        <v>2880</v>
      </c>
      <c r="K1066">
        <v>109299.3272</v>
      </c>
      <c r="L1066">
        <v>0.6</v>
      </c>
      <c r="M1066">
        <v>0.94183997200000003</v>
      </c>
      <c r="N1066">
        <v>1</v>
      </c>
      <c r="O1066" t="s">
        <v>606</v>
      </c>
      <c r="P1066">
        <f t="shared" si="146"/>
        <v>15.554670659999999</v>
      </c>
      <c r="Q1066">
        <f t="shared" si="147"/>
        <v>0.13600000000000001</v>
      </c>
      <c r="R1066">
        <f t="shared" si="148"/>
        <v>4.2000000000000003E-2</v>
      </c>
      <c r="S1066">
        <f t="shared" si="149"/>
        <v>0.6</v>
      </c>
      <c r="T1066">
        <f t="shared" si="150"/>
        <v>1.84754902</v>
      </c>
      <c r="U1066">
        <f t="shared" si="151"/>
        <v>8.3957123189999994</v>
      </c>
      <c r="V1066">
        <f t="shared" si="152"/>
        <v>6.7000000000000004E-2</v>
      </c>
      <c r="W1066">
        <f t="shared" si="153"/>
        <v>0.28799999999999998</v>
      </c>
      <c r="X1066">
        <f t="shared" si="154"/>
        <v>0.57599999999999996</v>
      </c>
      <c r="Y1066">
        <v>243.51174589999999</v>
      </c>
      <c r="Z1066">
        <v>0</v>
      </c>
      <c r="AA1066">
        <v>454184</v>
      </c>
      <c r="AB1066">
        <v>170596</v>
      </c>
      <c r="AC1066">
        <v>6.5715274000000004E-2</v>
      </c>
      <c r="AD1066">
        <v>0.72549415100000003</v>
      </c>
      <c r="AF1066">
        <v>15.554670659999999</v>
      </c>
      <c r="AG1066">
        <v>0.13600000000000001</v>
      </c>
      <c r="AH1066">
        <v>4.2000000000000003E-2</v>
      </c>
      <c r="AI1066">
        <v>0.6</v>
      </c>
      <c r="AJ1066">
        <v>1.84754902</v>
      </c>
      <c r="AK1066">
        <v>8.3957123189999994</v>
      </c>
      <c r="AL1066">
        <v>6.7000000000000004E-2</v>
      </c>
      <c r="AM1066">
        <v>0.28799999999999998</v>
      </c>
      <c r="AN1066">
        <v>0.57599999999999996</v>
      </c>
    </row>
    <row r="1067" spans="1:40">
      <c r="A1067">
        <v>3135</v>
      </c>
      <c r="B1067" t="s">
        <v>686</v>
      </c>
      <c r="C1067" t="s">
        <v>687</v>
      </c>
      <c r="D1067" t="s">
        <v>688</v>
      </c>
      <c r="E1067">
        <v>211</v>
      </c>
      <c r="F1067">
        <v>547</v>
      </c>
      <c r="G1067">
        <v>51.588167069999997</v>
      </c>
      <c r="H1067">
        <v>981</v>
      </c>
      <c r="I1067">
        <v>8.064143E-2</v>
      </c>
      <c r="J1067">
        <v>1528</v>
      </c>
      <c r="K1067">
        <v>18948.076690000002</v>
      </c>
      <c r="L1067">
        <v>0.80900000000000005</v>
      </c>
      <c r="M1067">
        <v>0.822986577</v>
      </c>
      <c r="N1067">
        <v>0</v>
      </c>
      <c r="O1067" t="s">
        <v>613</v>
      </c>
      <c r="P1067">
        <f t="shared" si="146"/>
        <v>15.242457140000001</v>
      </c>
      <c r="Q1067">
        <f t="shared" si="147"/>
        <v>4.7E-2</v>
      </c>
      <c r="R1067">
        <f t="shared" si="148"/>
        <v>1.2E-2</v>
      </c>
      <c r="S1067">
        <f t="shared" si="149"/>
        <v>0.80900000000000005</v>
      </c>
      <c r="T1067">
        <f t="shared" si="150"/>
        <v>2.073</v>
      </c>
      <c r="U1067">
        <f t="shared" si="151"/>
        <v>8.9615431159999996</v>
      </c>
      <c r="V1067">
        <f t="shared" si="152"/>
        <v>5.0000000000000001E-3</v>
      </c>
      <c r="W1067">
        <f t="shared" si="153"/>
        <v>8.8999999999999996E-2</v>
      </c>
      <c r="X1067">
        <f t="shared" si="154"/>
        <v>0.86199999999999999</v>
      </c>
      <c r="Y1067">
        <v>180.300219</v>
      </c>
      <c r="Z1067">
        <v>1</v>
      </c>
      <c r="AA1067">
        <v>140316</v>
      </c>
      <c r="AB1067">
        <v>49638</v>
      </c>
      <c r="AC1067">
        <v>9.1283894000000004E-2</v>
      </c>
      <c r="AD1067">
        <v>0.60339869999999995</v>
      </c>
      <c r="AF1067">
        <v>15.242457140000001</v>
      </c>
      <c r="AG1067">
        <v>4.7E-2</v>
      </c>
      <c r="AH1067">
        <v>1.2E-2</v>
      </c>
      <c r="AI1067">
        <v>0.80900000000000005</v>
      </c>
      <c r="AJ1067">
        <v>2.073</v>
      </c>
      <c r="AK1067">
        <v>8.9615431159999996</v>
      </c>
      <c r="AL1067">
        <v>5.0000000000000001E-3</v>
      </c>
      <c r="AM1067">
        <v>8.8999999999999996E-2</v>
      </c>
      <c r="AN1067">
        <v>0.86199999999999999</v>
      </c>
    </row>
    <row r="1068" spans="1:40">
      <c r="A1068">
        <v>3136</v>
      </c>
      <c r="B1068" t="s">
        <v>689</v>
      </c>
      <c r="C1068" t="s">
        <v>687</v>
      </c>
      <c r="D1068" t="s">
        <v>688</v>
      </c>
      <c r="E1068">
        <v>536</v>
      </c>
      <c r="F1068">
        <v>1614</v>
      </c>
      <c r="G1068">
        <v>34.663500380000002</v>
      </c>
      <c r="H1068">
        <v>493</v>
      </c>
      <c r="I1068">
        <v>5.4179265999999997E-2</v>
      </c>
      <c r="J1068">
        <v>2107</v>
      </c>
      <c r="K1068">
        <v>38889.415739999997</v>
      </c>
      <c r="L1068">
        <v>0.66700000000000004</v>
      </c>
      <c r="M1068">
        <v>0.47910592800000001</v>
      </c>
      <c r="N1068">
        <v>1</v>
      </c>
      <c r="O1068" t="s">
        <v>613</v>
      </c>
      <c r="P1068">
        <f t="shared" si="146"/>
        <v>12.16918519</v>
      </c>
      <c r="Q1068">
        <f t="shared" si="147"/>
        <v>0.13400000000000001</v>
      </c>
      <c r="R1068">
        <f t="shared" si="148"/>
        <v>2.1999999999999999E-2</v>
      </c>
      <c r="S1068">
        <f t="shared" si="149"/>
        <v>0.66700000000000004</v>
      </c>
      <c r="T1068">
        <f t="shared" si="150"/>
        <v>1.827083333</v>
      </c>
      <c r="U1068">
        <f t="shared" si="151"/>
        <v>6.1390000000000002</v>
      </c>
      <c r="V1068">
        <f t="shared" si="152"/>
        <v>3.1E-2</v>
      </c>
      <c r="W1068">
        <f t="shared" si="153"/>
        <v>0.27600000000000002</v>
      </c>
      <c r="X1068">
        <f t="shared" si="154"/>
        <v>0.59199999999999997</v>
      </c>
      <c r="Y1068">
        <v>216.92993569999999</v>
      </c>
      <c r="Z1068">
        <v>0</v>
      </c>
      <c r="AA1068">
        <v>454184</v>
      </c>
      <c r="AB1068">
        <v>170596</v>
      </c>
      <c r="AC1068">
        <v>6.5715274000000004E-2</v>
      </c>
      <c r="AD1068">
        <v>0.72549415100000003</v>
      </c>
      <c r="AF1068">
        <v>12.16918519</v>
      </c>
      <c r="AG1068">
        <v>0.13400000000000001</v>
      </c>
      <c r="AH1068">
        <v>2.1999999999999999E-2</v>
      </c>
      <c r="AI1068">
        <v>0.66700000000000004</v>
      </c>
      <c r="AJ1068">
        <v>1.827083333</v>
      </c>
      <c r="AK1068">
        <v>6.1390000000000002</v>
      </c>
      <c r="AL1068">
        <v>3.1E-2</v>
      </c>
      <c r="AM1068">
        <v>0.27600000000000002</v>
      </c>
      <c r="AN1068">
        <v>0.59199999999999997</v>
      </c>
    </row>
    <row r="1069" spans="1:40">
      <c r="A1069">
        <v>3137</v>
      </c>
      <c r="B1069" t="s">
        <v>698</v>
      </c>
      <c r="C1069" t="s">
        <v>693</v>
      </c>
      <c r="D1069" t="s">
        <v>694</v>
      </c>
      <c r="E1069">
        <v>88</v>
      </c>
      <c r="F1069">
        <v>263</v>
      </c>
      <c r="G1069">
        <v>45.400093509999998</v>
      </c>
      <c r="H1069">
        <v>0</v>
      </c>
      <c r="I1069">
        <v>7.0961250000000003E-2</v>
      </c>
      <c r="J1069">
        <v>263</v>
      </c>
      <c r="K1069">
        <v>3706.2481280000002</v>
      </c>
      <c r="L1069">
        <v>0.89800000000000002</v>
      </c>
      <c r="M1069">
        <v>0</v>
      </c>
      <c r="N1069">
        <v>0</v>
      </c>
      <c r="O1069" t="s">
        <v>625</v>
      </c>
      <c r="P1069">
        <f t="shared" si="146"/>
        <v>19.106842109999999</v>
      </c>
      <c r="Q1069">
        <f t="shared" si="147"/>
        <v>1.452380952380952E-2</v>
      </c>
      <c r="R1069">
        <f t="shared" si="148"/>
        <v>1.7000000000000001E-2</v>
      </c>
      <c r="S1069">
        <f t="shared" si="149"/>
        <v>0.89800000000000002</v>
      </c>
      <c r="T1069">
        <f t="shared" si="150"/>
        <v>4.8099999999999996</v>
      </c>
      <c r="U1069">
        <f t="shared" si="151"/>
        <v>8.9602830190000002</v>
      </c>
      <c r="V1069">
        <f t="shared" si="152"/>
        <v>4.0705882352941189E-2</v>
      </c>
      <c r="W1069">
        <f t="shared" si="153"/>
        <v>5.2166666666666632E-2</v>
      </c>
      <c r="X1069">
        <f t="shared" si="154"/>
        <v>1</v>
      </c>
      <c r="Y1069">
        <v>87.906512120000002</v>
      </c>
      <c r="Z1069">
        <v>0</v>
      </c>
      <c r="AA1069">
        <v>88250</v>
      </c>
      <c r="AB1069">
        <v>31723</v>
      </c>
      <c r="AC1069">
        <v>1.0795895999999999E-2</v>
      </c>
      <c r="AD1069">
        <v>0.817760245</v>
      </c>
      <c r="AF1069">
        <v>19.106842109999999</v>
      </c>
      <c r="AG1069">
        <v>0</v>
      </c>
      <c r="AH1069">
        <v>1.7000000000000001E-2</v>
      </c>
      <c r="AI1069">
        <v>0.89800000000000002</v>
      </c>
      <c r="AJ1069">
        <v>4.8099999999999996</v>
      </c>
      <c r="AK1069">
        <v>8.9602830190000002</v>
      </c>
      <c r="AL1069">
        <v>0</v>
      </c>
      <c r="AM1069">
        <v>0</v>
      </c>
      <c r="AN1069">
        <v>1</v>
      </c>
    </row>
    <row r="1070" spans="1:40">
      <c r="A1070">
        <v>3138</v>
      </c>
      <c r="B1070" t="s">
        <v>707</v>
      </c>
      <c r="C1070" t="s">
        <v>693</v>
      </c>
      <c r="D1070" t="s">
        <v>694</v>
      </c>
      <c r="E1070">
        <v>13</v>
      </c>
      <c r="F1070">
        <v>38</v>
      </c>
      <c r="G1070">
        <v>2141.6413849999999</v>
      </c>
      <c r="H1070">
        <v>21</v>
      </c>
      <c r="I1070" s="515">
        <v>3.3476305836687699</v>
      </c>
      <c r="J1070">
        <v>59</v>
      </c>
      <c r="K1070">
        <v>17.624405840000001</v>
      </c>
      <c r="L1070" s="515">
        <v>1</v>
      </c>
      <c r="M1070">
        <v>0.61764705900000005</v>
      </c>
      <c r="N1070">
        <v>0</v>
      </c>
      <c r="O1070" t="s">
        <v>625</v>
      </c>
      <c r="P1070">
        <f t="shared" si="146"/>
        <v>16.02375</v>
      </c>
      <c r="Q1070">
        <f t="shared" si="147"/>
        <v>2.0450000000000006E-2</v>
      </c>
      <c r="R1070">
        <f t="shared" si="148"/>
        <v>7.2846153846153852E-2</v>
      </c>
      <c r="S1070">
        <f t="shared" si="149"/>
        <v>1</v>
      </c>
      <c r="T1070">
        <f t="shared" si="150"/>
        <v>2.2191326312692303</v>
      </c>
      <c r="U1070">
        <f t="shared" si="151"/>
        <v>10.78847826</v>
      </c>
      <c r="V1070">
        <f t="shared" si="152"/>
        <v>0.11835714285714286</v>
      </c>
      <c r="W1070">
        <f t="shared" si="153"/>
        <v>8.5526315789473686E-2</v>
      </c>
      <c r="X1070">
        <f t="shared" si="154"/>
        <v>1</v>
      </c>
      <c r="Y1070">
        <v>23.206094619999998</v>
      </c>
      <c r="Z1070">
        <v>0</v>
      </c>
      <c r="AA1070">
        <v>21149</v>
      </c>
      <c r="AB1070">
        <v>6968</v>
      </c>
      <c r="AC1070">
        <v>1.6645858999999999E-2</v>
      </c>
      <c r="AD1070">
        <v>0.89069218999999999</v>
      </c>
      <c r="AF1070">
        <v>16.02375</v>
      </c>
      <c r="AG1070">
        <v>0</v>
      </c>
      <c r="AH1070">
        <v>0</v>
      </c>
      <c r="AI1070">
        <v>1</v>
      </c>
      <c r="AK1070">
        <v>10.78847826</v>
      </c>
      <c r="AL1070">
        <v>0</v>
      </c>
      <c r="AM1070">
        <v>0</v>
      </c>
      <c r="AN1070">
        <v>1</v>
      </c>
    </row>
    <row r="1071" spans="1:40">
      <c r="A1071">
        <v>3139</v>
      </c>
      <c r="B1071" t="s">
        <v>709</v>
      </c>
      <c r="C1071" t="s">
        <v>693</v>
      </c>
      <c r="D1071" t="s">
        <v>694</v>
      </c>
      <c r="E1071">
        <v>60</v>
      </c>
      <c r="F1071">
        <v>328</v>
      </c>
      <c r="G1071">
        <v>61.23591571</v>
      </c>
      <c r="H1071">
        <v>0</v>
      </c>
      <c r="I1071">
        <v>9.5720777000000007E-2</v>
      </c>
      <c r="J1071">
        <v>328</v>
      </c>
      <c r="K1071">
        <v>3426.6332790000001</v>
      </c>
      <c r="L1071">
        <v>0.83599999999999997</v>
      </c>
      <c r="M1071">
        <v>0</v>
      </c>
      <c r="N1071">
        <v>0</v>
      </c>
      <c r="O1071" t="s">
        <v>620</v>
      </c>
      <c r="P1071">
        <f t="shared" si="146"/>
        <v>12.5175</v>
      </c>
      <c r="Q1071">
        <f t="shared" si="147"/>
        <v>1.5184210526315797E-2</v>
      </c>
      <c r="R1071">
        <f t="shared" si="148"/>
        <v>3.9E-2</v>
      </c>
      <c r="S1071">
        <f t="shared" si="149"/>
        <v>0.83599999999999997</v>
      </c>
      <c r="T1071">
        <f t="shared" si="150"/>
        <v>1.246666667</v>
      </c>
      <c r="U1071">
        <f t="shared" si="151"/>
        <v>5.7378740160000001</v>
      </c>
      <c r="V1071">
        <f t="shared" si="152"/>
        <v>0.33300000000000002</v>
      </c>
      <c r="W1071">
        <f t="shared" si="153"/>
        <v>5.1076923076923055E-2</v>
      </c>
      <c r="X1071">
        <f t="shared" si="154"/>
        <v>0.66700000000000004</v>
      </c>
      <c r="Y1071">
        <v>33.657979050000002</v>
      </c>
      <c r="Z1071">
        <v>0</v>
      </c>
      <c r="AA1071">
        <v>56865</v>
      </c>
      <c r="AB1071">
        <v>22398</v>
      </c>
      <c r="AC1071">
        <v>1.1143686E-2</v>
      </c>
      <c r="AD1071">
        <v>0.81944707100000003</v>
      </c>
      <c r="AF1071">
        <v>12.5175</v>
      </c>
      <c r="AG1071">
        <v>0</v>
      </c>
      <c r="AH1071">
        <v>3.9E-2</v>
      </c>
      <c r="AI1071">
        <v>0.83599999999999997</v>
      </c>
      <c r="AJ1071">
        <v>1.246666667</v>
      </c>
      <c r="AK1071">
        <v>5.7378740160000001</v>
      </c>
      <c r="AL1071">
        <v>0.33300000000000002</v>
      </c>
      <c r="AM1071">
        <v>0</v>
      </c>
      <c r="AN1071">
        <v>0.66700000000000004</v>
      </c>
    </row>
    <row r="1072" spans="1:40">
      <c r="A1072">
        <v>3140</v>
      </c>
      <c r="B1072" t="s">
        <v>709</v>
      </c>
      <c r="C1072" t="s">
        <v>693</v>
      </c>
      <c r="D1072" t="s">
        <v>694</v>
      </c>
      <c r="E1072">
        <v>164</v>
      </c>
      <c r="F1072">
        <v>164</v>
      </c>
      <c r="G1072">
        <v>67.329909009999994</v>
      </c>
      <c r="H1072">
        <v>0</v>
      </c>
      <c r="I1072">
        <v>0.105249035</v>
      </c>
      <c r="J1072">
        <v>164</v>
      </c>
      <c r="K1072">
        <v>1558.209061</v>
      </c>
      <c r="L1072">
        <v>0.79600000000000004</v>
      </c>
      <c r="M1072">
        <v>0</v>
      </c>
      <c r="N1072">
        <v>1</v>
      </c>
      <c r="O1072" t="s">
        <v>620</v>
      </c>
      <c r="P1072">
        <f t="shared" si="146"/>
        <v>9.4366666670000008</v>
      </c>
      <c r="Q1072">
        <f t="shared" si="147"/>
        <v>4.1000000000000002E-2</v>
      </c>
      <c r="R1072">
        <f t="shared" si="148"/>
        <v>0.01</v>
      </c>
      <c r="S1072">
        <f t="shared" si="149"/>
        <v>0.79600000000000004</v>
      </c>
      <c r="T1072">
        <f t="shared" si="150"/>
        <v>1.1100000000000001</v>
      </c>
      <c r="U1072">
        <f t="shared" si="151"/>
        <v>5.2258219180000003</v>
      </c>
      <c r="V1072">
        <f t="shared" si="152"/>
        <v>4.6644067796610157E-2</v>
      </c>
      <c r="W1072">
        <f t="shared" si="153"/>
        <v>5.1076923076923055E-2</v>
      </c>
      <c r="X1072">
        <f t="shared" si="154"/>
        <v>1</v>
      </c>
      <c r="Y1072">
        <v>33.84106937</v>
      </c>
      <c r="Z1072">
        <v>0</v>
      </c>
      <c r="AA1072">
        <v>56865</v>
      </c>
      <c r="AB1072">
        <v>22398</v>
      </c>
      <c r="AC1072">
        <v>1.1143686E-2</v>
      </c>
      <c r="AD1072">
        <v>0.81944707100000003</v>
      </c>
      <c r="AF1072">
        <v>9.4366666670000008</v>
      </c>
      <c r="AG1072">
        <v>4.1000000000000002E-2</v>
      </c>
      <c r="AH1072">
        <v>0.01</v>
      </c>
      <c r="AI1072">
        <v>0.79600000000000004</v>
      </c>
      <c r="AJ1072">
        <v>1.1100000000000001</v>
      </c>
      <c r="AK1072">
        <v>5.2258219180000003</v>
      </c>
      <c r="AL1072">
        <v>0</v>
      </c>
      <c r="AM1072">
        <v>0</v>
      </c>
      <c r="AN1072">
        <v>1</v>
      </c>
    </row>
    <row r="1073" spans="1:40">
      <c r="A1073">
        <v>3141</v>
      </c>
      <c r="B1073" t="s">
        <v>709</v>
      </c>
      <c r="C1073" t="s">
        <v>693</v>
      </c>
      <c r="D1073" t="s">
        <v>694</v>
      </c>
      <c r="E1073">
        <v>0</v>
      </c>
      <c r="F1073">
        <v>0</v>
      </c>
      <c r="G1073">
        <v>831.71260259999997</v>
      </c>
      <c r="H1073">
        <v>0</v>
      </c>
      <c r="I1073" s="515">
        <v>1.3000658595141601</v>
      </c>
      <c r="J1073">
        <v>0</v>
      </c>
      <c r="K1073">
        <v>0</v>
      </c>
      <c r="L1073"/>
      <c r="M1073">
        <v>0</v>
      </c>
      <c r="N1073">
        <v>0</v>
      </c>
      <c r="O1073" t="s">
        <v>625</v>
      </c>
      <c r="P1073">
        <f t="shared" si="146"/>
        <v>15.512410047246915</v>
      </c>
      <c r="Q1073">
        <f t="shared" si="147"/>
        <v>1.5184210526315797E-2</v>
      </c>
      <c r="R1073">
        <f t="shared" si="148"/>
        <v>2.3696202531645567E-2</v>
      </c>
      <c r="S1073">
        <f t="shared" si="149"/>
        <v>0.82278823529411782</v>
      </c>
      <c r="T1073">
        <f t="shared" si="150"/>
        <v>2.2169408982405066</v>
      </c>
      <c r="U1073">
        <f t="shared" si="151"/>
        <v>8.1975694672705899</v>
      </c>
      <c r="V1073">
        <f t="shared" si="152"/>
        <v>4.6644067796610157E-2</v>
      </c>
      <c r="W1073">
        <f t="shared" si="153"/>
        <v>5.1076923076923055E-2</v>
      </c>
      <c r="X1073">
        <f t="shared" si="154"/>
        <v>0.89225925925925942</v>
      </c>
      <c r="Y1073">
        <v>33.663337970000001</v>
      </c>
      <c r="Z1073">
        <v>0</v>
      </c>
      <c r="AA1073">
        <v>56865</v>
      </c>
      <c r="AB1073">
        <v>22398</v>
      </c>
      <c r="AC1073">
        <v>1.1143686E-2</v>
      </c>
      <c r="AD1073">
        <v>0.81944707100000003</v>
      </c>
    </row>
    <row r="1074" spans="1:40">
      <c r="A1074">
        <v>3142</v>
      </c>
      <c r="B1074" t="s">
        <v>709</v>
      </c>
      <c r="C1074" t="s">
        <v>693</v>
      </c>
      <c r="D1074" t="s">
        <v>694</v>
      </c>
      <c r="E1074">
        <v>166</v>
      </c>
      <c r="F1074">
        <v>862</v>
      </c>
      <c r="G1074">
        <v>68.171383160000005</v>
      </c>
      <c r="H1074">
        <v>37</v>
      </c>
      <c r="I1074">
        <v>0.106559974</v>
      </c>
      <c r="J1074">
        <v>899</v>
      </c>
      <c r="K1074">
        <v>8436.5636200000008</v>
      </c>
      <c r="L1074">
        <v>0.72299999999999998</v>
      </c>
      <c r="M1074">
        <v>0.18226601000000001</v>
      </c>
      <c r="N1074">
        <v>0</v>
      </c>
      <c r="O1074" t="s">
        <v>620</v>
      </c>
      <c r="P1074">
        <f t="shared" si="146"/>
        <v>17.829531249999999</v>
      </c>
      <c r="Q1074">
        <f t="shared" si="147"/>
        <v>1.7999999999999999E-2</v>
      </c>
      <c r="R1074">
        <f t="shared" si="148"/>
        <v>3.5999999999999997E-2</v>
      </c>
      <c r="S1074">
        <f t="shared" si="149"/>
        <v>0.72299999999999998</v>
      </c>
      <c r="T1074">
        <f t="shared" si="150"/>
        <v>1.475625</v>
      </c>
      <c r="U1074">
        <f t="shared" si="151"/>
        <v>8.0017808220000006</v>
      </c>
      <c r="V1074">
        <f t="shared" si="152"/>
        <v>3.9E-2</v>
      </c>
      <c r="W1074">
        <f t="shared" si="153"/>
        <v>3.9E-2</v>
      </c>
      <c r="X1074">
        <f t="shared" si="154"/>
        <v>0.84199999999999997</v>
      </c>
      <c r="Y1074">
        <v>142.94434699999999</v>
      </c>
      <c r="Z1074">
        <v>0</v>
      </c>
      <c r="AA1074">
        <v>56865</v>
      </c>
      <c r="AB1074">
        <v>22398</v>
      </c>
      <c r="AC1074">
        <v>1.1143686E-2</v>
      </c>
      <c r="AD1074">
        <v>0.81944707100000003</v>
      </c>
      <c r="AF1074">
        <v>17.829531249999999</v>
      </c>
      <c r="AG1074">
        <v>1.7999999999999999E-2</v>
      </c>
      <c r="AH1074">
        <v>3.5999999999999997E-2</v>
      </c>
      <c r="AI1074">
        <v>0.72299999999999998</v>
      </c>
      <c r="AJ1074">
        <v>1.475625</v>
      </c>
      <c r="AK1074">
        <v>8.0017808220000006</v>
      </c>
      <c r="AL1074">
        <v>3.9E-2</v>
      </c>
      <c r="AM1074">
        <v>3.9E-2</v>
      </c>
      <c r="AN1074">
        <v>0.84199999999999997</v>
      </c>
    </row>
    <row r="1075" spans="1:40">
      <c r="A1075">
        <v>3143</v>
      </c>
      <c r="B1075" t="s">
        <v>683</v>
      </c>
      <c r="C1075" t="s">
        <v>684</v>
      </c>
      <c r="D1075" t="s">
        <v>685</v>
      </c>
      <c r="E1075">
        <v>41</v>
      </c>
      <c r="F1075">
        <v>41</v>
      </c>
      <c r="G1075">
        <v>46.665423019999999</v>
      </c>
      <c r="H1075">
        <v>13</v>
      </c>
      <c r="I1075">
        <v>7.2944623E-2</v>
      </c>
      <c r="J1075">
        <v>54</v>
      </c>
      <c r="K1075">
        <v>740.28760150000005</v>
      </c>
      <c r="L1075">
        <v>0.81200000000000006</v>
      </c>
      <c r="M1075">
        <v>0.24074074100000001</v>
      </c>
      <c r="N1075">
        <v>0</v>
      </c>
      <c r="O1075" t="s">
        <v>620</v>
      </c>
      <c r="P1075">
        <f t="shared" si="146"/>
        <v>13.643645812456141</v>
      </c>
      <c r="Q1075">
        <f t="shared" si="147"/>
        <v>2.4425925925925924E-2</v>
      </c>
      <c r="R1075">
        <f t="shared" si="148"/>
        <v>1.8490909090909103E-2</v>
      </c>
      <c r="S1075">
        <f t="shared" si="149"/>
        <v>0.81200000000000006</v>
      </c>
      <c r="T1075">
        <f t="shared" si="150"/>
        <v>2.1850628673454549</v>
      </c>
      <c r="U1075">
        <f t="shared" si="151"/>
        <v>6.4883783780000002</v>
      </c>
      <c r="V1075">
        <f t="shared" si="152"/>
        <v>3.4119999999999984E-2</v>
      </c>
      <c r="W1075">
        <f t="shared" si="153"/>
        <v>7.91132075471698E-2</v>
      </c>
      <c r="X1075">
        <f t="shared" si="154"/>
        <v>0.87280701754385981</v>
      </c>
      <c r="Y1075">
        <v>118.5236609</v>
      </c>
      <c r="Z1075">
        <v>0</v>
      </c>
      <c r="AA1075">
        <v>75370</v>
      </c>
      <c r="AB1075">
        <v>21403</v>
      </c>
      <c r="AC1075">
        <v>2.4597187E-2</v>
      </c>
      <c r="AD1075">
        <v>0.84342094400000001</v>
      </c>
      <c r="AG1075">
        <v>0</v>
      </c>
      <c r="AH1075">
        <v>0</v>
      </c>
      <c r="AI1075">
        <v>0.81200000000000006</v>
      </c>
      <c r="AK1075">
        <v>6.4883783780000002</v>
      </c>
    </row>
    <row r="1076" spans="1:40">
      <c r="A1076">
        <v>3144</v>
      </c>
      <c r="B1076" t="s">
        <v>691</v>
      </c>
      <c r="C1076" t="s">
        <v>684</v>
      </c>
      <c r="D1076" t="s">
        <v>685</v>
      </c>
      <c r="E1076">
        <v>1</v>
      </c>
      <c r="F1076">
        <v>23</v>
      </c>
      <c r="G1076">
        <v>442.21474660000001</v>
      </c>
      <c r="H1076">
        <v>39</v>
      </c>
      <c r="I1076">
        <v>0.69121944899999999</v>
      </c>
      <c r="J1076">
        <v>62</v>
      </c>
      <c r="K1076">
        <v>89.696550189999996</v>
      </c>
      <c r="L1076">
        <v>0.88</v>
      </c>
      <c r="M1076">
        <v>0.97499999999999998</v>
      </c>
      <c r="N1076">
        <v>0</v>
      </c>
      <c r="O1076" t="s">
        <v>625</v>
      </c>
      <c r="P1076">
        <f t="shared" si="146"/>
        <v>12.705</v>
      </c>
      <c r="Q1076">
        <f t="shared" si="147"/>
        <v>0.04</v>
      </c>
      <c r="R1076">
        <f t="shared" si="148"/>
        <v>1.8486033519553042E-2</v>
      </c>
      <c r="S1076">
        <f t="shared" si="149"/>
        <v>0.88</v>
      </c>
      <c r="T1076">
        <f t="shared" si="150"/>
        <v>2.3004685426703912</v>
      </c>
      <c r="U1076">
        <f t="shared" si="151"/>
        <v>7.5890000000000004</v>
      </c>
      <c r="V1076">
        <f t="shared" si="152"/>
        <v>3.5151315789473656E-2</v>
      </c>
      <c r="W1076">
        <f t="shared" si="153"/>
        <v>5.9146341463414652E-2</v>
      </c>
      <c r="X1076">
        <f t="shared" si="154"/>
        <v>1</v>
      </c>
      <c r="Y1076">
        <v>139.16347590000001</v>
      </c>
      <c r="Z1076">
        <v>0</v>
      </c>
      <c r="AA1076">
        <v>236250</v>
      </c>
      <c r="AB1076">
        <v>76158</v>
      </c>
      <c r="AC1076">
        <v>1.7652984E-2</v>
      </c>
      <c r="AD1076">
        <v>0.84750225300000004</v>
      </c>
      <c r="AF1076">
        <v>12.705</v>
      </c>
      <c r="AG1076">
        <v>0.04</v>
      </c>
      <c r="AH1076">
        <v>0</v>
      </c>
      <c r="AI1076">
        <v>0.88</v>
      </c>
      <c r="AK1076">
        <v>7.5890000000000004</v>
      </c>
      <c r="AL1076">
        <v>0</v>
      </c>
      <c r="AM1076">
        <v>0</v>
      </c>
      <c r="AN1076">
        <v>1</v>
      </c>
    </row>
    <row r="1077" spans="1:40">
      <c r="A1077">
        <v>3145</v>
      </c>
      <c r="B1077" t="s">
        <v>691</v>
      </c>
      <c r="C1077" t="s">
        <v>684</v>
      </c>
      <c r="D1077" t="s">
        <v>685</v>
      </c>
      <c r="E1077">
        <v>0</v>
      </c>
      <c r="F1077">
        <v>0</v>
      </c>
      <c r="G1077">
        <v>1614.081426</v>
      </c>
      <c r="H1077">
        <v>192</v>
      </c>
      <c r="I1077" s="515">
        <v>2.5229336592445</v>
      </c>
      <c r="J1077">
        <v>192</v>
      </c>
      <c r="K1077">
        <v>76.101882149999994</v>
      </c>
      <c r="L1077" s="515">
        <v>1</v>
      </c>
      <c r="M1077" s="515">
        <v>1</v>
      </c>
      <c r="N1077">
        <v>0</v>
      </c>
      <c r="O1077" t="s">
        <v>625</v>
      </c>
      <c r="P1077">
        <f t="shared" si="146"/>
        <v>18.582162159999999</v>
      </c>
      <c r="Q1077">
        <f t="shared" si="147"/>
        <v>1.8070175438596476E-2</v>
      </c>
      <c r="R1077">
        <f t="shared" si="148"/>
        <v>1.8486033519553042E-2</v>
      </c>
      <c r="S1077">
        <f t="shared" si="149"/>
        <v>1</v>
      </c>
      <c r="T1077">
        <f t="shared" si="150"/>
        <v>2.3004685426703912</v>
      </c>
      <c r="U1077">
        <f t="shared" si="151"/>
        <v>15.807916669999999</v>
      </c>
      <c r="V1077">
        <f t="shared" si="152"/>
        <v>3.5151315789473656E-2</v>
      </c>
      <c r="W1077">
        <f t="shared" si="153"/>
        <v>5.9146341463414652E-2</v>
      </c>
      <c r="X1077">
        <f t="shared" si="154"/>
        <v>1</v>
      </c>
      <c r="Y1077">
        <v>6.8403847620000002</v>
      </c>
      <c r="Z1077">
        <v>0</v>
      </c>
      <c r="AA1077">
        <v>236250</v>
      </c>
      <c r="AB1077">
        <v>76158</v>
      </c>
      <c r="AC1077">
        <v>1.7652984E-2</v>
      </c>
      <c r="AD1077">
        <v>0.84750225300000004</v>
      </c>
      <c r="AF1077">
        <v>18.582162159999999</v>
      </c>
      <c r="AG1077">
        <v>0</v>
      </c>
      <c r="AH1077">
        <v>0</v>
      </c>
      <c r="AI1077">
        <v>1</v>
      </c>
      <c r="AK1077">
        <v>15.807916669999999</v>
      </c>
      <c r="AL1077">
        <v>0</v>
      </c>
      <c r="AM1077">
        <v>0</v>
      </c>
      <c r="AN1077">
        <v>1</v>
      </c>
    </row>
    <row r="1078" spans="1:40">
      <c r="A1078">
        <v>3146</v>
      </c>
      <c r="B1078" t="s">
        <v>706</v>
      </c>
      <c r="C1078" t="s">
        <v>684</v>
      </c>
      <c r="D1078" t="s">
        <v>685</v>
      </c>
      <c r="E1078">
        <v>102</v>
      </c>
      <c r="F1078">
        <v>349</v>
      </c>
      <c r="G1078">
        <v>180.9591557</v>
      </c>
      <c r="H1078">
        <v>1723</v>
      </c>
      <c r="I1078">
        <v>0.28286102400000002</v>
      </c>
      <c r="J1078">
        <v>2072</v>
      </c>
      <c r="K1078">
        <v>7325.1520149999997</v>
      </c>
      <c r="L1078">
        <v>0.90900000000000003</v>
      </c>
      <c r="M1078">
        <v>0.94410958899999997</v>
      </c>
      <c r="N1078">
        <v>0</v>
      </c>
      <c r="O1078" t="s">
        <v>620</v>
      </c>
      <c r="P1078">
        <f t="shared" si="146"/>
        <v>16.370382169999999</v>
      </c>
      <c r="Q1078">
        <f t="shared" si="147"/>
        <v>1.7000000000000001E-2</v>
      </c>
      <c r="R1078">
        <f t="shared" si="148"/>
        <v>1.2E-2</v>
      </c>
      <c r="S1078">
        <f t="shared" si="149"/>
        <v>0.90900000000000003</v>
      </c>
      <c r="T1078">
        <f t="shared" si="150"/>
        <v>2.542142857</v>
      </c>
      <c r="U1078">
        <f t="shared" si="151"/>
        <v>10.275088370000001</v>
      </c>
      <c r="V1078">
        <f t="shared" si="152"/>
        <v>1.2E-2</v>
      </c>
      <c r="W1078">
        <f t="shared" si="153"/>
        <v>4.7E-2</v>
      </c>
      <c r="X1078">
        <f t="shared" si="154"/>
        <v>0.91800000000000004</v>
      </c>
      <c r="Y1078">
        <v>6.9350977790000004</v>
      </c>
      <c r="Z1078">
        <v>0</v>
      </c>
      <c r="AA1078">
        <v>47401</v>
      </c>
      <c r="AB1078">
        <v>14616</v>
      </c>
      <c r="AC1078">
        <v>1.1721782E-2</v>
      </c>
      <c r="AD1078">
        <v>0.85588417900000002</v>
      </c>
      <c r="AF1078">
        <v>16.370382169999999</v>
      </c>
      <c r="AG1078">
        <v>1.7000000000000001E-2</v>
      </c>
      <c r="AH1078">
        <v>1.2E-2</v>
      </c>
      <c r="AI1078">
        <v>0.90900000000000003</v>
      </c>
      <c r="AJ1078">
        <v>2.542142857</v>
      </c>
      <c r="AK1078">
        <v>10.275088370000001</v>
      </c>
      <c r="AL1078">
        <v>1.2E-2</v>
      </c>
      <c r="AM1078">
        <v>4.7E-2</v>
      </c>
      <c r="AN1078">
        <v>0.91800000000000004</v>
      </c>
    </row>
    <row r="1079" spans="1:40">
      <c r="A1079">
        <v>3147</v>
      </c>
      <c r="B1079" t="s">
        <v>691</v>
      </c>
      <c r="C1079" t="s">
        <v>684</v>
      </c>
      <c r="D1079" t="s">
        <v>685</v>
      </c>
      <c r="E1079">
        <v>569</v>
      </c>
      <c r="F1079">
        <v>1074</v>
      </c>
      <c r="G1079">
        <v>125.374639</v>
      </c>
      <c r="H1079">
        <v>814</v>
      </c>
      <c r="I1079">
        <v>0.195963999</v>
      </c>
      <c r="J1079">
        <v>1888</v>
      </c>
      <c r="K1079">
        <v>9634.4226980000003</v>
      </c>
      <c r="L1079">
        <v>0.82099999999999995</v>
      </c>
      <c r="M1079">
        <v>0.58857556</v>
      </c>
      <c r="N1079">
        <v>1</v>
      </c>
      <c r="O1079" t="s">
        <v>620</v>
      </c>
      <c r="P1079">
        <f t="shared" si="146"/>
        <v>13.67610687</v>
      </c>
      <c r="Q1079">
        <f t="shared" si="147"/>
        <v>3.4000000000000002E-2</v>
      </c>
      <c r="R1079">
        <f t="shared" si="148"/>
        <v>1.6E-2</v>
      </c>
      <c r="S1079">
        <f t="shared" si="149"/>
        <v>0.82099999999999995</v>
      </c>
      <c r="T1079">
        <f t="shared" si="150"/>
        <v>1.7215</v>
      </c>
      <c r="U1079">
        <f t="shared" si="151"/>
        <v>7.9442734230000003</v>
      </c>
      <c r="V1079">
        <f t="shared" si="152"/>
        <v>4.9000000000000002E-2</v>
      </c>
      <c r="W1079">
        <f t="shared" si="153"/>
        <v>0.11700000000000001</v>
      </c>
      <c r="X1079">
        <f t="shared" si="154"/>
        <v>0.80900000000000005</v>
      </c>
      <c r="Y1079">
        <v>12.965551120000001</v>
      </c>
      <c r="Z1079">
        <v>0</v>
      </c>
      <c r="AA1079">
        <v>236250</v>
      </c>
      <c r="AB1079">
        <v>76158</v>
      </c>
      <c r="AC1079">
        <v>1.7652984E-2</v>
      </c>
      <c r="AD1079">
        <v>0.84750225300000004</v>
      </c>
      <c r="AF1079">
        <v>13.67610687</v>
      </c>
      <c r="AG1079">
        <v>3.4000000000000002E-2</v>
      </c>
      <c r="AH1079">
        <v>1.6E-2</v>
      </c>
      <c r="AI1079">
        <v>0.82099999999999995</v>
      </c>
      <c r="AJ1079">
        <v>1.7215</v>
      </c>
      <c r="AK1079">
        <v>7.9442734230000003</v>
      </c>
      <c r="AL1079">
        <v>4.9000000000000002E-2</v>
      </c>
      <c r="AM1079">
        <v>0.11700000000000001</v>
      </c>
      <c r="AN1079">
        <v>0.80900000000000005</v>
      </c>
    </row>
    <row r="1080" spans="1:40">
      <c r="A1080">
        <v>3148</v>
      </c>
      <c r="B1080" t="s">
        <v>691</v>
      </c>
      <c r="C1080" t="s">
        <v>684</v>
      </c>
      <c r="D1080" t="s">
        <v>685</v>
      </c>
      <c r="E1080">
        <v>121</v>
      </c>
      <c r="F1080">
        <v>238</v>
      </c>
      <c r="G1080">
        <v>496.77152050000001</v>
      </c>
      <c r="H1080">
        <v>6469</v>
      </c>
      <c r="I1080">
        <v>0.776500352</v>
      </c>
      <c r="J1080">
        <v>6707</v>
      </c>
      <c r="K1080">
        <v>8637.4719380000006</v>
      </c>
      <c r="L1080">
        <v>0.93300000000000005</v>
      </c>
      <c r="M1080">
        <v>0.98163884700000004</v>
      </c>
      <c r="N1080">
        <v>1</v>
      </c>
      <c r="O1080" t="s">
        <v>620</v>
      </c>
      <c r="P1080">
        <f t="shared" si="146"/>
        <v>15.911346529999999</v>
      </c>
      <c r="Q1080">
        <f t="shared" si="147"/>
        <v>1E-3</v>
      </c>
      <c r="R1080">
        <f t="shared" si="148"/>
        <v>1.4E-2</v>
      </c>
      <c r="S1080">
        <f t="shared" si="149"/>
        <v>0.93300000000000005</v>
      </c>
      <c r="T1080">
        <f t="shared" si="150"/>
        <v>2.3647826090000001</v>
      </c>
      <c r="U1080">
        <f t="shared" si="151"/>
        <v>11.18198456</v>
      </c>
      <c r="V1080">
        <f t="shared" si="152"/>
        <v>2.3E-2</v>
      </c>
      <c r="W1080">
        <f t="shared" si="153"/>
        <v>2E-3</v>
      </c>
      <c r="X1080">
        <f t="shared" si="154"/>
        <v>0.97199999999999998</v>
      </c>
      <c r="Y1080">
        <v>12.965551120000001</v>
      </c>
      <c r="Z1080">
        <v>0</v>
      </c>
      <c r="AA1080">
        <v>236250</v>
      </c>
      <c r="AB1080">
        <v>76158</v>
      </c>
      <c r="AC1080">
        <v>1.7652984E-2</v>
      </c>
      <c r="AD1080">
        <v>0.84750225300000004</v>
      </c>
      <c r="AF1080">
        <v>15.911346529999999</v>
      </c>
      <c r="AG1080">
        <v>1E-3</v>
      </c>
      <c r="AH1080">
        <v>1.4E-2</v>
      </c>
      <c r="AI1080">
        <v>0.93300000000000005</v>
      </c>
      <c r="AJ1080">
        <v>2.3647826090000001</v>
      </c>
      <c r="AK1080">
        <v>11.18198456</v>
      </c>
      <c r="AL1080">
        <v>2.3E-2</v>
      </c>
      <c r="AM1080">
        <v>2E-3</v>
      </c>
      <c r="AN1080">
        <v>0.97199999999999998</v>
      </c>
    </row>
    <row r="1081" spans="1:40">
      <c r="A1081">
        <v>3149</v>
      </c>
      <c r="B1081" t="s">
        <v>691</v>
      </c>
      <c r="C1081" t="s">
        <v>684</v>
      </c>
      <c r="D1081" t="s">
        <v>685</v>
      </c>
      <c r="E1081">
        <v>192</v>
      </c>
      <c r="F1081">
        <v>646</v>
      </c>
      <c r="G1081">
        <v>168.4406079</v>
      </c>
      <c r="H1081">
        <v>3570</v>
      </c>
      <c r="I1081">
        <v>0.26328590499999999</v>
      </c>
      <c r="J1081">
        <v>4216</v>
      </c>
      <c r="K1081">
        <v>16013.01065</v>
      </c>
      <c r="L1081">
        <v>0.85499999999999998</v>
      </c>
      <c r="M1081">
        <v>0.94896331700000003</v>
      </c>
      <c r="N1081">
        <v>1</v>
      </c>
      <c r="O1081" t="s">
        <v>620</v>
      </c>
      <c r="P1081">
        <f t="shared" si="146"/>
        <v>14.85789668</v>
      </c>
      <c r="Q1081">
        <f t="shared" si="147"/>
        <v>3.9E-2</v>
      </c>
      <c r="R1081">
        <f t="shared" si="148"/>
        <v>1.7000000000000001E-2</v>
      </c>
      <c r="S1081">
        <f t="shared" si="149"/>
        <v>0.85499999999999998</v>
      </c>
      <c r="T1081">
        <f t="shared" si="150"/>
        <v>2.331590909</v>
      </c>
      <c r="U1081">
        <f t="shared" si="151"/>
        <v>9.7870692720000001</v>
      </c>
      <c r="V1081">
        <f t="shared" si="152"/>
        <v>3.4000000000000002E-2</v>
      </c>
      <c r="W1081">
        <f t="shared" si="153"/>
        <v>0.11799999999999999</v>
      </c>
      <c r="X1081">
        <f t="shared" si="154"/>
        <v>0.83399999999999996</v>
      </c>
      <c r="Y1081">
        <v>13.285188399999999</v>
      </c>
      <c r="Z1081">
        <v>0</v>
      </c>
      <c r="AA1081">
        <v>236250</v>
      </c>
      <c r="AB1081">
        <v>76158</v>
      </c>
      <c r="AC1081">
        <v>1.7652984E-2</v>
      </c>
      <c r="AD1081">
        <v>0.84750225300000004</v>
      </c>
      <c r="AF1081">
        <v>14.85789668</v>
      </c>
      <c r="AG1081">
        <v>3.9E-2</v>
      </c>
      <c r="AH1081">
        <v>1.7000000000000001E-2</v>
      </c>
      <c r="AI1081">
        <v>0.85499999999999998</v>
      </c>
      <c r="AJ1081">
        <v>2.331590909</v>
      </c>
      <c r="AK1081">
        <v>9.7870692720000001</v>
      </c>
      <c r="AL1081">
        <v>3.4000000000000002E-2</v>
      </c>
      <c r="AM1081">
        <v>0.11799999999999999</v>
      </c>
      <c r="AN1081">
        <v>0.83399999999999996</v>
      </c>
    </row>
    <row r="1082" spans="1:40">
      <c r="A1082">
        <v>3150</v>
      </c>
      <c r="B1082" t="s">
        <v>690</v>
      </c>
      <c r="C1082" t="s">
        <v>687</v>
      </c>
      <c r="D1082" t="s">
        <v>688</v>
      </c>
      <c r="E1082">
        <v>7</v>
      </c>
      <c r="F1082">
        <v>167</v>
      </c>
      <c r="G1082">
        <v>343.54026140000002</v>
      </c>
      <c r="H1082">
        <v>3367</v>
      </c>
      <c r="I1082">
        <v>0.53699488100000003</v>
      </c>
      <c r="J1082">
        <v>3534</v>
      </c>
      <c r="K1082">
        <v>6581.0683209999997</v>
      </c>
      <c r="L1082">
        <v>0.94199999999999995</v>
      </c>
      <c r="M1082">
        <v>0.99792531100000004</v>
      </c>
      <c r="N1082">
        <v>0</v>
      </c>
      <c r="O1082" t="s">
        <v>620</v>
      </c>
      <c r="P1082">
        <f t="shared" si="146"/>
        <v>17.357172769999998</v>
      </c>
      <c r="Q1082">
        <f t="shared" si="147"/>
        <v>1.4E-2</v>
      </c>
      <c r="R1082">
        <f t="shared" si="148"/>
        <v>1.4999999999999999E-2</v>
      </c>
      <c r="S1082">
        <f t="shared" si="149"/>
        <v>0.94199999999999995</v>
      </c>
      <c r="T1082">
        <f t="shared" si="150"/>
        <v>3.2104545450000002</v>
      </c>
      <c r="U1082">
        <f t="shared" si="151"/>
        <v>13.80148093</v>
      </c>
      <c r="V1082">
        <f t="shared" si="152"/>
        <v>0.02</v>
      </c>
      <c r="W1082">
        <f t="shared" si="153"/>
        <v>2.1999999999999999E-2</v>
      </c>
      <c r="X1082">
        <f t="shared" si="154"/>
        <v>0.95799999999999996</v>
      </c>
      <c r="Y1082">
        <v>110.31469</v>
      </c>
      <c r="Z1082">
        <v>0</v>
      </c>
      <c r="AA1082">
        <v>82284</v>
      </c>
      <c r="AB1082">
        <v>32030</v>
      </c>
      <c r="AC1082">
        <v>4.7570397E-2</v>
      </c>
      <c r="AD1082">
        <v>0.78974696300000002</v>
      </c>
      <c r="AF1082">
        <v>17.357172769999998</v>
      </c>
      <c r="AG1082">
        <v>1.4E-2</v>
      </c>
      <c r="AH1082">
        <v>1.4999999999999999E-2</v>
      </c>
      <c r="AI1082">
        <v>0.94199999999999995</v>
      </c>
      <c r="AJ1082">
        <v>3.2104545450000002</v>
      </c>
      <c r="AK1082">
        <v>13.80148093</v>
      </c>
      <c r="AL1082">
        <v>0.02</v>
      </c>
      <c r="AM1082">
        <v>2.1999999999999999E-2</v>
      </c>
      <c r="AN1082">
        <v>0.95799999999999996</v>
      </c>
    </row>
    <row r="1083" spans="1:40">
      <c r="A1083">
        <v>3151</v>
      </c>
      <c r="B1083" t="s">
        <v>689</v>
      </c>
      <c r="C1083" t="s">
        <v>687</v>
      </c>
      <c r="D1083" t="s">
        <v>688</v>
      </c>
      <c r="E1083">
        <v>0</v>
      </c>
      <c r="F1083">
        <v>0</v>
      </c>
      <c r="G1083">
        <v>118.29879800000001</v>
      </c>
      <c r="H1083">
        <v>1627</v>
      </c>
      <c r="I1083">
        <v>0.184912519</v>
      </c>
      <c r="J1083">
        <v>1627</v>
      </c>
      <c r="K1083">
        <v>8798.7552639999994</v>
      </c>
      <c r="L1083">
        <v>0.95199999999999996</v>
      </c>
      <c r="M1083" s="515">
        <v>1</v>
      </c>
      <c r="N1083">
        <v>0</v>
      </c>
      <c r="O1083" t="s">
        <v>620</v>
      </c>
      <c r="P1083">
        <f t="shared" si="146"/>
        <v>18.182619809999998</v>
      </c>
      <c r="Q1083">
        <f t="shared" si="147"/>
        <v>6.0302483069977368E-2</v>
      </c>
      <c r="R1083">
        <f t="shared" si="148"/>
        <v>2.8000000000000001E-2</v>
      </c>
      <c r="S1083">
        <f t="shared" si="149"/>
        <v>0.95199999999999996</v>
      </c>
      <c r="T1083">
        <f t="shared" si="150"/>
        <v>3.664090909</v>
      </c>
      <c r="U1083">
        <f t="shared" si="151"/>
        <v>13.113048129999999</v>
      </c>
      <c r="V1083">
        <f t="shared" si="152"/>
        <v>4.9000000000000002E-2</v>
      </c>
      <c r="W1083">
        <f t="shared" si="153"/>
        <v>0.17334782608695659</v>
      </c>
      <c r="X1083">
        <f t="shared" si="154"/>
        <v>0.95099999999999996</v>
      </c>
      <c r="Y1083">
        <v>12.12778468</v>
      </c>
      <c r="Z1083">
        <v>0</v>
      </c>
      <c r="AA1083">
        <v>454184</v>
      </c>
      <c r="AB1083">
        <v>170596</v>
      </c>
      <c r="AC1083">
        <v>6.5715274000000004E-2</v>
      </c>
      <c r="AD1083">
        <v>0.72549415100000003</v>
      </c>
      <c r="AF1083">
        <v>18.182619809999998</v>
      </c>
      <c r="AG1083">
        <v>0</v>
      </c>
      <c r="AH1083">
        <v>2.8000000000000001E-2</v>
      </c>
      <c r="AI1083">
        <v>0.95199999999999996</v>
      </c>
      <c r="AJ1083">
        <v>3.664090909</v>
      </c>
      <c r="AK1083">
        <v>13.113048129999999</v>
      </c>
      <c r="AL1083">
        <v>4.9000000000000002E-2</v>
      </c>
      <c r="AM1083">
        <v>0</v>
      </c>
      <c r="AN1083">
        <v>0.95099999999999996</v>
      </c>
    </row>
    <row r="1084" spans="1:40">
      <c r="A1084">
        <v>3152</v>
      </c>
      <c r="B1084" t="s">
        <v>690</v>
      </c>
      <c r="C1084" t="s">
        <v>687</v>
      </c>
      <c r="D1084" t="s">
        <v>688</v>
      </c>
      <c r="E1084">
        <v>16</v>
      </c>
      <c r="F1084">
        <v>516</v>
      </c>
      <c r="G1084">
        <v>193.1956826</v>
      </c>
      <c r="H1084">
        <v>2175</v>
      </c>
      <c r="I1084">
        <v>0.30199641500000002</v>
      </c>
      <c r="J1084">
        <v>2691</v>
      </c>
      <c r="K1084">
        <v>8910.7018040000003</v>
      </c>
      <c r="L1084">
        <v>0.86399999999999999</v>
      </c>
      <c r="M1084">
        <v>0.99269739800000001</v>
      </c>
      <c r="N1084">
        <v>0</v>
      </c>
      <c r="O1084" t="s">
        <v>620</v>
      </c>
      <c r="P1084">
        <f t="shared" si="146"/>
        <v>16.864635759999999</v>
      </c>
      <c r="Q1084">
        <f t="shared" si="147"/>
        <v>1.9E-2</v>
      </c>
      <c r="R1084">
        <f t="shared" si="148"/>
        <v>5.0000000000000001E-3</v>
      </c>
      <c r="S1084">
        <f t="shared" si="149"/>
        <v>0.86399999999999999</v>
      </c>
      <c r="T1084">
        <f t="shared" si="150"/>
        <v>2.9057142859999998</v>
      </c>
      <c r="U1084">
        <f t="shared" si="151"/>
        <v>10.109798659999999</v>
      </c>
      <c r="V1084">
        <f t="shared" si="152"/>
        <v>6.0000000000000001E-3</v>
      </c>
      <c r="W1084">
        <f t="shared" si="153"/>
        <v>5.7000000000000002E-2</v>
      </c>
      <c r="X1084">
        <f t="shared" si="154"/>
        <v>0.90700000000000003</v>
      </c>
      <c r="Y1084">
        <v>43.592184039999999</v>
      </c>
      <c r="Z1084">
        <v>0</v>
      </c>
      <c r="AA1084">
        <v>82284</v>
      </c>
      <c r="AB1084">
        <v>32030</v>
      </c>
      <c r="AC1084">
        <v>4.7570397E-2</v>
      </c>
      <c r="AD1084">
        <v>0.78974696300000002</v>
      </c>
      <c r="AF1084">
        <v>16.864635759999999</v>
      </c>
      <c r="AG1084">
        <v>1.9E-2</v>
      </c>
      <c r="AH1084">
        <v>5.0000000000000001E-3</v>
      </c>
      <c r="AI1084">
        <v>0.86399999999999999</v>
      </c>
      <c r="AJ1084">
        <v>2.9057142859999998</v>
      </c>
      <c r="AK1084">
        <v>10.109798659999999</v>
      </c>
      <c r="AL1084">
        <v>6.0000000000000001E-3</v>
      </c>
      <c r="AM1084">
        <v>5.7000000000000002E-2</v>
      </c>
      <c r="AN1084">
        <v>0.90700000000000003</v>
      </c>
    </row>
    <row r="1085" spans="1:40">
      <c r="A1085">
        <v>3153</v>
      </c>
      <c r="B1085" t="s">
        <v>690</v>
      </c>
      <c r="C1085" t="s">
        <v>687</v>
      </c>
      <c r="D1085" t="s">
        <v>688</v>
      </c>
      <c r="E1085">
        <v>741</v>
      </c>
      <c r="F1085">
        <v>2089</v>
      </c>
      <c r="G1085">
        <v>285.27979329999999</v>
      </c>
      <c r="H1085">
        <v>2696</v>
      </c>
      <c r="I1085">
        <v>0.445922602</v>
      </c>
      <c r="J1085">
        <v>4785</v>
      </c>
      <c r="K1085">
        <v>10730.56171</v>
      </c>
      <c r="L1085">
        <v>0.82099999999999995</v>
      </c>
      <c r="M1085">
        <v>0.78440500400000002</v>
      </c>
      <c r="N1085">
        <v>0</v>
      </c>
      <c r="O1085" t="s">
        <v>613</v>
      </c>
      <c r="P1085">
        <f t="shared" si="146"/>
        <v>14.48296796</v>
      </c>
      <c r="Q1085">
        <f t="shared" si="147"/>
        <v>2.5999999999999999E-2</v>
      </c>
      <c r="R1085">
        <f t="shared" si="148"/>
        <v>2.3E-2</v>
      </c>
      <c r="S1085">
        <f t="shared" si="149"/>
        <v>0.82099999999999995</v>
      </c>
      <c r="T1085">
        <f t="shared" si="150"/>
        <v>2.8875675680000001</v>
      </c>
      <c r="U1085">
        <f t="shared" si="151"/>
        <v>8.3117341919999994</v>
      </c>
      <c r="V1085">
        <f t="shared" si="152"/>
        <v>0.05</v>
      </c>
      <c r="W1085">
        <f t="shared" si="153"/>
        <v>9.0999999999999998E-2</v>
      </c>
      <c r="X1085">
        <f t="shared" si="154"/>
        <v>0.84499999999999997</v>
      </c>
      <c r="Y1085">
        <v>347.4069093</v>
      </c>
      <c r="Z1085">
        <v>0</v>
      </c>
      <c r="AA1085">
        <v>82284</v>
      </c>
      <c r="AB1085">
        <v>32030</v>
      </c>
      <c r="AC1085">
        <v>4.7570397E-2</v>
      </c>
      <c r="AD1085">
        <v>0.78974696300000002</v>
      </c>
      <c r="AF1085">
        <v>14.48296796</v>
      </c>
      <c r="AG1085">
        <v>2.5999999999999999E-2</v>
      </c>
      <c r="AH1085">
        <v>2.3E-2</v>
      </c>
      <c r="AI1085">
        <v>0.82099999999999995</v>
      </c>
      <c r="AJ1085">
        <v>2.8875675680000001</v>
      </c>
      <c r="AK1085">
        <v>8.3117341919999994</v>
      </c>
      <c r="AL1085">
        <v>0.05</v>
      </c>
      <c r="AM1085">
        <v>9.0999999999999998E-2</v>
      </c>
      <c r="AN1085">
        <v>0.84499999999999997</v>
      </c>
    </row>
    <row r="1086" spans="1:40">
      <c r="A1086">
        <v>3154</v>
      </c>
      <c r="B1086" t="s">
        <v>690</v>
      </c>
      <c r="C1086" t="s">
        <v>687</v>
      </c>
      <c r="D1086" t="s">
        <v>688</v>
      </c>
      <c r="E1086">
        <v>2</v>
      </c>
      <c r="F1086">
        <v>7</v>
      </c>
      <c r="G1086">
        <v>67.010190829999999</v>
      </c>
      <c r="H1086">
        <v>244</v>
      </c>
      <c r="I1086">
        <v>0.10474692200000001</v>
      </c>
      <c r="J1086">
        <v>251</v>
      </c>
      <c r="K1086">
        <v>2396.251796</v>
      </c>
      <c r="L1086">
        <v>0.75700000000000001</v>
      </c>
      <c r="M1086">
        <v>0.99186991899999999</v>
      </c>
      <c r="N1086">
        <v>0</v>
      </c>
      <c r="O1086" t="s">
        <v>613</v>
      </c>
      <c r="P1086">
        <f t="shared" si="146"/>
        <v>12.81366667</v>
      </c>
      <c r="Q1086">
        <f t="shared" si="147"/>
        <v>0.106</v>
      </c>
      <c r="R1086">
        <f t="shared" si="148"/>
        <v>2.1000000000000001E-2</v>
      </c>
      <c r="S1086">
        <f t="shared" si="149"/>
        <v>0.75700000000000001</v>
      </c>
      <c r="T1086">
        <f t="shared" si="150"/>
        <v>1.884090909</v>
      </c>
      <c r="U1086">
        <f t="shared" si="151"/>
        <v>5.6242550509999996</v>
      </c>
      <c r="V1086">
        <f t="shared" si="152"/>
        <v>5.034848484848483E-2</v>
      </c>
      <c r="W1086">
        <f t="shared" si="153"/>
        <v>6.2E-2</v>
      </c>
      <c r="X1086">
        <f t="shared" si="154"/>
        <v>0.93799999999999994</v>
      </c>
      <c r="Y1086">
        <v>347.33486790000001</v>
      </c>
      <c r="Z1086">
        <v>0</v>
      </c>
      <c r="AA1086">
        <v>82284</v>
      </c>
      <c r="AB1086">
        <v>32030</v>
      </c>
      <c r="AC1086">
        <v>4.7570397E-2</v>
      </c>
      <c r="AD1086">
        <v>0.78974696300000002</v>
      </c>
      <c r="AF1086">
        <v>12.81366667</v>
      </c>
      <c r="AG1086">
        <v>0.106</v>
      </c>
      <c r="AH1086">
        <v>2.1000000000000001E-2</v>
      </c>
      <c r="AI1086">
        <v>0.75700000000000001</v>
      </c>
      <c r="AJ1086">
        <v>1.884090909</v>
      </c>
      <c r="AK1086">
        <v>5.6242550509999996</v>
      </c>
      <c r="AL1086">
        <v>0</v>
      </c>
      <c r="AM1086">
        <v>6.2E-2</v>
      </c>
      <c r="AN1086">
        <v>0.93799999999999994</v>
      </c>
    </row>
    <row r="1087" spans="1:40">
      <c r="A1087">
        <v>3155</v>
      </c>
      <c r="B1087" t="s">
        <v>690</v>
      </c>
      <c r="C1087" t="s">
        <v>687</v>
      </c>
      <c r="D1087" t="s">
        <v>688</v>
      </c>
      <c r="E1087">
        <v>793</v>
      </c>
      <c r="F1087">
        <v>1815</v>
      </c>
      <c r="G1087">
        <v>34.779836420000002</v>
      </c>
      <c r="H1087">
        <v>146</v>
      </c>
      <c r="I1087">
        <v>5.4364268E-2</v>
      </c>
      <c r="J1087">
        <v>1961</v>
      </c>
      <c r="K1087">
        <v>36071.487249999998</v>
      </c>
      <c r="L1087">
        <v>0.84599999999999997</v>
      </c>
      <c r="M1087">
        <v>0.15548455799999999</v>
      </c>
      <c r="N1087">
        <v>0</v>
      </c>
      <c r="O1087" t="s">
        <v>613</v>
      </c>
      <c r="P1087">
        <f t="shared" si="146"/>
        <v>12.884689</v>
      </c>
      <c r="Q1087">
        <f t="shared" si="147"/>
        <v>4.2999999999999997E-2</v>
      </c>
      <c r="R1087">
        <f t="shared" si="148"/>
        <v>2.1999999999999999E-2</v>
      </c>
      <c r="S1087">
        <f t="shared" si="149"/>
        <v>0.84599999999999997</v>
      </c>
      <c r="T1087">
        <f t="shared" si="150"/>
        <v>3.0463636360000002</v>
      </c>
      <c r="U1087">
        <f t="shared" si="151"/>
        <v>7.6817835179999996</v>
      </c>
      <c r="V1087">
        <f t="shared" si="152"/>
        <v>6.7000000000000004E-2</v>
      </c>
      <c r="W1087">
        <f t="shared" si="153"/>
        <v>0.15</v>
      </c>
      <c r="X1087">
        <f t="shared" si="154"/>
        <v>0.78300000000000003</v>
      </c>
      <c r="Y1087">
        <v>276.21439750000002</v>
      </c>
      <c r="Z1087">
        <v>0</v>
      </c>
      <c r="AA1087">
        <v>82284</v>
      </c>
      <c r="AB1087">
        <v>32030</v>
      </c>
      <c r="AC1087">
        <v>4.7570397E-2</v>
      </c>
      <c r="AD1087">
        <v>0.78974696300000002</v>
      </c>
      <c r="AF1087">
        <v>12.884689</v>
      </c>
      <c r="AG1087">
        <v>4.2999999999999997E-2</v>
      </c>
      <c r="AH1087">
        <v>2.1999999999999999E-2</v>
      </c>
      <c r="AI1087">
        <v>0.84599999999999997</v>
      </c>
      <c r="AJ1087">
        <v>3.0463636360000002</v>
      </c>
      <c r="AK1087">
        <v>7.6817835179999996</v>
      </c>
      <c r="AL1087">
        <v>6.7000000000000004E-2</v>
      </c>
      <c r="AM1087">
        <v>0.15</v>
      </c>
      <c r="AN1087">
        <v>0.78300000000000003</v>
      </c>
    </row>
    <row r="1088" spans="1:40">
      <c r="A1088">
        <v>3156</v>
      </c>
      <c r="B1088" t="s">
        <v>690</v>
      </c>
      <c r="C1088" t="s">
        <v>687</v>
      </c>
      <c r="D1088" t="s">
        <v>688</v>
      </c>
      <c r="E1088">
        <v>649</v>
      </c>
      <c r="F1088">
        <v>1630</v>
      </c>
      <c r="G1088">
        <v>56.77186425</v>
      </c>
      <c r="H1088">
        <v>124</v>
      </c>
      <c r="I1088">
        <v>8.8745710000000005E-2</v>
      </c>
      <c r="J1088">
        <v>1754</v>
      </c>
      <c r="K1088">
        <v>19764.335650000001</v>
      </c>
      <c r="L1088">
        <v>0.71599999999999997</v>
      </c>
      <c r="M1088">
        <v>0.16041397199999999</v>
      </c>
      <c r="N1088">
        <v>0</v>
      </c>
      <c r="O1088" t="s">
        <v>613</v>
      </c>
      <c r="P1088">
        <f t="shared" si="146"/>
        <v>10.134344260000001</v>
      </c>
      <c r="Q1088">
        <f t="shared" si="147"/>
        <v>6.7000000000000004E-2</v>
      </c>
      <c r="R1088">
        <f t="shared" si="148"/>
        <v>4.3999999999999997E-2</v>
      </c>
      <c r="S1088">
        <f t="shared" si="149"/>
        <v>0.71599999999999997</v>
      </c>
      <c r="T1088">
        <f t="shared" si="150"/>
        <v>2.910789474</v>
      </c>
      <c r="U1088">
        <f t="shared" si="151"/>
        <v>6.4741216220000002</v>
      </c>
      <c r="V1088">
        <f t="shared" si="152"/>
        <v>0.06</v>
      </c>
      <c r="W1088">
        <f t="shared" si="153"/>
        <v>0.23400000000000001</v>
      </c>
      <c r="X1088">
        <f t="shared" si="154"/>
        <v>0.66300000000000003</v>
      </c>
      <c r="Y1088">
        <v>175.27096990000001</v>
      </c>
      <c r="Z1088">
        <v>0</v>
      </c>
      <c r="AA1088">
        <v>82284</v>
      </c>
      <c r="AB1088">
        <v>32030</v>
      </c>
      <c r="AC1088">
        <v>4.7570397E-2</v>
      </c>
      <c r="AD1088">
        <v>0.78974696300000002</v>
      </c>
      <c r="AF1088">
        <v>10.134344260000001</v>
      </c>
      <c r="AG1088">
        <v>6.7000000000000004E-2</v>
      </c>
      <c r="AH1088">
        <v>4.3999999999999997E-2</v>
      </c>
      <c r="AI1088">
        <v>0.71599999999999997</v>
      </c>
      <c r="AJ1088">
        <v>2.910789474</v>
      </c>
      <c r="AK1088">
        <v>6.4741216220000002</v>
      </c>
      <c r="AL1088">
        <v>0.06</v>
      </c>
      <c r="AM1088">
        <v>0.23400000000000001</v>
      </c>
      <c r="AN1088">
        <v>0.66300000000000003</v>
      </c>
    </row>
    <row r="1089" spans="1:40">
      <c r="A1089">
        <v>3157</v>
      </c>
      <c r="B1089" t="s">
        <v>690</v>
      </c>
      <c r="C1089" t="s">
        <v>687</v>
      </c>
      <c r="D1089" t="s">
        <v>688</v>
      </c>
      <c r="E1089">
        <v>297</v>
      </c>
      <c r="F1089">
        <v>883</v>
      </c>
      <c r="G1089">
        <v>50.444332189999997</v>
      </c>
      <c r="H1089">
        <v>34</v>
      </c>
      <c r="I1089">
        <v>7.8848128000000003E-2</v>
      </c>
      <c r="J1089">
        <v>917</v>
      </c>
      <c r="K1089">
        <v>11629.95271</v>
      </c>
      <c r="L1089">
        <v>0.81799999999999995</v>
      </c>
      <c r="M1089">
        <v>0.102719033</v>
      </c>
      <c r="N1089">
        <v>0</v>
      </c>
      <c r="O1089" t="s">
        <v>620</v>
      </c>
      <c r="P1089">
        <f t="shared" si="146"/>
        <v>9.5942372880000004</v>
      </c>
      <c r="Q1089">
        <f t="shared" si="147"/>
        <v>7.0999999999999994E-2</v>
      </c>
      <c r="R1089">
        <f t="shared" si="148"/>
        <v>1.6E-2</v>
      </c>
      <c r="S1089">
        <f t="shared" si="149"/>
        <v>0.81799999999999995</v>
      </c>
      <c r="T1089">
        <f t="shared" si="150"/>
        <v>1.4166666670000001</v>
      </c>
      <c r="U1089">
        <f t="shared" si="151"/>
        <v>6.5148514850000003</v>
      </c>
      <c r="V1089">
        <f t="shared" si="152"/>
        <v>2.4E-2</v>
      </c>
      <c r="W1089">
        <f t="shared" si="153"/>
        <v>0.25600000000000001</v>
      </c>
      <c r="X1089">
        <f t="shared" si="154"/>
        <v>0.72</v>
      </c>
      <c r="Y1089">
        <v>144.84210820000001</v>
      </c>
      <c r="Z1089">
        <v>0</v>
      </c>
      <c r="AA1089">
        <v>82284</v>
      </c>
      <c r="AB1089">
        <v>32030</v>
      </c>
      <c r="AC1089">
        <v>4.7570397E-2</v>
      </c>
      <c r="AD1089">
        <v>0.78974696300000002</v>
      </c>
      <c r="AF1089">
        <v>9.5942372880000004</v>
      </c>
      <c r="AG1089">
        <v>7.0999999999999994E-2</v>
      </c>
      <c r="AH1089">
        <v>1.6E-2</v>
      </c>
      <c r="AI1089">
        <v>0.81799999999999995</v>
      </c>
      <c r="AJ1089">
        <v>1.4166666670000001</v>
      </c>
      <c r="AK1089">
        <v>6.5148514850000003</v>
      </c>
      <c r="AL1089">
        <v>2.4E-2</v>
      </c>
      <c r="AM1089">
        <v>0.25600000000000001</v>
      </c>
      <c r="AN1089">
        <v>0.72</v>
      </c>
    </row>
    <row r="1090" spans="1:40">
      <c r="A1090">
        <v>3158</v>
      </c>
      <c r="B1090" t="s">
        <v>690</v>
      </c>
      <c r="C1090" t="s">
        <v>687</v>
      </c>
      <c r="D1090" t="s">
        <v>688</v>
      </c>
      <c r="E1090">
        <v>596</v>
      </c>
      <c r="F1090">
        <v>1498</v>
      </c>
      <c r="G1090">
        <v>47.219885689999998</v>
      </c>
      <c r="H1090">
        <v>9</v>
      </c>
      <c r="I1090">
        <v>7.3807991000000003E-2</v>
      </c>
      <c r="J1090">
        <v>1507</v>
      </c>
      <c r="K1090">
        <v>20417.843369999999</v>
      </c>
      <c r="L1090">
        <v>0.77400000000000002</v>
      </c>
      <c r="M1090">
        <v>1.4876033E-2</v>
      </c>
      <c r="N1090">
        <v>0</v>
      </c>
      <c r="O1090" t="s">
        <v>613</v>
      </c>
      <c r="P1090">
        <f t="shared" si="146"/>
        <v>9.4147524750000002</v>
      </c>
      <c r="Q1090">
        <f t="shared" si="147"/>
        <v>0.04</v>
      </c>
      <c r="R1090">
        <f t="shared" si="148"/>
        <v>3.5999999999999997E-2</v>
      </c>
      <c r="S1090">
        <f t="shared" si="149"/>
        <v>0.77400000000000002</v>
      </c>
      <c r="T1090">
        <f t="shared" si="150"/>
        <v>2.0162499999999999</v>
      </c>
      <c r="U1090">
        <f t="shared" si="151"/>
        <v>6.2279352230000002</v>
      </c>
      <c r="V1090">
        <f t="shared" si="152"/>
        <v>0.10299999999999999</v>
      </c>
      <c r="W1090">
        <f t="shared" si="153"/>
        <v>0.152</v>
      </c>
      <c r="X1090">
        <f t="shared" si="154"/>
        <v>0.69699999999999995</v>
      </c>
      <c r="Y1090">
        <v>405.81174549999997</v>
      </c>
      <c r="Z1090">
        <v>0</v>
      </c>
      <c r="AA1090">
        <v>82284</v>
      </c>
      <c r="AB1090">
        <v>32030</v>
      </c>
      <c r="AC1090">
        <v>4.7570397E-2</v>
      </c>
      <c r="AD1090">
        <v>0.78974696300000002</v>
      </c>
      <c r="AF1090">
        <v>9.4147524750000002</v>
      </c>
      <c r="AG1090">
        <v>0.04</v>
      </c>
      <c r="AH1090">
        <v>3.5999999999999997E-2</v>
      </c>
      <c r="AI1090">
        <v>0.77400000000000002</v>
      </c>
      <c r="AJ1090">
        <v>2.0162499999999999</v>
      </c>
      <c r="AK1090">
        <v>6.2279352230000002</v>
      </c>
      <c r="AL1090">
        <v>0.10299999999999999</v>
      </c>
      <c r="AM1090">
        <v>0.152</v>
      </c>
      <c r="AN1090">
        <v>0.69699999999999995</v>
      </c>
    </row>
    <row r="1091" spans="1:40">
      <c r="A1091">
        <v>3159</v>
      </c>
      <c r="B1091" t="s">
        <v>690</v>
      </c>
      <c r="C1091" t="s">
        <v>687</v>
      </c>
      <c r="D1091" t="s">
        <v>688</v>
      </c>
      <c r="E1091">
        <v>152</v>
      </c>
      <c r="F1091">
        <v>386</v>
      </c>
      <c r="G1091">
        <v>46.074790999999998</v>
      </c>
      <c r="H1091">
        <v>107</v>
      </c>
      <c r="I1091">
        <v>7.2022858999999995E-2</v>
      </c>
      <c r="J1091">
        <v>493</v>
      </c>
      <c r="K1091">
        <v>6845.0490140000002</v>
      </c>
      <c r="L1091">
        <v>0.75600000000000001</v>
      </c>
      <c r="M1091">
        <v>0.413127413</v>
      </c>
      <c r="N1091">
        <v>0</v>
      </c>
      <c r="O1091" t="s">
        <v>620</v>
      </c>
      <c r="P1091">
        <f t="shared" si="146"/>
        <v>8.2434693879999994</v>
      </c>
      <c r="Q1091">
        <f t="shared" si="147"/>
        <v>7.0999999999999994E-2</v>
      </c>
      <c r="R1091">
        <f t="shared" si="148"/>
        <v>3.1E-2</v>
      </c>
      <c r="S1091">
        <f t="shared" si="149"/>
        <v>0.75600000000000001</v>
      </c>
      <c r="T1091">
        <f t="shared" si="150"/>
        <v>2.0175000000000001</v>
      </c>
      <c r="U1091">
        <f t="shared" si="151"/>
        <v>6.9320967739999997</v>
      </c>
      <c r="V1091">
        <f t="shared" si="152"/>
        <v>3.3000000000000002E-2</v>
      </c>
      <c r="W1091">
        <f t="shared" si="153"/>
        <v>0.16400000000000001</v>
      </c>
      <c r="X1091">
        <f t="shared" si="154"/>
        <v>0.80300000000000005</v>
      </c>
      <c r="Y1091">
        <v>227.10921060000001</v>
      </c>
      <c r="Z1091">
        <v>0</v>
      </c>
      <c r="AA1091">
        <v>82284</v>
      </c>
      <c r="AB1091">
        <v>32030</v>
      </c>
      <c r="AC1091">
        <v>4.7570397E-2</v>
      </c>
      <c r="AD1091">
        <v>0.78974696300000002</v>
      </c>
      <c r="AF1091">
        <v>8.2434693879999994</v>
      </c>
      <c r="AG1091">
        <v>7.0999999999999994E-2</v>
      </c>
      <c r="AH1091">
        <v>3.1E-2</v>
      </c>
      <c r="AI1091">
        <v>0.75600000000000001</v>
      </c>
      <c r="AJ1091">
        <v>2.0175000000000001</v>
      </c>
      <c r="AK1091">
        <v>6.9320967739999997</v>
      </c>
      <c r="AL1091">
        <v>3.3000000000000002E-2</v>
      </c>
      <c r="AM1091">
        <v>0.16400000000000001</v>
      </c>
      <c r="AN1091">
        <v>0.80300000000000005</v>
      </c>
    </row>
    <row r="1092" spans="1:40">
      <c r="A1092">
        <v>3160</v>
      </c>
      <c r="B1092" t="s">
        <v>689</v>
      </c>
      <c r="C1092" t="s">
        <v>687</v>
      </c>
      <c r="D1092" t="s">
        <v>688</v>
      </c>
      <c r="E1092">
        <v>45</v>
      </c>
      <c r="F1092">
        <v>112</v>
      </c>
      <c r="G1092">
        <v>32.954520979999998</v>
      </c>
      <c r="H1092">
        <v>414</v>
      </c>
      <c r="I1092">
        <v>5.1514237999999997E-2</v>
      </c>
      <c r="J1092">
        <v>526</v>
      </c>
      <c r="K1092">
        <v>10210.7693</v>
      </c>
      <c r="L1092">
        <v>0.622</v>
      </c>
      <c r="M1092">
        <v>0.90196078400000002</v>
      </c>
      <c r="N1092">
        <v>1</v>
      </c>
      <c r="O1092" t="s">
        <v>606</v>
      </c>
      <c r="P1092">
        <f t="shared" si="146"/>
        <v>12.212112680000001</v>
      </c>
      <c r="Q1092">
        <f t="shared" si="147"/>
        <v>0.151</v>
      </c>
      <c r="R1092">
        <f t="shared" si="148"/>
        <v>0.01</v>
      </c>
      <c r="S1092">
        <f t="shared" si="149"/>
        <v>0.622</v>
      </c>
      <c r="T1092">
        <f t="shared" si="150"/>
        <v>1.5349999999999999</v>
      </c>
      <c r="U1092">
        <f t="shared" si="151"/>
        <v>7.0554545449999999</v>
      </c>
      <c r="V1092">
        <f t="shared" si="152"/>
        <v>1.9E-2</v>
      </c>
      <c r="W1092">
        <f t="shared" si="153"/>
        <v>0.28599999999999998</v>
      </c>
      <c r="X1092">
        <f t="shared" si="154"/>
        <v>0.67600000000000005</v>
      </c>
      <c r="Y1092">
        <v>113.28130350000001</v>
      </c>
      <c r="Z1092">
        <v>0</v>
      </c>
      <c r="AA1092">
        <v>454184</v>
      </c>
      <c r="AB1092">
        <v>170596</v>
      </c>
      <c r="AC1092">
        <v>6.5715274000000004E-2</v>
      </c>
      <c r="AD1092">
        <v>0.72549415100000003</v>
      </c>
      <c r="AF1092">
        <v>12.212112680000001</v>
      </c>
      <c r="AG1092">
        <v>0.151</v>
      </c>
      <c r="AH1092">
        <v>0.01</v>
      </c>
      <c r="AI1092">
        <v>0.622</v>
      </c>
      <c r="AJ1092">
        <v>1.5349999999999999</v>
      </c>
      <c r="AK1092">
        <v>7.0554545449999999</v>
      </c>
      <c r="AL1092">
        <v>1.9E-2</v>
      </c>
      <c r="AM1092">
        <v>0.28599999999999998</v>
      </c>
      <c r="AN1092">
        <v>0.67600000000000005</v>
      </c>
    </row>
    <row r="1093" spans="1:40">
      <c r="A1093">
        <v>3161</v>
      </c>
      <c r="B1093" t="s">
        <v>689</v>
      </c>
      <c r="C1093" t="s">
        <v>687</v>
      </c>
      <c r="D1093" t="s">
        <v>688</v>
      </c>
      <c r="E1093">
        <v>386</v>
      </c>
      <c r="F1093">
        <v>677</v>
      </c>
      <c r="G1093">
        <v>20.848561459999999</v>
      </c>
      <c r="H1093">
        <v>1139</v>
      </c>
      <c r="I1093">
        <v>3.2589093999999999E-2</v>
      </c>
      <c r="J1093">
        <v>1816</v>
      </c>
      <c r="K1093">
        <v>55724.163430000001</v>
      </c>
      <c r="L1093">
        <v>0.59299999999999997</v>
      </c>
      <c r="M1093">
        <v>0.74688524599999995</v>
      </c>
      <c r="N1093">
        <v>1</v>
      </c>
      <c r="O1093" t="s">
        <v>606</v>
      </c>
      <c r="P1093">
        <f t="shared" si="146"/>
        <v>14.02080357</v>
      </c>
      <c r="Q1093">
        <f t="shared" si="147"/>
        <v>0.11600000000000001</v>
      </c>
      <c r="R1093">
        <f t="shared" si="148"/>
        <v>2.1000000000000001E-2</v>
      </c>
      <c r="S1093">
        <f t="shared" si="149"/>
        <v>0.59299999999999997</v>
      </c>
      <c r="T1093">
        <f t="shared" si="150"/>
        <v>2.0708333329999999</v>
      </c>
      <c r="U1093">
        <f t="shared" si="151"/>
        <v>7.1734290029999999</v>
      </c>
      <c r="V1093">
        <f t="shared" si="152"/>
        <v>3.6999999999999998E-2</v>
      </c>
      <c r="W1093">
        <f t="shared" si="153"/>
        <v>0.316</v>
      </c>
      <c r="X1093">
        <f t="shared" si="154"/>
        <v>0.52100000000000002</v>
      </c>
      <c r="Y1093">
        <v>82.33449272</v>
      </c>
      <c r="Z1093">
        <v>0</v>
      </c>
      <c r="AA1093">
        <v>454184</v>
      </c>
      <c r="AB1093">
        <v>170596</v>
      </c>
      <c r="AC1093">
        <v>6.5715274000000004E-2</v>
      </c>
      <c r="AD1093">
        <v>0.72549415100000003</v>
      </c>
      <c r="AF1093">
        <v>14.02080357</v>
      </c>
      <c r="AG1093">
        <v>0.11600000000000001</v>
      </c>
      <c r="AH1093">
        <v>2.1000000000000001E-2</v>
      </c>
      <c r="AI1093">
        <v>0.59299999999999997</v>
      </c>
      <c r="AJ1093">
        <v>2.0708333329999999</v>
      </c>
      <c r="AK1093">
        <v>7.1734290029999999</v>
      </c>
      <c r="AL1093">
        <v>3.6999999999999998E-2</v>
      </c>
      <c r="AM1093">
        <v>0.316</v>
      </c>
      <c r="AN1093">
        <v>0.52100000000000002</v>
      </c>
    </row>
    <row r="1094" spans="1:40">
      <c r="A1094">
        <v>3162</v>
      </c>
      <c r="B1094" t="s">
        <v>700</v>
      </c>
      <c r="C1094" t="s">
        <v>687</v>
      </c>
      <c r="D1094" t="s">
        <v>688</v>
      </c>
      <c r="E1094">
        <v>284</v>
      </c>
      <c r="F1094">
        <v>377</v>
      </c>
      <c r="G1094">
        <v>28.33146305</v>
      </c>
      <c r="H1094">
        <v>441</v>
      </c>
      <c r="I1094">
        <v>4.4288954999999998E-2</v>
      </c>
      <c r="J1094">
        <v>818</v>
      </c>
      <c r="K1094">
        <v>18469.616180000001</v>
      </c>
      <c r="L1094">
        <v>0.75700000000000001</v>
      </c>
      <c r="M1094">
        <v>0.60827586199999994</v>
      </c>
      <c r="N1094">
        <v>0</v>
      </c>
      <c r="O1094" t="s">
        <v>613</v>
      </c>
      <c r="P1094">
        <f t="shared" si="146"/>
        <v>19.431666669999998</v>
      </c>
      <c r="Q1094">
        <f t="shared" si="147"/>
        <v>3.9E-2</v>
      </c>
      <c r="R1094">
        <f t="shared" si="148"/>
        <v>1.4999999999999999E-2</v>
      </c>
      <c r="S1094">
        <f t="shared" si="149"/>
        <v>0.75700000000000001</v>
      </c>
      <c r="T1094">
        <f t="shared" si="150"/>
        <v>2.41</v>
      </c>
      <c r="U1094">
        <f t="shared" si="151"/>
        <v>8.3294603709999997</v>
      </c>
      <c r="V1094">
        <f t="shared" si="152"/>
        <v>5.0999999999999997E-2</v>
      </c>
      <c r="W1094">
        <f t="shared" si="153"/>
        <v>6.4000000000000001E-2</v>
      </c>
      <c r="X1094">
        <f t="shared" si="154"/>
        <v>0.84599999999999997</v>
      </c>
      <c r="Y1094">
        <v>160.17138840000001</v>
      </c>
      <c r="Z1094">
        <v>0</v>
      </c>
      <c r="AA1094">
        <v>15503</v>
      </c>
      <c r="AB1094">
        <v>7551</v>
      </c>
      <c r="AC1094">
        <v>4.9459042000000002E-2</v>
      </c>
      <c r="AD1094">
        <v>0.76960973700000002</v>
      </c>
      <c r="AF1094">
        <v>19.431666669999998</v>
      </c>
      <c r="AG1094">
        <v>3.9E-2</v>
      </c>
      <c r="AH1094">
        <v>1.4999999999999999E-2</v>
      </c>
      <c r="AI1094">
        <v>0.75700000000000001</v>
      </c>
      <c r="AJ1094">
        <v>2.41</v>
      </c>
      <c r="AK1094">
        <v>8.3294603709999997</v>
      </c>
      <c r="AL1094">
        <v>5.0999999999999997E-2</v>
      </c>
      <c r="AM1094">
        <v>6.4000000000000001E-2</v>
      </c>
      <c r="AN1094">
        <v>0.84599999999999997</v>
      </c>
    </row>
    <row r="1095" spans="1:40">
      <c r="A1095">
        <v>3163</v>
      </c>
      <c r="B1095" t="s">
        <v>689</v>
      </c>
      <c r="C1095" t="s">
        <v>687</v>
      </c>
      <c r="D1095" t="s">
        <v>688</v>
      </c>
      <c r="E1095">
        <v>0</v>
      </c>
      <c r="F1095">
        <v>0</v>
      </c>
      <c r="G1095">
        <v>84.744908210000006</v>
      </c>
      <c r="H1095">
        <v>0</v>
      </c>
      <c r="I1095">
        <v>0.132472904</v>
      </c>
      <c r="J1095">
        <v>0</v>
      </c>
      <c r="K1095">
        <v>0</v>
      </c>
      <c r="L1095"/>
      <c r="M1095">
        <v>0</v>
      </c>
      <c r="N1095">
        <v>0</v>
      </c>
      <c r="O1095" t="s">
        <v>620</v>
      </c>
      <c r="P1095">
        <f t="shared" si="146"/>
        <v>11.579052053544256</v>
      </c>
      <c r="Q1095">
        <f t="shared" si="147"/>
        <v>6.0302483069977368E-2</v>
      </c>
      <c r="R1095">
        <f t="shared" si="148"/>
        <v>3.1352808988764011E-2</v>
      </c>
      <c r="S1095">
        <f t="shared" si="149"/>
        <v>0.74105973451327412</v>
      </c>
      <c r="T1095">
        <f t="shared" si="150"/>
        <v>2.2353522564471904</v>
      </c>
      <c r="U1095">
        <f t="shared" si="151"/>
        <v>6.7520359499358396</v>
      </c>
      <c r="V1095">
        <f t="shared" si="152"/>
        <v>6.2414117647058849E-2</v>
      </c>
      <c r="W1095">
        <f t="shared" si="153"/>
        <v>0.17334782608695659</v>
      </c>
      <c r="X1095">
        <f t="shared" si="154"/>
        <v>0.71361061946902715</v>
      </c>
      <c r="Y1095">
        <v>68.283649159999996</v>
      </c>
      <c r="Z1095">
        <v>0</v>
      </c>
      <c r="AA1095">
        <v>454184</v>
      </c>
      <c r="AB1095">
        <v>170596</v>
      </c>
      <c r="AC1095">
        <v>6.5715274000000004E-2</v>
      </c>
      <c r="AD1095">
        <v>0.72549415100000003</v>
      </c>
    </row>
    <row r="1096" spans="1:40">
      <c r="A1096">
        <v>3164</v>
      </c>
      <c r="B1096" t="s">
        <v>689</v>
      </c>
      <c r="C1096" t="s">
        <v>687</v>
      </c>
      <c r="D1096" t="s">
        <v>688</v>
      </c>
      <c r="E1096">
        <v>0</v>
      </c>
      <c r="F1096">
        <v>324</v>
      </c>
      <c r="G1096">
        <v>158.3430176</v>
      </c>
      <c r="H1096">
        <v>37</v>
      </c>
      <c r="I1096">
        <v>0.24752307600000001</v>
      </c>
      <c r="J1096">
        <v>361</v>
      </c>
      <c r="K1096">
        <v>1458.4498779999999</v>
      </c>
      <c r="L1096">
        <v>0.91700000000000004</v>
      </c>
      <c r="M1096" s="515">
        <v>1</v>
      </c>
      <c r="N1096">
        <v>0</v>
      </c>
      <c r="O1096" t="s">
        <v>620</v>
      </c>
      <c r="P1096">
        <f t="shared" si="146"/>
        <v>6.2</v>
      </c>
      <c r="Q1096">
        <f t="shared" si="147"/>
        <v>8.3000000000000004E-2</v>
      </c>
      <c r="R1096">
        <f t="shared" si="148"/>
        <v>3.1352808988764011E-2</v>
      </c>
      <c r="S1096">
        <f t="shared" si="149"/>
        <v>0.91700000000000004</v>
      </c>
      <c r="T1096">
        <f t="shared" si="150"/>
        <v>2.2353522564471904</v>
      </c>
      <c r="U1096">
        <f t="shared" si="151"/>
        <v>5.163125</v>
      </c>
      <c r="V1096">
        <f t="shared" si="152"/>
        <v>6.2414117647058849E-2</v>
      </c>
      <c r="W1096">
        <f t="shared" si="153"/>
        <v>0.17334782608695659</v>
      </c>
      <c r="X1096">
        <f t="shared" si="154"/>
        <v>1</v>
      </c>
      <c r="Y1096">
        <v>68.196949840000002</v>
      </c>
      <c r="Z1096">
        <v>0</v>
      </c>
      <c r="AA1096">
        <v>454184</v>
      </c>
      <c r="AB1096">
        <v>170596</v>
      </c>
      <c r="AC1096">
        <v>6.5715274000000004E-2</v>
      </c>
      <c r="AD1096">
        <v>0.72549415100000003</v>
      </c>
      <c r="AF1096">
        <v>6.2</v>
      </c>
      <c r="AG1096">
        <v>8.3000000000000004E-2</v>
      </c>
      <c r="AH1096">
        <v>0</v>
      </c>
      <c r="AI1096">
        <v>0.91700000000000004</v>
      </c>
      <c r="AK1096">
        <v>5.163125</v>
      </c>
      <c r="AL1096">
        <v>0</v>
      </c>
      <c r="AM1096">
        <v>0</v>
      </c>
      <c r="AN1096">
        <v>1</v>
      </c>
    </row>
    <row r="1097" spans="1:40">
      <c r="A1097">
        <v>3165</v>
      </c>
      <c r="B1097" t="s">
        <v>689</v>
      </c>
      <c r="C1097" t="s">
        <v>687</v>
      </c>
      <c r="D1097" t="s">
        <v>688</v>
      </c>
      <c r="E1097">
        <v>0</v>
      </c>
      <c r="F1097">
        <v>0</v>
      </c>
      <c r="G1097">
        <v>126.83359660000001</v>
      </c>
      <c r="H1097">
        <v>727</v>
      </c>
      <c r="I1097">
        <v>0.19825949700000001</v>
      </c>
      <c r="J1097">
        <v>727</v>
      </c>
      <c r="K1097">
        <v>3666.9113510000002</v>
      </c>
      <c r="L1097">
        <v>0.82199999999999995</v>
      </c>
      <c r="M1097" s="515">
        <v>1</v>
      </c>
      <c r="N1097">
        <v>0</v>
      </c>
      <c r="O1097" t="s">
        <v>613</v>
      </c>
      <c r="P1097">
        <f t="shared" si="146"/>
        <v>13.001085270000001</v>
      </c>
      <c r="Q1097">
        <f t="shared" si="147"/>
        <v>9.6000000000000002E-2</v>
      </c>
      <c r="R1097">
        <f t="shared" si="148"/>
        <v>0.01</v>
      </c>
      <c r="S1097">
        <f t="shared" si="149"/>
        <v>0.82199999999999995</v>
      </c>
      <c r="T1097">
        <f t="shared" si="150"/>
        <v>2.355</v>
      </c>
      <c r="U1097">
        <f t="shared" si="151"/>
        <v>10.51430921</v>
      </c>
      <c r="V1097">
        <f t="shared" si="152"/>
        <v>2.4E-2</v>
      </c>
      <c r="W1097">
        <f t="shared" si="153"/>
        <v>0.16500000000000001</v>
      </c>
      <c r="X1097">
        <f t="shared" si="154"/>
        <v>0.78700000000000003</v>
      </c>
      <c r="Y1097">
        <v>68.099534919999996</v>
      </c>
      <c r="Z1097">
        <v>0</v>
      </c>
      <c r="AA1097">
        <v>454184</v>
      </c>
      <c r="AB1097">
        <v>170596</v>
      </c>
      <c r="AC1097">
        <v>6.5715274000000004E-2</v>
      </c>
      <c r="AD1097">
        <v>0.72549415100000003</v>
      </c>
      <c r="AF1097">
        <v>13.001085270000001</v>
      </c>
      <c r="AG1097">
        <v>9.6000000000000002E-2</v>
      </c>
      <c r="AH1097">
        <v>0.01</v>
      </c>
      <c r="AI1097">
        <v>0.82199999999999995</v>
      </c>
      <c r="AJ1097">
        <v>2.355</v>
      </c>
      <c r="AK1097">
        <v>10.51430921</v>
      </c>
      <c r="AL1097">
        <v>2.4E-2</v>
      </c>
      <c r="AM1097">
        <v>0.16500000000000001</v>
      </c>
      <c r="AN1097">
        <v>0.78700000000000003</v>
      </c>
    </row>
    <row r="1098" spans="1:40">
      <c r="A1098">
        <v>3166</v>
      </c>
      <c r="B1098" t="s">
        <v>689</v>
      </c>
      <c r="C1098" t="s">
        <v>687</v>
      </c>
      <c r="D1098" t="s">
        <v>688</v>
      </c>
      <c r="E1098">
        <v>0</v>
      </c>
      <c r="F1098">
        <v>0</v>
      </c>
      <c r="G1098">
        <v>46.918946290000001</v>
      </c>
      <c r="H1098">
        <v>0</v>
      </c>
      <c r="I1098">
        <v>7.3341855999999997E-2</v>
      </c>
      <c r="J1098">
        <v>0</v>
      </c>
      <c r="K1098">
        <v>0</v>
      </c>
      <c r="L1098"/>
      <c r="M1098">
        <v>0</v>
      </c>
      <c r="N1098">
        <v>0</v>
      </c>
      <c r="O1098" t="s">
        <v>620</v>
      </c>
      <c r="P1098">
        <f t="shared" si="146"/>
        <v>11.579052053544256</v>
      </c>
      <c r="Q1098">
        <f t="shared" si="147"/>
        <v>6.0302483069977368E-2</v>
      </c>
      <c r="R1098">
        <f t="shared" si="148"/>
        <v>3.1352808988764011E-2</v>
      </c>
      <c r="S1098">
        <f t="shared" si="149"/>
        <v>0.74105973451327412</v>
      </c>
      <c r="T1098">
        <f t="shared" si="150"/>
        <v>2.2353522564471904</v>
      </c>
      <c r="U1098">
        <f t="shared" si="151"/>
        <v>6.7520359499358396</v>
      </c>
      <c r="V1098">
        <f t="shared" si="152"/>
        <v>6.2414117647058849E-2</v>
      </c>
      <c r="W1098">
        <f t="shared" si="153"/>
        <v>0.17334782608695659</v>
      </c>
      <c r="X1098">
        <f t="shared" si="154"/>
        <v>0.71361061946902715</v>
      </c>
      <c r="Y1098">
        <v>67.7460691</v>
      </c>
      <c r="Z1098">
        <v>0</v>
      </c>
      <c r="AA1098">
        <v>454184</v>
      </c>
      <c r="AB1098">
        <v>170596</v>
      </c>
      <c r="AC1098">
        <v>6.5715274000000004E-2</v>
      </c>
      <c r="AD1098">
        <v>0.72549415100000003</v>
      </c>
    </row>
    <row r="1099" spans="1:40">
      <c r="A1099">
        <v>3167</v>
      </c>
      <c r="B1099" t="s">
        <v>689</v>
      </c>
      <c r="C1099" t="s">
        <v>687</v>
      </c>
      <c r="D1099" t="s">
        <v>688</v>
      </c>
      <c r="E1099">
        <v>0</v>
      </c>
      <c r="F1099">
        <v>0</v>
      </c>
      <c r="G1099">
        <v>344.13232920000002</v>
      </c>
      <c r="H1099">
        <v>1344</v>
      </c>
      <c r="I1099">
        <v>0.53791398999999995</v>
      </c>
      <c r="J1099">
        <v>1344</v>
      </c>
      <c r="K1099">
        <v>2498.5407049999999</v>
      </c>
      <c r="L1099">
        <v>0.96899999999999997</v>
      </c>
      <c r="M1099" s="515">
        <v>1</v>
      </c>
      <c r="N1099">
        <v>0</v>
      </c>
      <c r="O1099" t="s">
        <v>625</v>
      </c>
      <c r="P1099">
        <f t="shared" si="146"/>
        <v>16.53630952</v>
      </c>
      <c r="Q1099">
        <f t="shared" si="147"/>
        <v>1.2999999999999999E-2</v>
      </c>
      <c r="R1099">
        <f t="shared" si="148"/>
        <v>8.0000000000000002E-3</v>
      </c>
      <c r="S1099">
        <f t="shared" si="149"/>
        <v>0.96899999999999997</v>
      </c>
      <c r="T1099">
        <f t="shared" si="150"/>
        <v>4.6583333329999999</v>
      </c>
      <c r="U1099">
        <f t="shared" si="151"/>
        <v>11.428389360000001</v>
      </c>
      <c r="V1099">
        <f t="shared" si="152"/>
        <v>1.4999999999999999E-2</v>
      </c>
      <c r="W1099">
        <f t="shared" si="153"/>
        <v>3.4000000000000002E-2</v>
      </c>
      <c r="X1099">
        <f t="shared" si="154"/>
        <v>0.94699999999999995</v>
      </c>
      <c r="Y1099">
        <v>71.793737230000005</v>
      </c>
      <c r="Z1099">
        <v>0</v>
      </c>
      <c r="AA1099">
        <v>454184</v>
      </c>
      <c r="AB1099">
        <v>170596</v>
      </c>
      <c r="AC1099">
        <v>6.5715274000000004E-2</v>
      </c>
      <c r="AD1099">
        <v>0.72549415100000003</v>
      </c>
      <c r="AF1099">
        <v>16.53630952</v>
      </c>
      <c r="AG1099">
        <v>1.2999999999999999E-2</v>
      </c>
      <c r="AH1099">
        <v>8.0000000000000002E-3</v>
      </c>
      <c r="AI1099">
        <v>0.96899999999999997</v>
      </c>
      <c r="AJ1099">
        <v>4.6583333329999999</v>
      </c>
      <c r="AK1099">
        <v>11.428389360000001</v>
      </c>
      <c r="AL1099">
        <v>1.4999999999999999E-2</v>
      </c>
      <c r="AM1099">
        <v>3.4000000000000002E-2</v>
      </c>
      <c r="AN1099">
        <v>0.94699999999999995</v>
      </c>
    </row>
    <row r="1100" spans="1:40">
      <c r="A1100">
        <v>3168</v>
      </c>
      <c r="B1100" t="s">
        <v>689</v>
      </c>
      <c r="C1100" t="s">
        <v>687</v>
      </c>
      <c r="D1100" t="s">
        <v>688</v>
      </c>
      <c r="E1100">
        <v>524</v>
      </c>
      <c r="F1100">
        <v>1675</v>
      </c>
      <c r="G1100">
        <v>84.61781877</v>
      </c>
      <c r="H1100">
        <v>407</v>
      </c>
      <c r="I1100">
        <v>0.13227001999999999</v>
      </c>
      <c r="J1100">
        <v>2082</v>
      </c>
      <c r="K1100">
        <v>15740.528350000001</v>
      </c>
      <c r="L1100">
        <v>0.73899999999999999</v>
      </c>
      <c r="M1100">
        <v>0.43716433900000001</v>
      </c>
      <c r="N1100">
        <v>0</v>
      </c>
      <c r="O1100" t="s">
        <v>613</v>
      </c>
      <c r="P1100">
        <f t="shared" ref="P1100:P1163" si="155">IF(OR(IFERROR(AF1100=0,TRUE),ISERROR(AF1100)),AVERAGEIFS(AF:AF,$B:$B,$B1100,AF:AF,"&gt;0"),AF1100)</f>
        <v>11.143924050000001</v>
      </c>
      <c r="Q1100">
        <f t="shared" ref="Q1100:Q1163" si="156">IF(OR(IFERROR(AG1100=0,TRUE),ISERROR(AG1100)),AVERAGEIFS(AG:AG,$B:$B,$B1100,AG:AG,"&gt;0"),AG1100)</f>
        <v>0.1</v>
      </c>
      <c r="R1100">
        <f t="shared" ref="R1100:R1163" si="157">IF(OR(IFERROR(AH1100=0,TRUE),ISERROR(AH1100)),AVERAGEIFS(AH:AH,$B:$B,$B1100,AH:AH,"&gt;0"),AH1100)</f>
        <v>2.5999999999999999E-2</v>
      </c>
      <c r="S1100">
        <f t="shared" ref="S1100:S1163" si="158">IF(OR(IFERROR(AI1100=0,TRUE),ISERROR(AI1100)),AVERAGEIFS(AI:AI,$B:$B,$B1100,AI:AI,"&gt;0"),AI1100)</f>
        <v>0.73899999999999999</v>
      </c>
      <c r="T1100">
        <f t="shared" ref="T1100:T1163" si="159">IF(OR(IFERROR(AJ1100=0,TRUE),ISERROR(AJ1100)),AVERAGEIFS(AJ:AJ,$B:$B,$B1100,AJ:AJ,"&gt;0"),AJ1100)</f>
        <v>2.2170967739999998</v>
      </c>
      <c r="U1100">
        <f t="shared" ref="U1100:U1163" si="160">IF(OR(IFERROR(AK1100=0,TRUE),ISERROR(AK1100)),AVERAGEIFS(AK:AK,$B:$B,$B1100,AK:AK,"&gt;0"),AK1100)</f>
        <v>6.4458150290000003</v>
      </c>
      <c r="V1100">
        <f t="shared" ref="V1100:V1163" si="161">IF(OR(IFERROR(AL1100=0,TRUE),ISERROR(AL1100)),AVERAGEIFS(AL:AL,$B:$B,$B1100,AL:AL,"&gt;0"),AL1100)</f>
        <v>2.4E-2</v>
      </c>
      <c r="W1100">
        <f t="shared" ref="W1100:W1163" si="162">IF(OR(IFERROR(AM1100=0,TRUE),ISERROR(AM1100)),AVERAGEIFS(AM:AM,$B:$B,$B1100,AM:AM,"&gt;0"),AM1100)</f>
        <v>0.312</v>
      </c>
      <c r="X1100">
        <f t="shared" ref="X1100:X1163" si="163">IF(OR(IFERROR(AN1100=0,TRUE),ISERROR(AN1100)),AVERAGEIFS(AN:AN,$B:$B,$B1100,AN:AN,"&gt;0"),AN1100)</f>
        <v>0.63200000000000001</v>
      </c>
      <c r="Y1100">
        <v>146.94270969999999</v>
      </c>
      <c r="Z1100">
        <v>0</v>
      </c>
      <c r="AA1100">
        <v>454184</v>
      </c>
      <c r="AB1100">
        <v>170596</v>
      </c>
      <c r="AC1100">
        <v>6.5715274000000004E-2</v>
      </c>
      <c r="AD1100">
        <v>0.72549415100000003</v>
      </c>
      <c r="AF1100">
        <v>11.143924050000001</v>
      </c>
      <c r="AG1100">
        <v>0.1</v>
      </c>
      <c r="AH1100">
        <v>2.5999999999999999E-2</v>
      </c>
      <c r="AI1100">
        <v>0.73899999999999999</v>
      </c>
      <c r="AJ1100">
        <v>2.2170967739999998</v>
      </c>
      <c r="AK1100">
        <v>6.4458150290000003</v>
      </c>
      <c r="AL1100">
        <v>2.4E-2</v>
      </c>
      <c r="AM1100">
        <v>0.312</v>
      </c>
      <c r="AN1100">
        <v>0.63200000000000001</v>
      </c>
    </row>
    <row r="1101" spans="1:40">
      <c r="A1101">
        <v>3169</v>
      </c>
      <c r="B1101" t="s">
        <v>689</v>
      </c>
      <c r="C1101" t="s">
        <v>687</v>
      </c>
      <c r="D1101" t="s">
        <v>688</v>
      </c>
      <c r="E1101">
        <v>263</v>
      </c>
      <c r="F1101">
        <v>674</v>
      </c>
      <c r="G1101">
        <v>21.8034137</v>
      </c>
      <c r="H1101">
        <v>180</v>
      </c>
      <c r="I1101">
        <v>3.4084468999999999E-2</v>
      </c>
      <c r="J1101">
        <v>854</v>
      </c>
      <c r="K1101">
        <v>25055.399870000001</v>
      </c>
      <c r="L1101">
        <v>0.71399999999999997</v>
      </c>
      <c r="M1101">
        <v>0.40632054200000001</v>
      </c>
      <c r="N1101">
        <v>0</v>
      </c>
      <c r="O1101" t="s">
        <v>613</v>
      </c>
      <c r="P1101">
        <f t="shared" si="155"/>
        <v>9.7835064939999992</v>
      </c>
      <c r="Q1101">
        <f t="shared" si="156"/>
        <v>0.14000000000000001</v>
      </c>
      <c r="R1101">
        <f t="shared" si="157"/>
        <v>0.02</v>
      </c>
      <c r="S1101">
        <f t="shared" si="158"/>
        <v>0.71399999999999997</v>
      </c>
      <c r="T1101">
        <f t="shared" si="159"/>
        <v>2.5474999999999999</v>
      </c>
      <c r="U1101">
        <f t="shared" si="160"/>
        <v>6.239851485</v>
      </c>
      <c r="V1101">
        <f t="shared" si="161"/>
        <v>8.5000000000000006E-2</v>
      </c>
      <c r="W1101">
        <f t="shared" si="162"/>
        <v>0.308</v>
      </c>
      <c r="X1101">
        <f t="shared" si="163"/>
        <v>0.59199999999999997</v>
      </c>
      <c r="Y1101">
        <v>150.4307981</v>
      </c>
      <c r="Z1101">
        <v>0</v>
      </c>
      <c r="AA1101">
        <v>454184</v>
      </c>
      <c r="AB1101">
        <v>170596</v>
      </c>
      <c r="AC1101">
        <v>6.5715274000000004E-2</v>
      </c>
      <c r="AD1101">
        <v>0.72549415100000003</v>
      </c>
      <c r="AF1101">
        <v>9.7835064939999992</v>
      </c>
      <c r="AG1101">
        <v>0.14000000000000001</v>
      </c>
      <c r="AH1101">
        <v>0.02</v>
      </c>
      <c r="AI1101">
        <v>0.71399999999999997</v>
      </c>
      <c r="AJ1101">
        <v>2.5474999999999999</v>
      </c>
      <c r="AK1101">
        <v>6.239851485</v>
      </c>
      <c r="AL1101">
        <v>8.5000000000000006E-2</v>
      </c>
      <c r="AM1101">
        <v>0.308</v>
      </c>
      <c r="AN1101">
        <v>0.59199999999999997</v>
      </c>
    </row>
    <row r="1102" spans="1:40">
      <c r="A1102">
        <v>3170</v>
      </c>
      <c r="B1102" t="s">
        <v>689</v>
      </c>
      <c r="C1102" t="s">
        <v>687</v>
      </c>
      <c r="D1102" t="s">
        <v>688</v>
      </c>
      <c r="E1102">
        <v>131</v>
      </c>
      <c r="F1102">
        <v>466</v>
      </c>
      <c r="G1102">
        <v>39.286948299999999</v>
      </c>
      <c r="H1102">
        <v>946</v>
      </c>
      <c r="I1102">
        <v>6.1411068999999999E-2</v>
      </c>
      <c r="J1102">
        <v>1412</v>
      </c>
      <c r="K1102">
        <v>22992.59764</v>
      </c>
      <c r="L1102">
        <v>0.79100000000000004</v>
      </c>
      <c r="M1102">
        <v>0.87836583099999999</v>
      </c>
      <c r="N1102">
        <v>1</v>
      </c>
      <c r="O1102" t="s">
        <v>613</v>
      </c>
      <c r="P1102">
        <f t="shared" si="155"/>
        <v>13.416643840000001</v>
      </c>
      <c r="Q1102">
        <f t="shared" si="156"/>
        <v>0.11</v>
      </c>
      <c r="R1102">
        <f t="shared" si="157"/>
        <v>1.9E-2</v>
      </c>
      <c r="S1102">
        <f t="shared" si="158"/>
        <v>0.79100000000000004</v>
      </c>
      <c r="T1102">
        <f t="shared" si="159"/>
        <v>2.480714286</v>
      </c>
      <c r="U1102">
        <f t="shared" si="160"/>
        <v>8.8139964160000002</v>
      </c>
      <c r="V1102">
        <f t="shared" si="161"/>
        <v>3.5999999999999997E-2</v>
      </c>
      <c r="W1102">
        <f t="shared" si="162"/>
        <v>0.17</v>
      </c>
      <c r="X1102">
        <f t="shared" si="163"/>
        <v>0.753</v>
      </c>
      <c r="Y1102">
        <v>135.3912263</v>
      </c>
      <c r="Z1102">
        <v>0</v>
      </c>
      <c r="AA1102">
        <v>454184</v>
      </c>
      <c r="AB1102">
        <v>170596</v>
      </c>
      <c r="AC1102">
        <v>6.5715274000000004E-2</v>
      </c>
      <c r="AD1102">
        <v>0.72549415100000003</v>
      </c>
      <c r="AF1102">
        <v>13.416643840000001</v>
      </c>
      <c r="AG1102">
        <v>0.11</v>
      </c>
      <c r="AH1102">
        <v>1.9E-2</v>
      </c>
      <c r="AI1102">
        <v>0.79100000000000004</v>
      </c>
      <c r="AJ1102">
        <v>2.480714286</v>
      </c>
      <c r="AK1102">
        <v>8.8139964160000002</v>
      </c>
      <c r="AL1102">
        <v>3.5999999999999997E-2</v>
      </c>
      <c r="AM1102">
        <v>0.17</v>
      </c>
      <c r="AN1102">
        <v>0.753</v>
      </c>
    </row>
    <row r="1103" spans="1:40">
      <c r="A1103">
        <v>3171</v>
      </c>
      <c r="B1103" t="s">
        <v>689</v>
      </c>
      <c r="C1103" t="s">
        <v>687</v>
      </c>
      <c r="D1103" t="s">
        <v>688</v>
      </c>
      <c r="E1103">
        <v>607</v>
      </c>
      <c r="F1103">
        <v>1454</v>
      </c>
      <c r="G1103">
        <v>37.536774639999997</v>
      </c>
      <c r="H1103">
        <v>258</v>
      </c>
      <c r="I1103">
        <v>5.8669118999999999E-2</v>
      </c>
      <c r="J1103">
        <v>1712</v>
      </c>
      <c r="K1103">
        <v>29180.598399999999</v>
      </c>
      <c r="L1103">
        <v>0.66200000000000003</v>
      </c>
      <c r="M1103">
        <v>0.29826589599999997</v>
      </c>
      <c r="N1103">
        <v>1</v>
      </c>
      <c r="O1103" t="s">
        <v>606</v>
      </c>
      <c r="P1103">
        <f t="shared" si="155"/>
        <v>12.514942530000001</v>
      </c>
      <c r="Q1103">
        <f t="shared" si="156"/>
        <v>5.3999999999999999E-2</v>
      </c>
      <c r="R1103">
        <f t="shared" si="157"/>
        <v>4.3999999999999997E-2</v>
      </c>
      <c r="S1103">
        <f t="shared" si="158"/>
        <v>0.66200000000000003</v>
      </c>
      <c r="T1103">
        <f t="shared" si="159"/>
        <v>1.4963157890000001</v>
      </c>
      <c r="U1103">
        <f t="shared" si="160"/>
        <v>5.5873880600000003</v>
      </c>
      <c r="V1103">
        <f t="shared" si="161"/>
        <v>0.123</v>
      </c>
      <c r="W1103">
        <f t="shared" si="162"/>
        <v>0.182</v>
      </c>
      <c r="X1103">
        <f t="shared" si="163"/>
        <v>0.56499999999999995</v>
      </c>
      <c r="Y1103">
        <v>126.01763320000001</v>
      </c>
      <c r="Z1103">
        <v>0</v>
      </c>
      <c r="AA1103">
        <v>454184</v>
      </c>
      <c r="AB1103">
        <v>170596</v>
      </c>
      <c r="AC1103">
        <v>6.5715274000000004E-2</v>
      </c>
      <c r="AD1103">
        <v>0.72549415100000003</v>
      </c>
      <c r="AF1103">
        <v>12.514942530000001</v>
      </c>
      <c r="AG1103">
        <v>5.3999999999999999E-2</v>
      </c>
      <c r="AH1103">
        <v>4.3999999999999997E-2</v>
      </c>
      <c r="AI1103">
        <v>0.66200000000000003</v>
      </c>
      <c r="AJ1103">
        <v>1.4963157890000001</v>
      </c>
      <c r="AK1103">
        <v>5.5873880600000003</v>
      </c>
      <c r="AL1103">
        <v>0.123</v>
      </c>
      <c r="AM1103">
        <v>0.182</v>
      </c>
      <c r="AN1103">
        <v>0.56499999999999995</v>
      </c>
    </row>
    <row r="1104" spans="1:40">
      <c r="A1104">
        <v>3172</v>
      </c>
      <c r="B1104" t="s">
        <v>689</v>
      </c>
      <c r="C1104" t="s">
        <v>687</v>
      </c>
      <c r="D1104" t="s">
        <v>688</v>
      </c>
      <c r="E1104">
        <v>199</v>
      </c>
      <c r="F1104">
        <v>414</v>
      </c>
      <c r="G1104">
        <v>16.578889589999999</v>
      </c>
      <c r="H1104">
        <v>169</v>
      </c>
      <c r="I1104">
        <v>2.5919007000000001E-2</v>
      </c>
      <c r="J1104">
        <v>583</v>
      </c>
      <c r="K1104">
        <v>22493.145670000002</v>
      </c>
      <c r="L1104">
        <v>0.56799999999999995</v>
      </c>
      <c r="M1104">
        <v>0.45923913</v>
      </c>
      <c r="N1104">
        <v>0</v>
      </c>
      <c r="O1104" t="s">
        <v>606</v>
      </c>
      <c r="P1104">
        <f t="shared" si="155"/>
        <v>11.469069770000001</v>
      </c>
      <c r="Q1104">
        <f t="shared" si="156"/>
        <v>0.11600000000000001</v>
      </c>
      <c r="R1104">
        <f t="shared" si="157"/>
        <v>3.5000000000000003E-2</v>
      </c>
      <c r="S1104">
        <f t="shared" si="158"/>
        <v>0.56799999999999995</v>
      </c>
      <c r="T1104">
        <f t="shared" si="159"/>
        <v>2.31</v>
      </c>
      <c r="U1104">
        <f t="shared" si="160"/>
        <v>6.9518981479999997</v>
      </c>
      <c r="V1104">
        <f t="shared" si="161"/>
        <v>6.2E-2</v>
      </c>
      <c r="W1104">
        <f t="shared" si="162"/>
        <v>0.27500000000000002</v>
      </c>
      <c r="X1104">
        <f t="shared" si="163"/>
        <v>0.53800000000000003</v>
      </c>
      <c r="Y1104">
        <v>56.886453680000002</v>
      </c>
      <c r="Z1104">
        <v>0</v>
      </c>
      <c r="AA1104">
        <v>454184</v>
      </c>
      <c r="AB1104">
        <v>170596</v>
      </c>
      <c r="AC1104">
        <v>6.5715274000000004E-2</v>
      </c>
      <c r="AD1104">
        <v>0.72549415100000003</v>
      </c>
      <c r="AF1104">
        <v>11.469069770000001</v>
      </c>
      <c r="AG1104">
        <v>0.11600000000000001</v>
      </c>
      <c r="AH1104">
        <v>3.5000000000000003E-2</v>
      </c>
      <c r="AI1104">
        <v>0.56799999999999995</v>
      </c>
      <c r="AJ1104">
        <v>2.31</v>
      </c>
      <c r="AK1104">
        <v>6.9518981479999997</v>
      </c>
      <c r="AL1104">
        <v>6.2E-2</v>
      </c>
      <c r="AM1104">
        <v>0.27500000000000002</v>
      </c>
      <c r="AN1104">
        <v>0.53800000000000003</v>
      </c>
    </row>
    <row r="1105" spans="1:40">
      <c r="A1105">
        <v>3173</v>
      </c>
      <c r="B1105" t="s">
        <v>700</v>
      </c>
      <c r="C1105" t="s">
        <v>687</v>
      </c>
      <c r="D1105" t="s">
        <v>688</v>
      </c>
      <c r="E1105">
        <v>20</v>
      </c>
      <c r="F1105">
        <v>60</v>
      </c>
      <c r="G1105">
        <v>43.539672469999999</v>
      </c>
      <c r="H1105">
        <v>815</v>
      </c>
      <c r="I1105">
        <v>6.8060361999999999E-2</v>
      </c>
      <c r="J1105">
        <v>875</v>
      </c>
      <c r="K1105">
        <v>12856.23488</v>
      </c>
      <c r="L1105">
        <v>0.78900000000000003</v>
      </c>
      <c r="M1105">
        <v>0.97604790399999997</v>
      </c>
      <c r="N1105">
        <v>0</v>
      </c>
      <c r="O1105" t="s">
        <v>613</v>
      </c>
      <c r="P1105">
        <f t="shared" si="155"/>
        <v>12.230104170000001</v>
      </c>
      <c r="Q1105">
        <f t="shared" si="156"/>
        <v>3.6999999999999998E-2</v>
      </c>
      <c r="R1105">
        <f t="shared" si="157"/>
        <v>1.9E-2</v>
      </c>
      <c r="S1105">
        <f t="shared" si="158"/>
        <v>0.78900000000000003</v>
      </c>
      <c r="T1105">
        <f t="shared" si="159"/>
        <v>1.3433333329999999</v>
      </c>
      <c r="U1105">
        <f t="shared" si="160"/>
        <v>6.4625274729999997</v>
      </c>
      <c r="V1105">
        <f t="shared" si="161"/>
        <v>4.8000000000000001E-2</v>
      </c>
      <c r="W1105">
        <f t="shared" si="162"/>
        <v>5.6000000000000001E-2</v>
      </c>
      <c r="X1105">
        <f t="shared" si="163"/>
        <v>0.76200000000000001</v>
      </c>
      <c r="Y1105">
        <v>141.19141920000001</v>
      </c>
      <c r="Z1105">
        <v>0</v>
      </c>
      <c r="AA1105">
        <v>15503</v>
      </c>
      <c r="AB1105">
        <v>7551</v>
      </c>
      <c r="AC1105">
        <v>4.9459042000000002E-2</v>
      </c>
      <c r="AD1105">
        <v>0.76960973700000002</v>
      </c>
      <c r="AF1105">
        <v>12.230104170000001</v>
      </c>
      <c r="AG1105">
        <v>3.6999999999999998E-2</v>
      </c>
      <c r="AH1105">
        <v>1.9E-2</v>
      </c>
      <c r="AI1105">
        <v>0.78900000000000003</v>
      </c>
      <c r="AJ1105">
        <v>1.3433333329999999</v>
      </c>
      <c r="AK1105">
        <v>6.4625274729999997</v>
      </c>
      <c r="AL1105">
        <v>4.8000000000000001E-2</v>
      </c>
      <c r="AM1105">
        <v>5.6000000000000001E-2</v>
      </c>
      <c r="AN1105">
        <v>0.76200000000000001</v>
      </c>
    </row>
    <row r="1106" spans="1:40">
      <c r="A1106">
        <v>3174</v>
      </c>
      <c r="B1106" t="s">
        <v>700</v>
      </c>
      <c r="C1106" t="s">
        <v>687</v>
      </c>
      <c r="D1106" t="s">
        <v>688</v>
      </c>
      <c r="E1106">
        <v>137</v>
      </c>
      <c r="F1106">
        <v>219</v>
      </c>
      <c r="G1106">
        <v>44.084004399999998</v>
      </c>
      <c r="H1106">
        <v>932</v>
      </c>
      <c r="I1106">
        <v>6.8904905000000002E-2</v>
      </c>
      <c r="J1106">
        <v>1151</v>
      </c>
      <c r="K1106">
        <v>16704.180929999999</v>
      </c>
      <c r="L1106">
        <v>0.78900000000000003</v>
      </c>
      <c r="M1106">
        <v>0.87184284400000001</v>
      </c>
      <c r="N1106">
        <v>0</v>
      </c>
      <c r="O1106" t="s">
        <v>613</v>
      </c>
      <c r="P1106">
        <f t="shared" si="155"/>
        <v>11.945873020000001</v>
      </c>
      <c r="Q1106">
        <f t="shared" si="156"/>
        <v>4.4999999999999998E-2</v>
      </c>
      <c r="R1106">
        <f t="shared" si="157"/>
        <v>1.7999999999999999E-2</v>
      </c>
      <c r="S1106">
        <f t="shared" si="158"/>
        <v>0.78900000000000003</v>
      </c>
      <c r="T1106">
        <f t="shared" si="159"/>
        <v>2.3386363640000001</v>
      </c>
      <c r="U1106">
        <f t="shared" si="160"/>
        <v>6.4129052629999999</v>
      </c>
      <c r="V1106">
        <f t="shared" si="161"/>
        <v>6.8000000000000005E-2</v>
      </c>
      <c r="W1106">
        <f t="shared" si="162"/>
        <v>0.106</v>
      </c>
      <c r="X1106">
        <f t="shared" si="163"/>
        <v>0.78300000000000003</v>
      </c>
      <c r="Y1106">
        <v>141.12520620000001</v>
      </c>
      <c r="Z1106">
        <v>0</v>
      </c>
      <c r="AA1106">
        <v>15503</v>
      </c>
      <c r="AB1106">
        <v>7551</v>
      </c>
      <c r="AC1106">
        <v>4.9459042000000002E-2</v>
      </c>
      <c r="AD1106">
        <v>0.76960973700000002</v>
      </c>
      <c r="AF1106">
        <v>11.945873020000001</v>
      </c>
      <c r="AG1106">
        <v>4.4999999999999998E-2</v>
      </c>
      <c r="AH1106">
        <v>1.7999999999999999E-2</v>
      </c>
      <c r="AI1106">
        <v>0.78900000000000003</v>
      </c>
      <c r="AJ1106">
        <v>2.3386363640000001</v>
      </c>
      <c r="AK1106">
        <v>6.4129052629999999</v>
      </c>
      <c r="AL1106">
        <v>6.8000000000000005E-2</v>
      </c>
      <c r="AM1106">
        <v>0.106</v>
      </c>
      <c r="AN1106">
        <v>0.78300000000000003</v>
      </c>
    </row>
    <row r="1107" spans="1:40">
      <c r="A1107">
        <v>3175</v>
      </c>
      <c r="B1107" t="s">
        <v>689</v>
      </c>
      <c r="C1107" t="s">
        <v>687</v>
      </c>
      <c r="D1107" t="s">
        <v>688</v>
      </c>
      <c r="E1107">
        <v>71</v>
      </c>
      <c r="F1107">
        <v>221</v>
      </c>
      <c r="G1107">
        <v>19.00647494</v>
      </c>
      <c r="H1107">
        <v>66</v>
      </c>
      <c r="I1107">
        <v>2.9711339E-2</v>
      </c>
      <c r="J1107">
        <v>287</v>
      </c>
      <c r="K1107">
        <v>9659.6117730000005</v>
      </c>
      <c r="L1107">
        <v>0.70099999999999996</v>
      </c>
      <c r="M1107">
        <v>0.48175182500000002</v>
      </c>
      <c r="N1107">
        <v>1</v>
      </c>
      <c r="O1107" t="s">
        <v>606</v>
      </c>
      <c r="P1107">
        <f t="shared" si="155"/>
        <v>10.32894737</v>
      </c>
      <c r="Q1107">
        <f t="shared" si="156"/>
        <v>0.11799999999999999</v>
      </c>
      <c r="R1107">
        <f t="shared" si="157"/>
        <v>0.01</v>
      </c>
      <c r="S1107">
        <f t="shared" si="158"/>
        <v>0.70099999999999996</v>
      </c>
      <c r="T1107">
        <f t="shared" si="159"/>
        <v>1.56</v>
      </c>
      <c r="U1107">
        <f t="shared" si="160"/>
        <v>4.7848251749999999</v>
      </c>
      <c r="V1107">
        <f t="shared" si="161"/>
        <v>7.6999999999999999E-2</v>
      </c>
      <c r="W1107">
        <f t="shared" si="162"/>
        <v>0.192</v>
      </c>
      <c r="X1107">
        <f t="shared" si="163"/>
        <v>0.73099999999999998</v>
      </c>
      <c r="Y1107">
        <v>92.787358620000006</v>
      </c>
      <c r="Z1107">
        <v>0</v>
      </c>
      <c r="AA1107">
        <v>454184</v>
      </c>
      <c r="AB1107">
        <v>170596</v>
      </c>
      <c r="AC1107">
        <v>6.5715274000000004E-2</v>
      </c>
      <c r="AD1107">
        <v>0.72549415100000003</v>
      </c>
      <c r="AF1107">
        <v>10.32894737</v>
      </c>
      <c r="AG1107">
        <v>0.11799999999999999</v>
      </c>
      <c r="AH1107">
        <v>0.01</v>
      </c>
      <c r="AI1107">
        <v>0.70099999999999996</v>
      </c>
      <c r="AJ1107">
        <v>1.56</v>
      </c>
      <c r="AK1107">
        <v>4.7848251749999999</v>
      </c>
      <c r="AL1107">
        <v>7.6999999999999999E-2</v>
      </c>
      <c r="AM1107">
        <v>0.192</v>
      </c>
      <c r="AN1107">
        <v>0.73099999999999998</v>
      </c>
    </row>
    <row r="1108" spans="1:40">
      <c r="A1108">
        <v>3176</v>
      </c>
      <c r="B1108" t="s">
        <v>689</v>
      </c>
      <c r="C1108" t="s">
        <v>687</v>
      </c>
      <c r="D1108" t="s">
        <v>688</v>
      </c>
      <c r="E1108">
        <v>0</v>
      </c>
      <c r="F1108">
        <v>0</v>
      </c>
      <c r="G1108">
        <v>11.17426626</v>
      </c>
      <c r="H1108">
        <v>41</v>
      </c>
      <c r="I1108">
        <v>1.7465213E-2</v>
      </c>
      <c r="J1108">
        <v>41</v>
      </c>
      <c r="K1108">
        <v>2347.5236169999998</v>
      </c>
      <c r="L1108">
        <v>0.96699999999999997</v>
      </c>
      <c r="M1108" s="515">
        <v>1</v>
      </c>
      <c r="N1108">
        <v>0</v>
      </c>
      <c r="O1108" t="s">
        <v>620</v>
      </c>
      <c r="P1108">
        <f t="shared" si="155"/>
        <v>14.16</v>
      </c>
      <c r="Q1108">
        <f t="shared" si="156"/>
        <v>6.0302483069977368E-2</v>
      </c>
      <c r="R1108">
        <f t="shared" si="157"/>
        <v>3.1352808988764011E-2</v>
      </c>
      <c r="S1108">
        <f t="shared" si="158"/>
        <v>0.96699999999999997</v>
      </c>
      <c r="T1108">
        <f t="shared" si="159"/>
        <v>2.2353522564471904</v>
      </c>
      <c r="U1108">
        <f t="shared" si="160"/>
        <v>10.3368</v>
      </c>
      <c r="V1108">
        <f t="shared" si="161"/>
        <v>6.2414117647058849E-2</v>
      </c>
      <c r="W1108">
        <f t="shared" si="162"/>
        <v>0.17334782608695659</v>
      </c>
      <c r="X1108">
        <f t="shared" si="163"/>
        <v>1</v>
      </c>
      <c r="Y1108">
        <v>119.0452409</v>
      </c>
      <c r="Z1108">
        <v>0</v>
      </c>
      <c r="AA1108">
        <v>454184</v>
      </c>
      <c r="AB1108">
        <v>170596</v>
      </c>
      <c r="AC1108">
        <v>6.5715274000000004E-2</v>
      </c>
      <c r="AD1108">
        <v>0.72549415100000003</v>
      </c>
      <c r="AF1108">
        <v>14.16</v>
      </c>
      <c r="AG1108">
        <v>0</v>
      </c>
      <c r="AH1108">
        <v>0</v>
      </c>
      <c r="AI1108">
        <v>0.96699999999999997</v>
      </c>
      <c r="AK1108">
        <v>10.3368</v>
      </c>
      <c r="AL1108">
        <v>0</v>
      </c>
      <c r="AM1108">
        <v>0</v>
      </c>
      <c r="AN1108">
        <v>1</v>
      </c>
    </row>
    <row r="1109" spans="1:40">
      <c r="A1109">
        <v>3177</v>
      </c>
      <c r="B1109" t="s">
        <v>689</v>
      </c>
      <c r="C1109" t="s">
        <v>687</v>
      </c>
      <c r="D1109" t="s">
        <v>688</v>
      </c>
      <c r="E1109">
        <v>0</v>
      </c>
      <c r="F1109">
        <v>726</v>
      </c>
      <c r="G1109">
        <v>48.196122920000001</v>
      </c>
      <c r="H1109">
        <v>683</v>
      </c>
      <c r="I1109">
        <v>7.5341057000000003E-2</v>
      </c>
      <c r="J1109">
        <v>1409</v>
      </c>
      <c r="K1109">
        <v>18701.62241</v>
      </c>
      <c r="L1109">
        <v>0.85899999999999999</v>
      </c>
      <c r="M1109" s="515">
        <v>1</v>
      </c>
      <c r="N1109">
        <v>0</v>
      </c>
      <c r="O1109" t="s">
        <v>613</v>
      </c>
      <c r="P1109">
        <f t="shared" si="155"/>
        <v>13.88053571</v>
      </c>
      <c r="Q1109">
        <f t="shared" si="156"/>
        <v>0.02</v>
      </c>
      <c r="R1109">
        <f t="shared" si="157"/>
        <v>1.7999999999999999E-2</v>
      </c>
      <c r="S1109">
        <f t="shared" si="158"/>
        <v>0.85899999999999999</v>
      </c>
      <c r="T1109">
        <f t="shared" si="159"/>
        <v>2.3666666670000001</v>
      </c>
      <c r="U1109">
        <f t="shared" si="160"/>
        <v>7.8747947759999999</v>
      </c>
      <c r="V1109">
        <f t="shared" si="161"/>
        <v>4.3999999999999997E-2</v>
      </c>
      <c r="W1109">
        <f t="shared" si="162"/>
        <v>5.0999999999999997E-2</v>
      </c>
      <c r="X1109">
        <f t="shared" si="163"/>
        <v>0.81799999999999995</v>
      </c>
      <c r="Y1109">
        <v>120.9606345</v>
      </c>
      <c r="Z1109">
        <v>0</v>
      </c>
      <c r="AA1109">
        <v>454184</v>
      </c>
      <c r="AB1109">
        <v>170596</v>
      </c>
      <c r="AC1109">
        <v>6.5715274000000004E-2</v>
      </c>
      <c r="AD1109">
        <v>0.72549415100000003</v>
      </c>
      <c r="AF1109">
        <v>13.88053571</v>
      </c>
      <c r="AG1109">
        <v>0.02</v>
      </c>
      <c r="AH1109">
        <v>1.7999999999999999E-2</v>
      </c>
      <c r="AI1109">
        <v>0.85899999999999999</v>
      </c>
      <c r="AJ1109">
        <v>2.3666666670000001</v>
      </c>
      <c r="AK1109">
        <v>7.8747947759999999</v>
      </c>
      <c r="AL1109">
        <v>4.3999999999999997E-2</v>
      </c>
      <c r="AM1109">
        <v>5.0999999999999997E-2</v>
      </c>
      <c r="AN1109">
        <v>0.81799999999999995</v>
      </c>
    </row>
    <row r="1110" spans="1:40">
      <c r="A1110">
        <v>3178</v>
      </c>
      <c r="B1110" t="s">
        <v>689</v>
      </c>
      <c r="C1110" t="s">
        <v>687</v>
      </c>
      <c r="D1110" t="s">
        <v>688</v>
      </c>
      <c r="E1110">
        <v>42</v>
      </c>
      <c r="F1110">
        <v>110</v>
      </c>
      <c r="G1110">
        <v>36.206792180000001</v>
      </c>
      <c r="H1110">
        <v>616</v>
      </c>
      <c r="I1110">
        <v>5.6595899999999998E-2</v>
      </c>
      <c r="J1110">
        <v>726</v>
      </c>
      <c r="K1110">
        <v>12827.78434</v>
      </c>
      <c r="L1110">
        <v>0.82699999999999996</v>
      </c>
      <c r="M1110">
        <v>0.93617021300000003</v>
      </c>
      <c r="N1110">
        <v>0</v>
      </c>
      <c r="O1110" t="s">
        <v>613</v>
      </c>
      <c r="P1110">
        <f t="shared" si="155"/>
        <v>12.79071429</v>
      </c>
      <c r="Q1110">
        <f t="shared" si="156"/>
        <v>1.6E-2</v>
      </c>
      <c r="R1110">
        <f t="shared" si="157"/>
        <v>3.6999999999999998E-2</v>
      </c>
      <c r="S1110">
        <f t="shared" si="158"/>
        <v>0.82699999999999996</v>
      </c>
      <c r="T1110">
        <f t="shared" si="159"/>
        <v>2.2166666670000001</v>
      </c>
      <c r="U1110">
        <f t="shared" si="160"/>
        <v>8.3959580050000007</v>
      </c>
      <c r="V1110">
        <f t="shared" si="161"/>
        <v>0.113</v>
      </c>
      <c r="W1110">
        <f t="shared" si="162"/>
        <v>4.7E-2</v>
      </c>
      <c r="X1110">
        <f t="shared" si="163"/>
        <v>0.79200000000000004</v>
      </c>
      <c r="Y1110">
        <v>133.84788829999999</v>
      </c>
      <c r="Z1110">
        <v>0</v>
      </c>
      <c r="AA1110">
        <v>454184</v>
      </c>
      <c r="AB1110">
        <v>170596</v>
      </c>
      <c r="AC1110">
        <v>6.5715274000000004E-2</v>
      </c>
      <c r="AD1110">
        <v>0.72549415100000003</v>
      </c>
      <c r="AF1110">
        <v>12.79071429</v>
      </c>
      <c r="AG1110">
        <v>1.6E-2</v>
      </c>
      <c r="AH1110">
        <v>3.6999999999999998E-2</v>
      </c>
      <c r="AI1110">
        <v>0.82699999999999996</v>
      </c>
      <c r="AJ1110">
        <v>2.2166666670000001</v>
      </c>
      <c r="AK1110">
        <v>8.3959580050000007</v>
      </c>
      <c r="AL1110">
        <v>0.113</v>
      </c>
      <c r="AM1110">
        <v>4.7E-2</v>
      </c>
      <c r="AN1110">
        <v>0.79200000000000004</v>
      </c>
    </row>
    <row r="1111" spans="1:40">
      <c r="A1111">
        <v>3179</v>
      </c>
      <c r="B1111" t="s">
        <v>689</v>
      </c>
      <c r="C1111" t="s">
        <v>687</v>
      </c>
      <c r="D1111" t="s">
        <v>688</v>
      </c>
      <c r="E1111">
        <v>279</v>
      </c>
      <c r="F1111">
        <v>552</v>
      </c>
      <c r="G1111">
        <v>19.431484170000001</v>
      </c>
      <c r="H1111">
        <v>361</v>
      </c>
      <c r="I1111">
        <v>3.037349E-2</v>
      </c>
      <c r="J1111">
        <v>913</v>
      </c>
      <c r="K1111">
        <v>30059.107469999999</v>
      </c>
      <c r="L1111">
        <v>0.66300000000000003</v>
      </c>
      <c r="M1111">
        <v>0.56406250000000002</v>
      </c>
      <c r="N1111">
        <v>1</v>
      </c>
      <c r="O1111" t="s">
        <v>606</v>
      </c>
      <c r="P1111">
        <f t="shared" si="155"/>
        <v>15.773538459999999</v>
      </c>
      <c r="Q1111">
        <f t="shared" si="156"/>
        <v>9.9000000000000005E-2</v>
      </c>
      <c r="R1111">
        <f t="shared" si="157"/>
        <v>8.9999999999999993E-3</v>
      </c>
      <c r="S1111">
        <f t="shared" si="158"/>
        <v>0.66300000000000003</v>
      </c>
      <c r="T1111">
        <f t="shared" si="159"/>
        <v>0.875</v>
      </c>
      <c r="U1111">
        <f t="shared" si="160"/>
        <v>7.8384981680000001</v>
      </c>
      <c r="V1111">
        <f t="shared" si="161"/>
        <v>2.7E-2</v>
      </c>
      <c r="W1111">
        <f t="shared" si="162"/>
        <v>0.26100000000000001</v>
      </c>
      <c r="X1111">
        <f t="shared" si="163"/>
        <v>0.58599999999999997</v>
      </c>
      <c r="Y1111">
        <v>119.7491618</v>
      </c>
      <c r="Z1111">
        <v>0</v>
      </c>
      <c r="AA1111">
        <v>454184</v>
      </c>
      <c r="AB1111">
        <v>170596</v>
      </c>
      <c r="AC1111">
        <v>6.5715274000000004E-2</v>
      </c>
      <c r="AD1111">
        <v>0.72549415100000003</v>
      </c>
      <c r="AF1111">
        <v>15.773538459999999</v>
      </c>
      <c r="AG1111">
        <v>9.9000000000000005E-2</v>
      </c>
      <c r="AH1111">
        <v>8.9999999999999993E-3</v>
      </c>
      <c r="AI1111">
        <v>0.66300000000000003</v>
      </c>
      <c r="AJ1111">
        <v>0.875</v>
      </c>
      <c r="AK1111">
        <v>7.8384981680000001</v>
      </c>
      <c r="AL1111">
        <v>2.7E-2</v>
      </c>
      <c r="AM1111">
        <v>0.26100000000000001</v>
      </c>
      <c r="AN1111">
        <v>0.58599999999999997</v>
      </c>
    </row>
    <row r="1112" spans="1:40">
      <c r="A1112">
        <v>3180</v>
      </c>
      <c r="B1112" t="s">
        <v>689</v>
      </c>
      <c r="C1112" t="s">
        <v>687</v>
      </c>
      <c r="D1112" t="s">
        <v>688</v>
      </c>
      <c r="E1112">
        <v>588</v>
      </c>
      <c r="F1112">
        <v>1023</v>
      </c>
      <c r="G1112">
        <v>14.946997209999999</v>
      </c>
      <c r="H1112">
        <v>1212</v>
      </c>
      <c r="I1112">
        <v>2.3363711999999998E-2</v>
      </c>
      <c r="J1112">
        <v>2235</v>
      </c>
      <c r="K1112">
        <v>95661.168909999993</v>
      </c>
      <c r="L1112">
        <v>0.57299999999999995</v>
      </c>
      <c r="M1112">
        <v>0.67333333299999998</v>
      </c>
      <c r="N1112">
        <v>1</v>
      </c>
      <c r="O1112" t="s">
        <v>606</v>
      </c>
      <c r="P1112">
        <f t="shared" si="155"/>
        <v>14.155208330000001</v>
      </c>
      <c r="Q1112">
        <f t="shared" si="156"/>
        <v>0.113</v>
      </c>
      <c r="R1112">
        <f t="shared" si="157"/>
        <v>3.6999999999999998E-2</v>
      </c>
      <c r="S1112">
        <f t="shared" si="158"/>
        <v>0.57299999999999995</v>
      </c>
      <c r="T1112">
        <f t="shared" si="159"/>
        <v>1.621052632</v>
      </c>
      <c r="U1112">
        <f t="shared" si="160"/>
        <v>6.844683099</v>
      </c>
      <c r="V1112">
        <f t="shared" si="161"/>
        <v>0.09</v>
      </c>
      <c r="W1112">
        <f t="shared" si="162"/>
        <v>0.26700000000000002</v>
      </c>
      <c r="X1112">
        <f t="shared" si="163"/>
        <v>0.54100000000000004</v>
      </c>
      <c r="Y1112">
        <v>68.408682490000004</v>
      </c>
      <c r="Z1112">
        <v>0</v>
      </c>
      <c r="AA1112">
        <v>454184</v>
      </c>
      <c r="AB1112">
        <v>170596</v>
      </c>
      <c r="AC1112">
        <v>6.5715274000000004E-2</v>
      </c>
      <c r="AD1112">
        <v>0.72549415100000003</v>
      </c>
      <c r="AF1112">
        <v>14.155208330000001</v>
      </c>
      <c r="AG1112">
        <v>0.113</v>
      </c>
      <c r="AH1112">
        <v>3.6999999999999998E-2</v>
      </c>
      <c r="AI1112">
        <v>0.57299999999999995</v>
      </c>
      <c r="AJ1112">
        <v>1.621052632</v>
      </c>
      <c r="AK1112">
        <v>6.844683099</v>
      </c>
      <c r="AL1112">
        <v>0.09</v>
      </c>
      <c r="AM1112">
        <v>0.26700000000000002</v>
      </c>
      <c r="AN1112">
        <v>0.54100000000000004</v>
      </c>
    </row>
    <row r="1113" spans="1:40">
      <c r="A1113">
        <v>3181</v>
      </c>
      <c r="B1113" t="s">
        <v>689</v>
      </c>
      <c r="C1113" t="s">
        <v>687</v>
      </c>
      <c r="D1113" t="s">
        <v>688</v>
      </c>
      <c r="E1113">
        <v>271</v>
      </c>
      <c r="F1113">
        <v>607</v>
      </c>
      <c r="G1113">
        <v>20.535177879999999</v>
      </c>
      <c r="H1113">
        <v>696</v>
      </c>
      <c r="I1113">
        <v>3.2099324999999998E-2</v>
      </c>
      <c r="J1113">
        <v>1303</v>
      </c>
      <c r="K1113">
        <v>40592.753900000003</v>
      </c>
      <c r="L1113">
        <v>0.64300000000000002</v>
      </c>
      <c r="M1113">
        <v>0.71975180999999999</v>
      </c>
      <c r="N1113">
        <v>0</v>
      </c>
      <c r="O1113" t="s">
        <v>606</v>
      </c>
      <c r="P1113">
        <f t="shared" si="155"/>
        <v>12.77425287</v>
      </c>
      <c r="Q1113">
        <f t="shared" si="156"/>
        <v>9.1999999999999998E-2</v>
      </c>
      <c r="R1113">
        <f t="shared" si="157"/>
        <v>4.2000000000000003E-2</v>
      </c>
      <c r="S1113">
        <f t="shared" si="158"/>
        <v>0.64300000000000002</v>
      </c>
      <c r="T1113">
        <f t="shared" si="159"/>
        <v>1.615909091</v>
      </c>
      <c r="U1113">
        <f t="shared" si="160"/>
        <v>6.8463333329999996</v>
      </c>
      <c r="V1113">
        <f t="shared" si="161"/>
        <v>0.04</v>
      </c>
      <c r="W1113">
        <f t="shared" si="162"/>
        <v>0.28199999999999997</v>
      </c>
      <c r="X1113">
        <f t="shared" si="163"/>
        <v>0.58399999999999996</v>
      </c>
      <c r="Y1113">
        <v>185.8064492</v>
      </c>
      <c r="Z1113">
        <v>0</v>
      </c>
      <c r="AA1113">
        <v>454184</v>
      </c>
      <c r="AB1113">
        <v>170596</v>
      </c>
      <c r="AC1113">
        <v>6.5715274000000004E-2</v>
      </c>
      <c r="AD1113">
        <v>0.72549415100000003</v>
      </c>
      <c r="AF1113">
        <v>12.77425287</v>
      </c>
      <c r="AG1113">
        <v>9.1999999999999998E-2</v>
      </c>
      <c r="AH1113">
        <v>4.2000000000000003E-2</v>
      </c>
      <c r="AI1113">
        <v>0.64300000000000002</v>
      </c>
      <c r="AJ1113">
        <v>1.615909091</v>
      </c>
      <c r="AK1113">
        <v>6.8463333329999996</v>
      </c>
      <c r="AL1113">
        <v>0.04</v>
      </c>
      <c r="AM1113">
        <v>0.28199999999999997</v>
      </c>
      <c r="AN1113">
        <v>0.58399999999999996</v>
      </c>
    </row>
    <row r="1114" spans="1:40">
      <c r="A1114">
        <v>3182</v>
      </c>
      <c r="B1114" t="s">
        <v>689</v>
      </c>
      <c r="C1114" t="s">
        <v>687</v>
      </c>
      <c r="D1114" t="s">
        <v>688</v>
      </c>
      <c r="E1114">
        <v>320</v>
      </c>
      <c r="F1114">
        <v>1058</v>
      </c>
      <c r="G1114">
        <v>23.397807239999999</v>
      </c>
      <c r="H1114">
        <v>105</v>
      </c>
      <c r="I1114">
        <v>3.6575538999999997E-2</v>
      </c>
      <c r="J1114">
        <v>1163</v>
      </c>
      <c r="K1114">
        <v>31797.207419999999</v>
      </c>
      <c r="L1114">
        <v>0.65</v>
      </c>
      <c r="M1114">
        <v>0.24705882400000001</v>
      </c>
      <c r="N1114">
        <v>1</v>
      </c>
      <c r="O1114" t="s">
        <v>606</v>
      </c>
      <c r="P1114">
        <f t="shared" si="155"/>
        <v>8.1734693879999991</v>
      </c>
      <c r="Q1114">
        <f t="shared" si="156"/>
        <v>0.11799999999999999</v>
      </c>
      <c r="R1114">
        <f t="shared" si="157"/>
        <v>3.2000000000000001E-2</v>
      </c>
      <c r="S1114">
        <f t="shared" si="158"/>
        <v>0.65</v>
      </c>
      <c r="T1114">
        <f t="shared" si="159"/>
        <v>2.339375</v>
      </c>
      <c r="U1114">
        <f t="shared" si="160"/>
        <v>5.3950788640000003</v>
      </c>
      <c r="V1114">
        <f t="shared" si="161"/>
        <v>5.2999999999999999E-2</v>
      </c>
      <c r="W1114">
        <f t="shared" si="162"/>
        <v>0.36199999999999999</v>
      </c>
      <c r="X1114">
        <f t="shared" si="163"/>
        <v>0.52100000000000002</v>
      </c>
      <c r="Y1114">
        <v>385.16166989999999</v>
      </c>
      <c r="Z1114">
        <v>0</v>
      </c>
      <c r="AA1114">
        <v>454184</v>
      </c>
      <c r="AB1114">
        <v>170596</v>
      </c>
      <c r="AC1114">
        <v>6.5715274000000004E-2</v>
      </c>
      <c r="AD1114">
        <v>0.72549415100000003</v>
      </c>
      <c r="AF1114">
        <v>8.1734693879999991</v>
      </c>
      <c r="AG1114">
        <v>0.11799999999999999</v>
      </c>
      <c r="AH1114">
        <v>3.2000000000000001E-2</v>
      </c>
      <c r="AI1114">
        <v>0.65</v>
      </c>
      <c r="AJ1114">
        <v>2.339375</v>
      </c>
      <c r="AK1114">
        <v>5.3950788640000003</v>
      </c>
      <c r="AL1114">
        <v>5.2999999999999999E-2</v>
      </c>
      <c r="AM1114">
        <v>0.36199999999999999</v>
      </c>
      <c r="AN1114">
        <v>0.52100000000000002</v>
      </c>
    </row>
    <row r="1115" spans="1:40">
      <c r="A1115">
        <v>3183</v>
      </c>
      <c r="B1115" t="s">
        <v>689</v>
      </c>
      <c r="C1115" t="s">
        <v>687</v>
      </c>
      <c r="D1115" t="s">
        <v>688</v>
      </c>
      <c r="E1115">
        <v>0</v>
      </c>
      <c r="F1115">
        <v>352</v>
      </c>
      <c r="G1115">
        <v>276.94075629999998</v>
      </c>
      <c r="H1115">
        <v>1268</v>
      </c>
      <c r="I1115">
        <v>0.43289255799999998</v>
      </c>
      <c r="J1115">
        <v>1620</v>
      </c>
      <c r="K1115">
        <v>3742.2680759999998</v>
      </c>
      <c r="L1115">
        <v>0.95</v>
      </c>
      <c r="M1115" s="515">
        <v>1</v>
      </c>
      <c r="N1115">
        <v>1</v>
      </c>
      <c r="O1115" t="s">
        <v>613</v>
      </c>
      <c r="P1115">
        <f t="shared" si="155"/>
        <v>17.10534161</v>
      </c>
      <c r="Q1115">
        <f t="shared" si="156"/>
        <v>6.0302483069977368E-2</v>
      </c>
      <c r="R1115">
        <f t="shared" si="157"/>
        <v>1.0999999999999999E-2</v>
      </c>
      <c r="S1115">
        <f t="shared" si="158"/>
        <v>0.95</v>
      </c>
      <c r="T1115">
        <f t="shared" si="159"/>
        <v>4.721666667</v>
      </c>
      <c r="U1115">
        <f t="shared" si="160"/>
        <v>11.61332649</v>
      </c>
      <c r="V1115">
        <f t="shared" si="161"/>
        <v>2.4E-2</v>
      </c>
      <c r="W1115">
        <f t="shared" si="162"/>
        <v>0.17334782608695659</v>
      </c>
      <c r="X1115">
        <f t="shared" si="163"/>
        <v>0.96399999999999997</v>
      </c>
      <c r="Y1115">
        <v>162.9342182</v>
      </c>
      <c r="Z1115">
        <v>0</v>
      </c>
      <c r="AA1115">
        <v>454184</v>
      </c>
      <c r="AB1115">
        <v>170596</v>
      </c>
      <c r="AC1115">
        <v>6.5715274000000004E-2</v>
      </c>
      <c r="AD1115">
        <v>0.72549415100000003</v>
      </c>
      <c r="AF1115">
        <v>17.10534161</v>
      </c>
      <c r="AG1115">
        <v>0</v>
      </c>
      <c r="AH1115">
        <v>1.0999999999999999E-2</v>
      </c>
      <c r="AI1115">
        <v>0.95</v>
      </c>
      <c r="AJ1115">
        <v>4.721666667</v>
      </c>
      <c r="AK1115">
        <v>11.61332649</v>
      </c>
      <c r="AL1115">
        <v>2.4E-2</v>
      </c>
      <c r="AM1115">
        <v>0</v>
      </c>
      <c r="AN1115">
        <v>0.96399999999999997</v>
      </c>
    </row>
    <row r="1116" spans="1:40">
      <c r="A1116">
        <v>3184</v>
      </c>
      <c r="B1116" t="s">
        <v>689</v>
      </c>
      <c r="C1116" t="s">
        <v>687</v>
      </c>
      <c r="D1116" t="s">
        <v>688</v>
      </c>
      <c r="E1116">
        <v>291</v>
      </c>
      <c r="F1116">
        <v>737</v>
      </c>
      <c r="G1116">
        <v>22.008689440000001</v>
      </c>
      <c r="H1116">
        <v>1044</v>
      </c>
      <c r="I1116">
        <v>3.4403906999999997E-2</v>
      </c>
      <c r="J1116">
        <v>1781</v>
      </c>
      <c r="K1116">
        <v>51767.376300000004</v>
      </c>
      <c r="L1116">
        <v>0.68400000000000005</v>
      </c>
      <c r="M1116">
        <v>0.78202247199999997</v>
      </c>
      <c r="N1116">
        <v>1</v>
      </c>
      <c r="O1116" t="s">
        <v>606</v>
      </c>
      <c r="P1116">
        <f t="shared" si="155"/>
        <v>15.410529800000001</v>
      </c>
      <c r="Q1116">
        <f t="shared" si="156"/>
        <v>7.4999999999999997E-2</v>
      </c>
      <c r="R1116">
        <f t="shared" si="157"/>
        <v>2.9000000000000001E-2</v>
      </c>
      <c r="S1116">
        <f t="shared" si="158"/>
        <v>0.68400000000000005</v>
      </c>
      <c r="T1116">
        <f t="shared" si="159"/>
        <v>1.954358974</v>
      </c>
      <c r="U1116">
        <f t="shared" si="160"/>
        <v>7.7116628699999996</v>
      </c>
      <c r="V1116">
        <f t="shared" si="161"/>
        <v>7.9000000000000001E-2</v>
      </c>
      <c r="W1116">
        <f t="shared" si="162"/>
        <v>0.222</v>
      </c>
      <c r="X1116">
        <f t="shared" si="163"/>
        <v>0.59899999999999998</v>
      </c>
      <c r="Y1116">
        <v>155.7352358</v>
      </c>
      <c r="Z1116">
        <v>0</v>
      </c>
      <c r="AA1116">
        <v>454184</v>
      </c>
      <c r="AB1116">
        <v>170596</v>
      </c>
      <c r="AC1116">
        <v>6.5715274000000004E-2</v>
      </c>
      <c r="AD1116">
        <v>0.72549415100000003</v>
      </c>
      <c r="AF1116">
        <v>15.410529800000001</v>
      </c>
      <c r="AG1116">
        <v>7.4999999999999997E-2</v>
      </c>
      <c r="AH1116">
        <v>2.9000000000000001E-2</v>
      </c>
      <c r="AI1116">
        <v>0.68400000000000005</v>
      </c>
      <c r="AJ1116">
        <v>1.954358974</v>
      </c>
      <c r="AK1116">
        <v>7.7116628699999996</v>
      </c>
      <c r="AL1116">
        <v>7.9000000000000001E-2</v>
      </c>
      <c r="AM1116">
        <v>0.222</v>
      </c>
      <c r="AN1116">
        <v>0.59899999999999998</v>
      </c>
    </row>
    <row r="1117" spans="1:40">
      <c r="A1117">
        <v>3185</v>
      </c>
      <c r="B1117" t="s">
        <v>689</v>
      </c>
      <c r="C1117" t="s">
        <v>687</v>
      </c>
      <c r="D1117" t="s">
        <v>688</v>
      </c>
      <c r="E1117">
        <v>68</v>
      </c>
      <c r="F1117">
        <v>115</v>
      </c>
      <c r="G1117">
        <v>14.643916620000001</v>
      </c>
      <c r="H1117">
        <v>2475</v>
      </c>
      <c r="I1117">
        <v>2.2891327999999999E-2</v>
      </c>
      <c r="J1117">
        <v>2590</v>
      </c>
      <c r="K1117">
        <v>113143.28290000001</v>
      </c>
      <c r="L1117">
        <v>0.61799999999999999</v>
      </c>
      <c r="M1117">
        <v>0.97325992900000002</v>
      </c>
      <c r="N1117">
        <v>1</v>
      </c>
      <c r="O1117" t="s">
        <v>606</v>
      </c>
      <c r="P1117">
        <f t="shared" si="155"/>
        <v>13.802252960000001</v>
      </c>
      <c r="Q1117">
        <f t="shared" si="156"/>
        <v>0.152</v>
      </c>
      <c r="R1117">
        <f t="shared" si="157"/>
        <v>4.2999999999999997E-2</v>
      </c>
      <c r="S1117">
        <f t="shared" si="158"/>
        <v>0.61799999999999999</v>
      </c>
      <c r="T1117">
        <f t="shared" si="159"/>
        <v>2.2192307690000002</v>
      </c>
      <c r="U1117">
        <f t="shared" si="160"/>
        <v>9.5487702700000003</v>
      </c>
      <c r="V1117">
        <f t="shared" si="161"/>
        <v>7.1999999999999995E-2</v>
      </c>
      <c r="W1117">
        <f t="shared" si="162"/>
        <v>0.29499999999999998</v>
      </c>
      <c r="X1117">
        <f t="shared" si="163"/>
        <v>0.58699999999999997</v>
      </c>
      <c r="Y1117">
        <v>289.53299090000002</v>
      </c>
      <c r="Z1117">
        <v>0</v>
      </c>
      <c r="AA1117">
        <v>454184</v>
      </c>
      <c r="AB1117">
        <v>170596</v>
      </c>
      <c r="AC1117">
        <v>6.5715274000000004E-2</v>
      </c>
      <c r="AD1117">
        <v>0.72549415100000003</v>
      </c>
      <c r="AF1117">
        <v>13.802252960000001</v>
      </c>
      <c r="AG1117">
        <v>0.152</v>
      </c>
      <c r="AH1117">
        <v>4.2999999999999997E-2</v>
      </c>
      <c r="AI1117">
        <v>0.61799999999999999</v>
      </c>
      <c r="AJ1117">
        <v>2.2192307690000002</v>
      </c>
      <c r="AK1117">
        <v>9.5487702700000003</v>
      </c>
      <c r="AL1117">
        <v>7.1999999999999995E-2</v>
      </c>
      <c r="AM1117">
        <v>0.29499999999999998</v>
      </c>
      <c r="AN1117">
        <v>0.58699999999999997</v>
      </c>
    </row>
    <row r="1118" spans="1:40">
      <c r="A1118">
        <v>3186</v>
      </c>
      <c r="B1118" t="s">
        <v>689</v>
      </c>
      <c r="C1118" t="s">
        <v>687</v>
      </c>
      <c r="D1118" t="s">
        <v>688</v>
      </c>
      <c r="E1118">
        <v>100</v>
      </c>
      <c r="F1118">
        <v>129</v>
      </c>
      <c r="G1118">
        <v>14.68160121</v>
      </c>
      <c r="H1118">
        <v>7321</v>
      </c>
      <c r="I1118">
        <v>2.2950637999999999E-2</v>
      </c>
      <c r="J1118">
        <v>7450</v>
      </c>
      <c r="K1118">
        <v>324609.71240000002</v>
      </c>
      <c r="L1118">
        <v>0.63300000000000001</v>
      </c>
      <c r="M1118">
        <v>0.98652472700000005</v>
      </c>
      <c r="N1118">
        <v>1</v>
      </c>
      <c r="O1118" t="s">
        <v>606</v>
      </c>
      <c r="P1118">
        <f t="shared" si="155"/>
        <v>14.348302139999999</v>
      </c>
      <c r="Q1118">
        <f t="shared" si="156"/>
        <v>0.126</v>
      </c>
      <c r="R1118">
        <f t="shared" si="157"/>
        <v>3.7999999999999999E-2</v>
      </c>
      <c r="S1118">
        <f t="shared" si="158"/>
        <v>0.63300000000000001</v>
      </c>
      <c r="T1118">
        <f t="shared" si="159"/>
        <v>2.19</v>
      </c>
      <c r="U1118">
        <f t="shared" si="160"/>
        <v>9.0910888799999992</v>
      </c>
      <c r="V1118">
        <f t="shared" si="161"/>
        <v>7.0000000000000007E-2</v>
      </c>
      <c r="W1118">
        <f t="shared" si="162"/>
        <v>0.26800000000000002</v>
      </c>
      <c r="X1118">
        <f t="shared" si="163"/>
        <v>0.59399999999999997</v>
      </c>
      <c r="Y1118">
        <v>288.17937010000003</v>
      </c>
      <c r="Z1118">
        <v>0</v>
      </c>
      <c r="AA1118">
        <v>454184</v>
      </c>
      <c r="AB1118">
        <v>170596</v>
      </c>
      <c r="AC1118">
        <v>6.5715274000000004E-2</v>
      </c>
      <c r="AD1118">
        <v>0.72549415100000003</v>
      </c>
      <c r="AF1118">
        <v>14.348302139999999</v>
      </c>
      <c r="AG1118">
        <v>0.126</v>
      </c>
      <c r="AH1118">
        <v>3.7999999999999999E-2</v>
      </c>
      <c r="AI1118">
        <v>0.63300000000000001</v>
      </c>
      <c r="AJ1118">
        <v>2.19</v>
      </c>
      <c r="AK1118">
        <v>9.0910888799999992</v>
      </c>
      <c r="AL1118">
        <v>7.0000000000000007E-2</v>
      </c>
      <c r="AM1118">
        <v>0.26800000000000002</v>
      </c>
      <c r="AN1118">
        <v>0.59399999999999997</v>
      </c>
    </row>
    <row r="1119" spans="1:40">
      <c r="A1119">
        <v>3187</v>
      </c>
      <c r="B1119" t="s">
        <v>689</v>
      </c>
      <c r="C1119" t="s">
        <v>687</v>
      </c>
      <c r="D1119" t="s">
        <v>688</v>
      </c>
      <c r="E1119">
        <v>32</v>
      </c>
      <c r="F1119">
        <v>115</v>
      </c>
      <c r="G1119">
        <v>22.603733250000001</v>
      </c>
      <c r="H1119">
        <v>660</v>
      </c>
      <c r="I1119">
        <v>3.5333388E-2</v>
      </c>
      <c r="J1119">
        <v>775</v>
      </c>
      <c r="K1119">
        <v>21933.928329999999</v>
      </c>
      <c r="L1119">
        <v>0.81499999999999995</v>
      </c>
      <c r="M1119">
        <v>0.95375722500000004</v>
      </c>
      <c r="N1119">
        <v>0</v>
      </c>
      <c r="O1119" t="s">
        <v>606</v>
      </c>
      <c r="P1119">
        <f t="shared" si="155"/>
        <v>11.961648350000001</v>
      </c>
      <c r="Q1119">
        <f t="shared" si="156"/>
        <v>5.7000000000000002E-2</v>
      </c>
      <c r="R1119">
        <f t="shared" si="157"/>
        <v>2.4E-2</v>
      </c>
      <c r="S1119">
        <f t="shared" si="158"/>
        <v>0.81499999999999995</v>
      </c>
      <c r="T1119">
        <f t="shared" si="159"/>
        <v>2.3914285710000001</v>
      </c>
      <c r="U1119">
        <f t="shared" si="160"/>
        <v>8.0809009009999997</v>
      </c>
      <c r="V1119">
        <f t="shared" si="161"/>
        <v>6.6000000000000003E-2</v>
      </c>
      <c r="W1119">
        <f t="shared" si="162"/>
        <v>0.157</v>
      </c>
      <c r="X1119">
        <f t="shared" si="163"/>
        <v>0.752</v>
      </c>
      <c r="Y1119">
        <v>113.1532619</v>
      </c>
      <c r="Z1119">
        <v>0</v>
      </c>
      <c r="AA1119">
        <v>454184</v>
      </c>
      <c r="AB1119">
        <v>170596</v>
      </c>
      <c r="AC1119">
        <v>6.5715274000000004E-2</v>
      </c>
      <c r="AD1119">
        <v>0.72549415100000003</v>
      </c>
      <c r="AF1119">
        <v>11.961648350000001</v>
      </c>
      <c r="AG1119">
        <v>5.7000000000000002E-2</v>
      </c>
      <c r="AH1119">
        <v>2.4E-2</v>
      </c>
      <c r="AI1119">
        <v>0.81499999999999995</v>
      </c>
      <c r="AJ1119">
        <v>2.3914285710000001</v>
      </c>
      <c r="AK1119">
        <v>8.0809009009999997</v>
      </c>
      <c r="AL1119">
        <v>6.6000000000000003E-2</v>
      </c>
      <c r="AM1119">
        <v>0.157</v>
      </c>
      <c r="AN1119">
        <v>0.752</v>
      </c>
    </row>
    <row r="1120" spans="1:40">
      <c r="A1120">
        <v>3188</v>
      </c>
      <c r="B1120" t="s">
        <v>689</v>
      </c>
      <c r="C1120" t="s">
        <v>687</v>
      </c>
      <c r="D1120" t="s">
        <v>688</v>
      </c>
      <c r="E1120">
        <v>0</v>
      </c>
      <c r="F1120">
        <v>142</v>
      </c>
      <c r="G1120">
        <v>58.2473533</v>
      </c>
      <c r="H1120">
        <v>1149</v>
      </c>
      <c r="I1120">
        <v>9.1046397000000001E-2</v>
      </c>
      <c r="J1120">
        <v>1291</v>
      </c>
      <c r="K1120">
        <v>14179.583619999999</v>
      </c>
      <c r="L1120">
        <v>0.81899999999999995</v>
      </c>
      <c r="M1120" s="515">
        <v>1</v>
      </c>
      <c r="N1120">
        <v>1</v>
      </c>
      <c r="O1120" t="s">
        <v>613</v>
      </c>
      <c r="P1120">
        <f t="shared" si="155"/>
        <v>16.33787671</v>
      </c>
      <c r="Q1120">
        <f t="shared" si="156"/>
        <v>6.3E-2</v>
      </c>
      <c r="R1120">
        <f t="shared" si="157"/>
        <v>2.1000000000000001E-2</v>
      </c>
      <c r="S1120">
        <f t="shared" si="158"/>
        <v>0.81899999999999995</v>
      </c>
      <c r="T1120">
        <f t="shared" si="159"/>
        <v>2.820555556</v>
      </c>
      <c r="U1120">
        <f t="shared" si="160"/>
        <v>9.2054927539999998</v>
      </c>
      <c r="V1120">
        <f t="shared" si="161"/>
        <v>3.6999999999999998E-2</v>
      </c>
      <c r="W1120">
        <f t="shared" si="162"/>
        <v>0.152</v>
      </c>
      <c r="X1120">
        <f t="shared" si="163"/>
        <v>0.76400000000000001</v>
      </c>
      <c r="Y1120">
        <v>111.5492857</v>
      </c>
      <c r="Z1120">
        <v>0</v>
      </c>
      <c r="AA1120">
        <v>454184</v>
      </c>
      <c r="AB1120">
        <v>170596</v>
      </c>
      <c r="AC1120">
        <v>6.5715274000000004E-2</v>
      </c>
      <c r="AD1120">
        <v>0.72549415100000003</v>
      </c>
      <c r="AF1120">
        <v>16.33787671</v>
      </c>
      <c r="AG1120">
        <v>6.3E-2</v>
      </c>
      <c r="AH1120">
        <v>2.1000000000000001E-2</v>
      </c>
      <c r="AI1120">
        <v>0.81899999999999995</v>
      </c>
      <c r="AJ1120">
        <v>2.820555556</v>
      </c>
      <c r="AK1120">
        <v>9.2054927539999998</v>
      </c>
      <c r="AL1120">
        <v>3.6999999999999998E-2</v>
      </c>
      <c r="AM1120">
        <v>0.152</v>
      </c>
      <c r="AN1120">
        <v>0.76400000000000001</v>
      </c>
    </row>
    <row r="1121" spans="1:40">
      <c r="A1121">
        <v>3189</v>
      </c>
      <c r="B1121" t="s">
        <v>689</v>
      </c>
      <c r="C1121" t="s">
        <v>687</v>
      </c>
      <c r="D1121" t="s">
        <v>688</v>
      </c>
      <c r="E1121">
        <v>26</v>
      </c>
      <c r="F1121">
        <v>52</v>
      </c>
      <c r="G1121">
        <v>83.265068929999998</v>
      </c>
      <c r="H1121">
        <v>413</v>
      </c>
      <c r="I1121">
        <v>0.130155732</v>
      </c>
      <c r="J1121">
        <v>465</v>
      </c>
      <c r="K1121">
        <v>3572.64327</v>
      </c>
      <c r="L1121">
        <v>0.84899999999999998</v>
      </c>
      <c r="M1121">
        <v>0.94077448699999999</v>
      </c>
      <c r="N1121">
        <v>0</v>
      </c>
      <c r="O1121" t="s">
        <v>613</v>
      </c>
      <c r="P1121">
        <f t="shared" si="155"/>
        <v>20.057777779999999</v>
      </c>
      <c r="Q1121">
        <f t="shared" si="156"/>
        <v>0.02</v>
      </c>
      <c r="R1121">
        <f t="shared" si="157"/>
        <v>5.0000000000000001E-3</v>
      </c>
      <c r="S1121">
        <f t="shared" si="158"/>
        <v>0.84899999999999998</v>
      </c>
      <c r="T1121">
        <f t="shared" si="159"/>
        <v>1.22</v>
      </c>
      <c r="U1121">
        <f t="shared" si="160"/>
        <v>9.7015902139999994</v>
      </c>
      <c r="V1121">
        <f t="shared" si="161"/>
        <v>2.8000000000000001E-2</v>
      </c>
      <c r="W1121">
        <f t="shared" si="162"/>
        <v>6.9000000000000006E-2</v>
      </c>
      <c r="X1121">
        <f t="shared" si="163"/>
        <v>0.875</v>
      </c>
      <c r="Y1121">
        <v>150.15380350000001</v>
      </c>
      <c r="Z1121">
        <v>0</v>
      </c>
      <c r="AA1121">
        <v>454184</v>
      </c>
      <c r="AB1121">
        <v>170596</v>
      </c>
      <c r="AC1121">
        <v>6.5715274000000004E-2</v>
      </c>
      <c r="AD1121">
        <v>0.72549415100000003</v>
      </c>
      <c r="AF1121">
        <v>20.057777779999999</v>
      </c>
      <c r="AG1121">
        <v>0.02</v>
      </c>
      <c r="AH1121">
        <v>5.0000000000000001E-3</v>
      </c>
      <c r="AI1121">
        <v>0.84899999999999998</v>
      </c>
      <c r="AJ1121">
        <v>1.22</v>
      </c>
      <c r="AK1121">
        <v>9.7015902139999994</v>
      </c>
      <c r="AL1121">
        <v>2.8000000000000001E-2</v>
      </c>
      <c r="AM1121">
        <v>6.9000000000000006E-2</v>
      </c>
      <c r="AN1121">
        <v>0.875</v>
      </c>
    </row>
    <row r="1122" spans="1:40">
      <c r="A1122">
        <v>3190</v>
      </c>
      <c r="B1122" t="s">
        <v>689</v>
      </c>
      <c r="C1122" t="s">
        <v>687</v>
      </c>
      <c r="D1122" t="s">
        <v>688</v>
      </c>
      <c r="E1122">
        <v>222</v>
      </c>
      <c r="F1122">
        <v>255</v>
      </c>
      <c r="G1122">
        <v>13.036021160000001</v>
      </c>
      <c r="H1122">
        <v>594</v>
      </c>
      <c r="I1122">
        <v>2.0377427E-2</v>
      </c>
      <c r="J1122">
        <v>849</v>
      </c>
      <c r="K1122">
        <v>41663.748809999997</v>
      </c>
      <c r="L1122">
        <v>0.63100000000000001</v>
      </c>
      <c r="M1122">
        <v>0.72794117599999997</v>
      </c>
      <c r="N1122">
        <v>0</v>
      </c>
      <c r="O1122" t="s">
        <v>606</v>
      </c>
      <c r="P1122">
        <f t="shared" si="155"/>
        <v>11.7545</v>
      </c>
      <c r="Q1122">
        <f t="shared" si="156"/>
        <v>9.8000000000000004E-2</v>
      </c>
      <c r="R1122">
        <f t="shared" si="157"/>
        <v>5.2999999999999999E-2</v>
      </c>
      <c r="S1122">
        <f t="shared" si="158"/>
        <v>0.63100000000000001</v>
      </c>
      <c r="T1122">
        <f t="shared" si="159"/>
        <v>1.6903846149999999</v>
      </c>
      <c r="U1122">
        <f t="shared" si="160"/>
        <v>7.9978737539999996</v>
      </c>
      <c r="V1122">
        <f t="shared" si="161"/>
        <v>0.08</v>
      </c>
      <c r="W1122">
        <f t="shared" si="162"/>
        <v>0.216</v>
      </c>
      <c r="X1122">
        <f t="shared" si="163"/>
        <v>0.64</v>
      </c>
      <c r="Y1122">
        <v>399.8997645</v>
      </c>
      <c r="Z1122">
        <v>0</v>
      </c>
      <c r="AA1122">
        <v>454184</v>
      </c>
      <c r="AB1122">
        <v>170596</v>
      </c>
      <c r="AC1122">
        <v>6.5715274000000004E-2</v>
      </c>
      <c r="AD1122">
        <v>0.72549415100000003</v>
      </c>
      <c r="AF1122">
        <v>11.7545</v>
      </c>
      <c r="AG1122">
        <v>9.8000000000000004E-2</v>
      </c>
      <c r="AH1122">
        <v>5.2999999999999999E-2</v>
      </c>
      <c r="AI1122">
        <v>0.63100000000000001</v>
      </c>
      <c r="AJ1122">
        <v>1.6903846149999999</v>
      </c>
      <c r="AK1122">
        <v>7.9978737539999996</v>
      </c>
      <c r="AL1122">
        <v>0.08</v>
      </c>
      <c r="AM1122">
        <v>0.216</v>
      </c>
      <c r="AN1122">
        <v>0.64</v>
      </c>
    </row>
    <row r="1123" spans="1:40">
      <c r="A1123">
        <v>3191</v>
      </c>
      <c r="B1123" t="s">
        <v>689</v>
      </c>
      <c r="C1123" t="s">
        <v>687</v>
      </c>
      <c r="D1123" t="s">
        <v>688</v>
      </c>
      <c r="E1123">
        <v>54</v>
      </c>
      <c r="F1123">
        <v>62</v>
      </c>
      <c r="G1123">
        <v>10.49395852</v>
      </c>
      <c r="H1123">
        <v>513</v>
      </c>
      <c r="I1123">
        <v>1.6405394E-2</v>
      </c>
      <c r="J1123">
        <v>575</v>
      </c>
      <c r="K1123">
        <v>35049.447760000003</v>
      </c>
      <c r="L1123">
        <v>0.67</v>
      </c>
      <c r="M1123">
        <v>0.90476190499999998</v>
      </c>
      <c r="N1123">
        <v>0</v>
      </c>
      <c r="O1123" t="s">
        <v>606</v>
      </c>
      <c r="P1123">
        <f t="shared" si="155"/>
        <v>12.230588239999999</v>
      </c>
      <c r="Q1123">
        <f t="shared" si="156"/>
        <v>0.13100000000000001</v>
      </c>
      <c r="R1123">
        <f t="shared" si="157"/>
        <v>0.02</v>
      </c>
      <c r="S1123">
        <f t="shared" si="158"/>
        <v>0.67</v>
      </c>
      <c r="T1123">
        <f t="shared" si="159"/>
        <v>1.905</v>
      </c>
      <c r="U1123">
        <f t="shared" si="160"/>
        <v>8.1483984379999992</v>
      </c>
      <c r="V1123">
        <f t="shared" si="161"/>
        <v>6.2E-2</v>
      </c>
      <c r="W1123">
        <f t="shared" si="162"/>
        <v>0.375</v>
      </c>
      <c r="X1123">
        <f t="shared" si="163"/>
        <v>0.53100000000000003</v>
      </c>
      <c r="Y1123">
        <v>400.00971240000001</v>
      </c>
      <c r="Z1123">
        <v>0</v>
      </c>
      <c r="AA1123">
        <v>454184</v>
      </c>
      <c r="AB1123">
        <v>170596</v>
      </c>
      <c r="AC1123">
        <v>6.5715274000000004E-2</v>
      </c>
      <c r="AD1123">
        <v>0.72549415100000003</v>
      </c>
      <c r="AF1123">
        <v>12.230588239999999</v>
      </c>
      <c r="AG1123">
        <v>0.13100000000000001</v>
      </c>
      <c r="AH1123">
        <v>0.02</v>
      </c>
      <c r="AI1123">
        <v>0.67</v>
      </c>
      <c r="AJ1123">
        <v>1.905</v>
      </c>
      <c r="AK1123">
        <v>8.1483984379999992</v>
      </c>
      <c r="AL1123">
        <v>6.2E-2</v>
      </c>
      <c r="AM1123">
        <v>0.375</v>
      </c>
      <c r="AN1123">
        <v>0.53100000000000003</v>
      </c>
    </row>
    <row r="1124" spans="1:40">
      <c r="A1124">
        <v>3192</v>
      </c>
      <c r="B1124" t="s">
        <v>689</v>
      </c>
      <c r="C1124" t="s">
        <v>687</v>
      </c>
      <c r="D1124" t="s">
        <v>688</v>
      </c>
      <c r="E1124">
        <v>57</v>
      </c>
      <c r="F1124">
        <v>94</v>
      </c>
      <c r="G1124">
        <v>43.587201720000003</v>
      </c>
      <c r="H1124">
        <v>2941</v>
      </c>
      <c r="I1124">
        <v>6.8134009999999995E-2</v>
      </c>
      <c r="J1124">
        <v>3035</v>
      </c>
      <c r="K1124">
        <v>44544.567389999997</v>
      </c>
      <c r="L1124">
        <v>0.72799999999999998</v>
      </c>
      <c r="M1124">
        <v>0.98098732499999997</v>
      </c>
      <c r="N1124">
        <v>0</v>
      </c>
      <c r="O1124" t="s">
        <v>606</v>
      </c>
      <c r="P1124">
        <f t="shared" si="155"/>
        <v>13.84107463</v>
      </c>
      <c r="Q1124">
        <f t="shared" si="156"/>
        <v>0.107</v>
      </c>
      <c r="R1124">
        <f t="shared" si="157"/>
        <v>2.5000000000000001E-2</v>
      </c>
      <c r="S1124">
        <f t="shared" si="158"/>
        <v>0.72799999999999998</v>
      </c>
      <c r="T1124">
        <f t="shared" si="159"/>
        <v>2.3883333329999998</v>
      </c>
      <c r="U1124">
        <f t="shared" si="160"/>
        <v>8.3133208110000005</v>
      </c>
      <c r="V1124">
        <f t="shared" si="161"/>
        <v>4.4999999999999998E-2</v>
      </c>
      <c r="W1124">
        <f t="shared" si="162"/>
        <v>0.26</v>
      </c>
      <c r="X1124">
        <f t="shared" si="163"/>
        <v>0.68100000000000005</v>
      </c>
      <c r="Y1124">
        <v>399.88338220000003</v>
      </c>
      <c r="Z1124">
        <v>0</v>
      </c>
      <c r="AA1124">
        <v>454184</v>
      </c>
      <c r="AB1124">
        <v>170596</v>
      </c>
      <c r="AC1124">
        <v>6.5715274000000004E-2</v>
      </c>
      <c r="AD1124">
        <v>0.72549415100000003</v>
      </c>
      <c r="AF1124">
        <v>13.84107463</v>
      </c>
      <c r="AG1124">
        <v>0.107</v>
      </c>
      <c r="AH1124">
        <v>2.5000000000000001E-2</v>
      </c>
      <c r="AI1124">
        <v>0.72799999999999998</v>
      </c>
      <c r="AJ1124">
        <v>2.3883333329999998</v>
      </c>
      <c r="AK1124">
        <v>8.3133208110000005</v>
      </c>
      <c r="AL1124">
        <v>4.4999999999999998E-2</v>
      </c>
      <c r="AM1124">
        <v>0.26</v>
      </c>
      <c r="AN1124">
        <v>0.68100000000000005</v>
      </c>
    </row>
    <row r="1125" spans="1:40">
      <c r="A1125">
        <v>3193</v>
      </c>
      <c r="B1125" t="s">
        <v>689</v>
      </c>
      <c r="C1125" t="s">
        <v>687</v>
      </c>
      <c r="D1125" t="s">
        <v>688</v>
      </c>
      <c r="E1125">
        <v>2</v>
      </c>
      <c r="F1125">
        <v>14</v>
      </c>
      <c r="G1125">
        <v>6.17754519</v>
      </c>
      <c r="H1125">
        <v>1152</v>
      </c>
      <c r="I1125">
        <v>9.6544119999999994E-3</v>
      </c>
      <c r="J1125">
        <v>1166</v>
      </c>
      <c r="K1125">
        <v>120773.7975</v>
      </c>
      <c r="L1125">
        <v>0.61799999999999999</v>
      </c>
      <c r="M1125">
        <v>0.99826689800000001</v>
      </c>
      <c r="N1125">
        <v>1</v>
      </c>
      <c r="O1125" t="s">
        <v>606</v>
      </c>
      <c r="P1125">
        <f t="shared" si="155"/>
        <v>16.303603599999999</v>
      </c>
      <c r="Q1125">
        <f t="shared" si="156"/>
        <v>0.191</v>
      </c>
      <c r="R1125">
        <f t="shared" si="157"/>
        <v>4.2000000000000003E-2</v>
      </c>
      <c r="S1125">
        <f t="shared" si="158"/>
        <v>0.61799999999999999</v>
      </c>
      <c r="T1125">
        <f t="shared" si="159"/>
        <v>2.8570833329999998</v>
      </c>
      <c r="U1125">
        <f t="shared" si="160"/>
        <v>9.5084615380000006</v>
      </c>
      <c r="V1125">
        <f t="shared" si="161"/>
        <v>7.5999999999999998E-2</v>
      </c>
      <c r="W1125">
        <f t="shared" si="162"/>
        <v>0.4</v>
      </c>
      <c r="X1125">
        <f t="shared" si="163"/>
        <v>0.49299999999999999</v>
      </c>
      <c r="Y1125">
        <v>414.97221739999998</v>
      </c>
      <c r="Z1125">
        <v>0</v>
      </c>
      <c r="AA1125">
        <v>454184</v>
      </c>
      <c r="AB1125">
        <v>170596</v>
      </c>
      <c r="AC1125">
        <v>6.5715274000000004E-2</v>
      </c>
      <c r="AD1125">
        <v>0.72549415100000003</v>
      </c>
      <c r="AF1125">
        <v>16.303603599999999</v>
      </c>
      <c r="AG1125">
        <v>0.191</v>
      </c>
      <c r="AH1125">
        <v>4.2000000000000003E-2</v>
      </c>
      <c r="AI1125">
        <v>0.61799999999999999</v>
      </c>
      <c r="AJ1125">
        <v>2.8570833329999998</v>
      </c>
      <c r="AK1125">
        <v>9.5084615380000006</v>
      </c>
      <c r="AL1125">
        <v>7.5999999999999998E-2</v>
      </c>
      <c r="AM1125">
        <v>0.4</v>
      </c>
      <c r="AN1125">
        <v>0.49299999999999999</v>
      </c>
    </row>
    <row r="1126" spans="1:40">
      <c r="A1126">
        <v>3194</v>
      </c>
      <c r="B1126" t="s">
        <v>689</v>
      </c>
      <c r="C1126" t="s">
        <v>687</v>
      </c>
      <c r="D1126" t="s">
        <v>688</v>
      </c>
      <c r="E1126">
        <v>109</v>
      </c>
      <c r="F1126">
        <v>159</v>
      </c>
      <c r="G1126">
        <v>8.9275150169999993</v>
      </c>
      <c r="H1126">
        <v>2357</v>
      </c>
      <c r="I1126">
        <v>1.3955262E-2</v>
      </c>
      <c r="J1126">
        <v>2516</v>
      </c>
      <c r="K1126">
        <v>180290.4166</v>
      </c>
      <c r="L1126">
        <v>0.63900000000000001</v>
      </c>
      <c r="M1126">
        <v>0.955798865</v>
      </c>
      <c r="N1126">
        <v>1</v>
      </c>
      <c r="O1126" t="s">
        <v>606</v>
      </c>
      <c r="P1126">
        <f t="shared" si="155"/>
        <v>15.2059751</v>
      </c>
      <c r="Q1126">
        <f t="shared" si="156"/>
        <v>0.11</v>
      </c>
      <c r="R1126">
        <f t="shared" si="157"/>
        <v>2.5999999999999999E-2</v>
      </c>
      <c r="S1126">
        <f t="shared" si="158"/>
        <v>0.63900000000000001</v>
      </c>
      <c r="T1126">
        <f t="shared" si="159"/>
        <v>1.8388888889999999</v>
      </c>
      <c r="U1126">
        <f t="shared" si="160"/>
        <v>9.4719655169999992</v>
      </c>
      <c r="V1126">
        <f t="shared" si="161"/>
        <v>0.05</v>
      </c>
      <c r="W1126">
        <f t="shared" si="162"/>
        <v>0.28100000000000003</v>
      </c>
      <c r="X1126">
        <f t="shared" si="163"/>
        <v>0.60599999999999998</v>
      </c>
      <c r="Y1126">
        <v>414.89303719999998</v>
      </c>
      <c r="Z1126">
        <v>0</v>
      </c>
      <c r="AA1126">
        <v>454184</v>
      </c>
      <c r="AB1126">
        <v>170596</v>
      </c>
      <c r="AC1126">
        <v>6.5715274000000004E-2</v>
      </c>
      <c r="AD1126">
        <v>0.72549415100000003</v>
      </c>
      <c r="AF1126">
        <v>15.2059751</v>
      </c>
      <c r="AG1126">
        <v>0.11</v>
      </c>
      <c r="AH1126">
        <v>2.5999999999999999E-2</v>
      </c>
      <c r="AI1126">
        <v>0.63900000000000001</v>
      </c>
      <c r="AJ1126">
        <v>1.8388888889999999</v>
      </c>
      <c r="AK1126">
        <v>9.4719655169999992</v>
      </c>
      <c r="AL1126">
        <v>0.05</v>
      </c>
      <c r="AM1126">
        <v>0.28100000000000003</v>
      </c>
      <c r="AN1126">
        <v>0.60599999999999998</v>
      </c>
    </row>
    <row r="1127" spans="1:40">
      <c r="A1127">
        <v>3195</v>
      </c>
      <c r="B1127" t="s">
        <v>689</v>
      </c>
      <c r="C1127" t="s">
        <v>687</v>
      </c>
      <c r="D1127" t="s">
        <v>688</v>
      </c>
      <c r="E1127">
        <v>883</v>
      </c>
      <c r="F1127">
        <v>1196</v>
      </c>
      <c r="G1127">
        <v>30.177041169999999</v>
      </c>
      <c r="H1127">
        <v>2979</v>
      </c>
      <c r="I1127">
        <v>4.7172391000000001E-2</v>
      </c>
      <c r="J1127">
        <v>4175</v>
      </c>
      <c r="K1127">
        <v>88505.159719999996</v>
      </c>
      <c r="L1127">
        <v>0.60399999999999998</v>
      </c>
      <c r="M1127">
        <v>0.77136198899999997</v>
      </c>
      <c r="N1127">
        <v>1</v>
      </c>
      <c r="O1127" t="s">
        <v>606</v>
      </c>
      <c r="P1127">
        <f t="shared" si="155"/>
        <v>12.177692309999999</v>
      </c>
      <c r="Q1127">
        <f t="shared" si="156"/>
        <v>8.1000000000000003E-2</v>
      </c>
      <c r="R1127">
        <f t="shared" si="157"/>
        <v>4.2000000000000003E-2</v>
      </c>
      <c r="S1127">
        <f t="shared" si="158"/>
        <v>0.60399999999999998</v>
      </c>
      <c r="T1127">
        <f t="shared" si="159"/>
        <v>1.953763441</v>
      </c>
      <c r="U1127">
        <f t="shared" si="160"/>
        <v>6.5500460650000001</v>
      </c>
      <c r="V1127">
        <f t="shared" si="161"/>
        <v>7.2999999999999995E-2</v>
      </c>
      <c r="W1127">
        <f t="shared" si="162"/>
        <v>0.20200000000000001</v>
      </c>
      <c r="X1127">
        <f t="shared" si="163"/>
        <v>0.58899999999999997</v>
      </c>
      <c r="Y1127">
        <v>199.720336</v>
      </c>
      <c r="Z1127">
        <v>0</v>
      </c>
      <c r="AA1127">
        <v>454184</v>
      </c>
      <c r="AB1127">
        <v>170596</v>
      </c>
      <c r="AC1127">
        <v>6.5715274000000004E-2</v>
      </c>
      <c r="AD1127">
        <v>0.72549415100000003</v>
      </c>
      <c r="AF1127">
        <v>12.177692309999999</v>
      </c>
      <c r="AG1127">
        <v>8.1000000000000003E-2</v>
      </c>
      <c r="AH1127">
        <v>4.2000000000000003E-2</v>
      </c>
      <c r="AI1127">
        <v>0.60399999999999998</v>
      </c>
      <c r="AJ1127">
        <v>1.953763441</v>
      </c>
      <c r="AK1127">
        <v>6.5500460650000001</v>
      </c>
      <c r="AL1127">
        <v>7.2999999999999995E-2</v>
      </c>
      <c r="AM1127">
        <v>0.20200000000000001</v>
      </c>
      <c r="AN1127">
        <v>0.58899999999999997</v>
      </c>
    </row>
    <row r="1128" spans="1:40">
      <c r="A1128">
        <v>3196</v>
      </c>
      <c r="B1128" t="s">
        <v>689</v>
      </c>
      <c r="C1128" t="s">
        <v>687</v>
      </c>
      <c r="D1128" t="s">
        <v>688</v>
      </c>
      <c r="E1128">
        <v>115</v>
      </c>
      <c r="F1128">
        <v>156</v>
      </c>
      <c r="G1128">
        <v>33.240305020000001</v>
      </c>
      <c r="H1128">
        <v>821</v>
      </c>
      <c r="I1128">
        <v>5.1964968E-2</v>
      </c>
      <c r="J1128">
        <v>977</v>
      </c>
      <c r="K1128">
        <v>18801.127710000001</v>
      </c>
      <c r="L1128">
        <v>0.68899999999999995</v>
      </c>
      <c r="M1128">
        <v>0.87713675199999996</v>
      </c>
      <c r="N1128">
        <v>1</v>
      </c>
      <c r="O1128" t="s">
        <v>606</v>
      </c>
      <c r="P1128">
        <f t="shared" si="155"/>
        <v>15.093523810000001</v>
      </c>
      <c r="Q1128">
        <f t="shared" si="156"/>
        <v>0.14199999999999999</v>
      </c>
      <c r="R1128">
        <f t="shared" si="157"/>
        <v>2.1999999999999999E-2</v>
      </c>
      <c r="S1128">
        <f t="shared" si="158"/>
        <v>0.68899999999999995</v>
      </c>
      <c r="T1128">
        <f t="shared" si="159"/>
        <v>2.7362500000000001</v>
      </c>
      <c r="U1128">
        <f t="shared" si="160"/>
        <v>8.7385714290000003</v>
      </c>
      <c r="V1128">
        <f t="shared" si="161"/>
        <v>3.5999999999999997E-2</v>
      </c>
      <c r="W1128">
        <f t="shared" si="162"/>
        <v>0.26500000000000001</v>
      </c>
      <c r="X1128">
        <f t="shared" si="163"/>
        <v>0.63300000000000001</v>
      </c>
      <c r="Y1128">
        <v>425.76007249999998</v>
      </c>
      <c r="Z1128">
        <v>0</v>
      </c>
      <c r="AA1128">
        <v>454184</v>
      </c>
      <c r="AB1128">
        <v>170596</v>
      </c>
      <c r="AC1128">
        <v>6.5715274000000004E-2</v>
      </c>
      <c r="AD1128">
        <v>0.72549415100000003</v>
      </c>
      <c r="AF1128">
        <v>15.093523810000001</v>
      </c>
      <c r="AG1128">
        <v>0.14199999999999999</v>
      </c>
      <c r="AH1128">
        <v>2.1999999999999999E-2</v>
      </c>
      <c r="AI1128">
        <v>0.68899999999999995</v>
      </c>
      <c r="AJ1128">
        <v>2.7362500000000001</v>
      </c>
      <c r="AK1128">
        <v>8.7385714290000003</v>
      </c>
      <c r="AL1128">
        <v>3.5999999999999997E-2</v>
      </c>
      <c r="AM1128">
        <v>0.26500000000000001</v>
      </c>
      <c r="AN1128">
        <v>0.63300000000000001</v>
      </c>
    </row>
    <row r="1129" spans="1:40">
      <c r="A1129">
        <v>3197</v>
      </c>
      <c r="B1129" t="s">
        <v>689</v>
      </c>
      <c r="C1129" t="s">
        <v>687</v>
      </c>
      <c r="D1129" t="s">
        <v>688</v>
      </c>
      <c r="E1129">
        <v>948</v>
      </c>
      <c r="F1129">
        <v>1738</v>
      </c>
      <c r="G1129">
        <v>36.166242339999997</v>
      </c>
      <c r="H1129">
        <v>892</v>
      </c>
      <c r="I1129">
        <v>5.6530954000000001E-2</v>
      </c>
      <c r="J1129">
        <v>2630</v>
      </c>
      <c r="K1129">
        <v>46523.184450000001</v>
      </c>
      <c r="L1129">
        <v>0.64500000000000002</v>
      </c>
      <c r="M1129">
        <v>0.48478260899999998</v>
      </c>
      <c r="N1129">
        <v>1</v>
      </c>
      <c r="O1129" t="s">
        <v>606</v>
      </c>
      <c r="P1129">
        <f t="shared" si="155"/>
        <v>12.530581400000001</v>
      </c>
      <c r="Q1129">
        <f t="shared" si="156"/>
        <v>8.7999999999999995E-2</v>
      </c>
      <c r="R1129">
        <f t="shared" si="157"/>
        <v>4.4999999999999998E-2</v>
      </c>
      <c r="S1129">
        <f t="shared" si="158"/>
        <v>0.64500000000000002</v>
      </c>
      <c r="T1129">
        <f t="shared" si="159"/>
        <v>1.921714286</v>
      </c>
      <c r="U1129">
        <f t="shared" si="160"/>
        <v>6.9288142710000002</v>
      </c>
      <c r="V1129">
        <f t="shared" si="161"/>
        <v>9.8000000000000004E-2</v>
      </c>
      <c r="W1129">
        <f t="shared" si="162"/>
        <v>0.19500000000000001</v>
      </c>
      <c r="X1129">
        <f t="shared" si="163"/>
        <v>0.57899999999999996</v>
      </c>
      <c r="Y1129">
        <v>424.88722200000001</v>
      </c>
      <c r="Z1129">
        <v>0</v>
      </c>
      <c r="AA1129">
        <v>454184</v>
      </c>
      <c r="AB1129">
        <v>170596</v>
      </c>
      <c r="AC1129">
        <v>6.5715274000000004E-2</v>
      </c>
      <c r="AD1129">
        <v>0.72549415100000003</v>
      </c>
      <c r="AF1129">
        <v>12.530581400000001</v>
      </c>
      <c r="AG1129">
        <v>8.7999999999999995E-2</v>
      </c>
      <c r="AH1129">
        <v>4.4999999999999998E-2</v>
      </c>
      <c r="AI1129">
        <v>0.64500000000000002</v>
      </c>
      <c r="AJ1129">
        <v>1.921714286</v>
      </c>
      <c r="AK1129">
        <v>6.9288142710000002</v>
      </c>
      <c r="AL1129">
        <v>9.8000000000000004E-2</v>
      </c>
      <c r="AM1129">
        <v>0.19500000000000001</v>
      </c>
      <c r="AN1129">
        <v>0.57899999999999996</v>
      </c>
    </row>
    <row r="1130" spans="1:40">
      <c r="A1130">
        <v>3198</v>
      </c>
      <c r="B1130" t="s">
        <v>689</v>
      </c>
      <c r="C1130" t="s">
        <v>687</v>
      </c>
      <c r="D1130" t="s">
        <v>688</v>
      </c>
      <c r="E1130">
        <v>0</v>
      </c>
      <c r="F1130">
        <v>93</v>
      </c>
      <c r="G1130">
        <v>21.77129746</v>
      </c>
      <c r="H1130">
        <v>176</v>
      </c>
      <c r="I1130">
        <v>3.4033674E-2</v>
      </c>
      <c r="J1130">
        <v>269</v>
      </c>
      <c r="K1130">
        <v>7903.9365539999999</v>
      </c>
      <c r="L1130">
        <v>0.69199999999999995</v>
      </c>
      <c r="M1130" s="515">
        <v>1</v>
      </c>
      <c r="N1130">
        <v>1</v>
      </c>
      <c r="O1130" t="s">
        <v>606</v>
      </c>
      <c r="P1130">
        <f t="shared" si="155"/>
        <v>17.05157895</v>
      </c>
      <c r="Q1130">
        <f t="shared" si="156"/>
        <v>0.123</v>
      </c>
      <c r="R1130">
        <f t="shared" si="157"/>
        <v>4.1000000000000002E-2</v>
      </c>
      <c r="S1130">
        <f t="shared" si="158"/>
        <v>0.69199999999999995</v>
      </c>
      <c r="T1130">
        <f t="shared" si="159"/>
        <v>2.2250000000000001</v>
      </c>
      <c r="U1130">
        <f t="shared" si="160"/>
        <v>9.2621978019999993</v>
      </c>
      <c r="V1130">
        <f t="shared" si="161"/>
        <v>0.114</v>
      </c>
      <c r="W1130">
        <f t="shared" si="162"/>
        <v>0.34300000000000003</v>
      </c>
      <c r="X1130">
        <f t="shared" si="163"/>
        <v>0.54300000000000004</v>
      </c>
      <c r="Y1130">
        <v>456.71822959999997</v>
      </c>
      <c r="Z1130">
        <v>0</v>
      </c>
      <c r="AA1130">
        <v>454184</v>
      </c>
      <c r="AB1130">
        <v>170596</v>
      </c>
      <c r="AC1130">
        <v>6.5715274000000004E-2</v>
      </c>
      <c r="AD1130">
        <v>0.72549415100000003</v>
      </c>
      <c r="AF1130">
        <v>17.05157895</v>
      </c>
      <c r="AG1130">
        <v>0.123</v>
      </c>
      <c r="AH1130">
        <v>4.1000000000000002E-2</v>
      </c>
      <c r="AI1130">
        <v>0.69199999999999995</v>
      </c>
      <c r="AJ1130">
        <v>2.2250000000000001</v>
      </c>
      <c r="AK1130">
        <v>9.2621978019999993</v>
      </c>
      <c r="AL1130">
        <v>0.114</v>
      </c>
      <c r="AM1130">
        <v>0.34300000000000003</v>
      </c>
      <c r="AN1130">
        <v>0.54300000000000004</v>
      </c>
    </row>
    <row r="1131" spans="1:40">
      <c r="A1131">
        <v>3199</v>
      </c>
      <c r="B1131" t="s">
        <v>689</v>
      </c>
      <c r="C1131" t="s">
        <v>687</v>
      </c>
      <c r="D1131" t="s">
        <v>688</v>
      </c>
      <c r="E1131">
        <v>775</v>
      </c>
      <c r="F1131">
        <v>1542</v>
      </c>
      <c r="G1131">
        <v>43.709908349999999</v>
      </c>
      <c r="H1131">
        <v>219</v>
      </c>
      <c r="I1131">
        <v>6.8321683999999994E-2</v>
      </c>
      <c r="J1131">
        <v>1761</v>
      </c>
      <c r="K1131">
        <v>25775.125800000002</v>
      </c>
      <c r="L1131">
        <v>0.65300000000000002</v>
      </c>
      <c r="M1131">
        <v>0.220321932</v>
      </c>
      <c r="N1131">
        <v>1</v>
      </c>
      <c r="O1131" t="s">
        <v>606</v>
      </c>
      <c r="P1131">
        <f t="shared" si="155"/>
        <v>9.0777235770000004</v>
      </c>
      <c r="Q1131">
        <f t="shared" si="156"/>
        <v>0.122</v>
      </c>
      <c r="R1131">
        <f t="shared" si="157"/>
        <v>4.1000000000000002E-2</v>
      </c>
      <c r="S1131">
        <f t="shared" si="158"/>
        <v>0.65300000000000002</v>
      </c>
      <c r="T1131">
        <f t="shared" si="159"/>
        <v>1.924680851</v>
      </c>
      <c r="U1131">
        <f t="shared" si="160"/>
        <v>5.4102318839999999</v>
      </c>
      <c r="V1131">
        <f t="shared" si="161"/>
        <v>0.114</v>
      </c>
      <c r="W1131">
        <f t="shared" si="162"/>
        <v>0.27200000000000002</v>
      </c>
      <c r="X1131">
        <f t="shared" si="163"/>
        <v>0.5</v>
      </c>
      <c r="Y1131">
        <v>426.09930359999998</v>
      </c>
      <c r="Z1131">
        <v>0</v>
      </c>
      <c r="AA1131">
        <v>454184</v>
      </c>
      <c r="AB1131">
        <v>170596</v>
      </c>
      <c r="AC1131">
        <v>6.5715274000000004E-2</v>
      </c>
      <c r="AD1131">
        <v>0.72549415100000003</v>
      </c>
      <c r="AF1131">
        <v>9.0777235770000004</v>
      </c>
      <c r="AG1131">
        <v>0.122</v>
      </c>
      <c r="AH1131">
        <v>4.1000000000000002E-2</v>
      </c>
      <c r="AI1131">
        <v>0.65300000000000002</v>
      </c>
      <c r="AJ1131">
        <v>1.924680851</v>
      </c>
      <c r="AK1131">
        <v>5.4102318839999999</v>
      </c>
      <c r="AL1131">
        <v>0.114</v>
      </c>
      <c r="AM1131">
        <v>0.27200000000000002</v>
      </c>
      <c r="AN1131">
        <v>0.5</v>
      </c>
    </row>
    <row r="1132" spans="1:40">
      <c r="A1132">
        <v>3200</v>
      </c>
      <c r="B1132" t="s">
        <v>689</v>
      </c>
      <c r="C1132" t="s">
        <v>687</v>
      </c>
      <c r="D1132" t="s">
        <v>688</v>
      </c>
      <c r="E1132">
        <v>414</v>
      </c>
      <c r="F1132">
        <v>414</v>
      </c>
      <c r="G1132">
        <v>29.56953948</v>
      </c>
      <c r="H1132">
        <v>10091</v>
      </c>
      <c r="I1132">
        <v>4.6221054999999997E-2</v>
      </c>
      <c r="J1132">
        <v>10505</v>
      </c>
      <c r="K1132">
        <v>227277.37390000001</v>
      </c>
      <c r="L1132">
        <v>0.60399999999999998</v>
      </c>
      <c r="M1132">
        <v>0.96059019499999998</v>
      </c>
      <c r="N1132">
        <v>1</v>
      </c>
      <c r="O1132" t="s">
        <v>606</v>
      </c>
      <c r="P1132">
        <f t="shared" si="155"/>
        <v>13.48900602</v>
      </c>
      <c r="Q1132">
        <f t="shared" si="156"/>
        <v>0.14399999999999999</v>
      </c>
      <c r="R1132">
        <f t="shared" si="157"/>
        <v>2.9000000000000001E-2</v>
      </c>
      <c r="S1132">
        <f t="shared" si="158"/>
        <v>0.60399999999999998</v>
      </c>
      <c r="T1132">
        <f t="shared" si="159"/>
        <v>1.96046729</v>
      </c>
      <c r="U1132">
        <f t="shared" si="160"/>
        <v>7.8191586429999997</v>
      </c>
      <c r="V1132">
        <f t="shared" si="161"/>
        <v>5.3999999999999999E-2</v>
      </c>
      <c r="W1132">
        <f t="shared" si="162"/>
        <v>0.33200000000000002</v>
      </c>
      <c r="X1132">
        <f t="shared" si="163"/>
        <v>0.53300000000000003</v>
      </c>
      <c r="Y1132">
        <v>244.77823119999999</v>
      </c>
      <c r="Z1132">
        <v>0</v>
      </c>
      <c r="AA1132">
        <v>454184</v>
      </c>
      <c r="AB1132">
        <v>170596</v>
      </c>
      <c r="AC1132">
        <v>6.5715274000000004E-2</v>
      </c>
      <c r="AD1132">
        <v>0.72549415100000003</v>
      </c>
      <c r="AF1132">
        <v>13.48900602</v>
      </c>
      <c r="AG1132">
        <v>0.14399999999999999</v>
      </c>
      <c r="AH1132">
        <v>2.9000000000000001E-2</v>
      </c>
      <c r="AI1132">
        <v>0.60399999999999998</v>
      </c>
      <c r="AJ1132">
        <v>1.96046729</v>
      </c>
      <c r="AK1132">
        <v>7.8191586429999997</v>
      </c>
      <c r="AL1132">
        <v>5.3999999999999999E-2</v>
      </c>
      <c r="AM1132">
        <v>0.33200000000000002</v>
      </c>
      <c r="AN1132">
        <v>0.53300000000000003</v>
      </c>
    </row>
    <row r="1133" spans="1:40">
      <c r="A1133">
        <v>3201</v>
      </c>
      <c r="B1133" t="s">
        <v>689</v>
      </c>
      <c r="C1133" t="s">
        <v>687</v>
      </c>
      <c r="D1133" t="s">
        <v>688</v>
      </c>
      <c r="E1133">
        <v>50</v>
      </c>
      <c r="F1133">
        <v>114</v>
      </c>
      <c r="G1133">
        <v>22.727312059999999</v>
      </c>
      <c r="H1133">
        <v>175</v>
      </c>
      <c r="I1133">
        <v>3.5525051000000002E-2</v>
      </c>
      <c r="J1133">
        <v>289</v>
      </c>
      <c r="K1133">
        <v>8135.104437</v>
      </c>
      <c r="L1133">
        <v>0.69299999999999995</v>
      </c>
      <c r="M1133">
        <v>0.77777777800000003</v>
      </c>
      <c r="N1133">
        <v>1</v>
      </c>
      <c r="O1133" t="s">
        <v>613</v>
      </c>
      <c r="P1133">
        <f t="shared" si="155"/>
        <v>18.685454549999999</v>
      </c>
      <c r="Q1133">
        <f t="shared" si="156"/>
        <v>8.5999999999999993E-2</v>
      </c>
      <c r="R1133">
        <f t="shared" si="157"/>
        <v>1.4E-2</v>
      </c>
      <c r="S1133">
        <f t="shared" si="158"/>
        <v>0.69299999999999995</v>
      </c>
      <c r="T1133">
        <f t="shared" si="159"/>
        <v>1.2849999999999999</v>
      </c>
      <c r="U1133">
        <f t="shared" si="160"/>
        <v>9.645955056</v>
      </c>
      <c r="V1133">
        <f t="shared" si="161"/>
        <v>6.2414117647058849E-2</v>
      </c>
      <c r="W1133">
        <f t="shared" si="162"/>
        <v>0.12</v>
      </c>
      <c r="X1133">
        <f t="shared" si="163"/>
        <v>0.88</v>
      </c>
      <c r="Y1133">
        <v>129.28606110000001</v>
      </c>
      <c r="Z1133">
        <v>0</v>
      </c>
      <c r="AA1133">
        <v>454184</v>
      </c>
      <c r="AB1133">
        <v>170596</v>
      </c>
      <c r="AC1133">
        <v>6.5715274000000004E-2</v>
      </c>
      <c r="AD1133">
        <v>0.72549415100000003</v>
      </c>
      <c r="AF1133">
        <v>18.685454549999999</v>
      </c>
      <c r="AG1133">
        <v>8.5999999999999993E-2</v>
      </c>
      <c r="AH1133">
        <v>1.4E-2</v>
      </c>
      <c r="AI1133">
        <v>0.69299999999999995</v>
      </c>
      <c r="AJ1133">
        <v>1.2849999999999999</v>
      </c>
      <c r="AK1133">
        <v>9.645955056</v>
      </c>
      <c r="AL1133">
        <v>0</v>
      </c>
      <c r="AM1133">
        <v>0.12</v>
      </c>
      <c r="AN1133">
        <v>0.88</v>
      </c>
    </row>
    <row r="1134" spans="1:40">
      <c r="A1134">
        <v>3202</v>
      </c>
      <c r="B1134" t="s">
        <v>689</v>
      </c>
      <c r="C1134" t="s">
        <v>687</v>
      </c>
      <c r="D1134" t="s">
        <v>688</v>
      </c>
      <c r="E1134">
        <v>64</v>
      </c>
      <c r="F1134">
        <v>127</v>
      </c>
      <c r="G1134">
        <v>15.86419559</v>
      </c>
      <c r="H1134">
        <v>387</v>
      </c>
      <c r="I1134">
        <v>2.4801245999999999E-2</v>
      </c>
      <c r="J1134">
        <v>514</v>
      </c>
      <c r="K1134">
        <v>20724.765200000002</v>
      </c>
      <c r="L1134">
        <v>0.77200000000000002</v>
      </c>
      <c r="M1134">
        <v>0.85809312599999998</v>
      </c>
      <c r="N1134">
        <v>0</v>
      </c>
      <c r="O1134" t="s">
        <v>606</v>
      </c>
      <c r="P1134">
        <f t="shared" si="155"/>
        <v>11.614404759999999</v>
      </c>
      <c r="Q1134">
        <f t="shared" si="156"/>
        <v>1.9E-2</v>
      </c>
      <c r="R1134">
        <f t="shared" si="157"/>
        <v>3.6999999999999998E-2</v>
      </c>
      <c r="S1134">
        <f t="shared" si="158"/>
        <v>0.77200000000000002</v>
      </c>
      <c r="T1134">
        <f t="shared" si="159"/>
        <v>2.1844999999999999</v>
      </c>
      <c r="U1134">
        <f t="shared" si="160"/>
        <v>7.2117274939999998</v>
      </c>
      <c r="V1134">
        <f t="shared" si="161"/>
        <v>0.106</v>
      </c>
      <c r="W1134">
        <f t="shared" si="162"/>
        <v>2.7E-2</v>
      </c>
      <c r="X1134">
        <f t="shared" si="163"/>
        <v>0.74299999999999999</v>
      </c>
      <c r="Y1134">
        <v>130.18382159999999</v>
      </c>
      <c r="Z1134">
        <v>0</v>
      </c>
      <c r="AA1134">
        <v>454184</v>
      </c>
      <c r="AB1134">
        <v>170596</v>
      </c>
      <c r="AC1134">
        <v>6.5715274000000004E-2</v>
      </c>
      <c r="AD1134">
        <v>0.72549415100000003</v>
      </c>
      <c r="AF1134">
        <v>11.614404759999999</v>
      </c>
      <c r="AG1134">
        <v>1.9E-2</v>
      </c>
      <c r="AH1134">
        <v>3.6999999999999998E-2</v>
      </c>
      <c r="AI1134">
        <v>0.77200000000000002</v>
      </c>
      <c r="AJ1134">
        <v>2.1844999999999999</v>
      </c>
      <c r="AK1134">
        <v>7.2117274939999998</v>
      </c>
      <c r="AL1134">
        <v>0.106</v>
      </c>
      <c r="AM1134">
        <v>2.7E-2</v>
      </c>
      <c r="AN1134">
        <v>0.74299999999999999</v>
      </c>
    </row>
    <row r="1135" spans="1:40">
      <c r="A1135">
        <v>3203</v>
      </c>
      <c r="B1135" t="s">
        <v>689</v>
      </c>
      <c r="C1135" t="s">
        <v>687</v>
      </c>
      <c r="D1135" t="s">
        <v>688</v>
      </c>
      <c r="E1135">
        <v>100</v>
      </c>
      <c r="F1135">
        <v>307</v>
      </c>
      <c r="G1135">
        <v>29.371365140000002</v>
      </c>
      <c r="H1135">
        <v>590</v>
      </c>
      <c r="I1135">
        <v>4.5911078000000001E-2</v>
      </c>
      <c r="J1135">
        <v>897</v>
      </c>
      <c r="K1135">
        <v>19537.768199999999</v>
      </c>
      <c r="L1135">
        <v>0.752</v>
      </c>
      <c r="M1135">
        <v>0.85507246400000003</v>
      </c>
      <c r="N1135">
        <v>0</v>
      </c>
      <c r="O1135" t="s">
        <v>613</v>
      </c>
      <c r="P1135">
        <f t="shared" si="155"/>
        <v>14.12423529</v>
      </c>
      <c r="Q1135">
        <f t="shared" si="156"/>
        <v>4.2999999999999997E-2</v>
      </c>
      <c r="R1135">
        <f t="shared" si="157"/>
        <v>4.1000000000000002E-2</v>
      </c>
      <c r="S1135">
        <f t="shared" si="158"/>
        <v>0.752</v>
      </c>
      <c r="T1135">
        <f t="shared" si="159"/>
        <v>2.0075757580000002</v>
      </c>
      <c r="U1135">
        <f t="shared" si="160"/>
        <v>7.2809484189999996</v>
      </c>
      <c r="V1135">
        <f t="shared" si="161"/>
        <v>9.4E-2</v>
      </c>
      <c r="W1135">
        <f t="shared" si="162"/>
        <v>9.4E-2</v>
      </c>
      <c r="X1135">
        <f t="shared" si="163"/>
        <v>0.72599999999999998</v>
      </c>
      <c r="Y1135">
        <v>129.2754195</v>
      </c>
      <c r="Z1135">
        <v>0</v>
      </c>
      <c r="AA1135">
        <v>454184</v>
      </c>
      <c r="AB1135">
        <v>170596</v>
      </c>
      <c r="AC1135">
        <v>6.5715274000000004E-2</v>
      </c>
      <c r="AD1135">
        <v>0.72549415100000003</v>
      </c>
      <c r="AF1135">
        <v>14.12423529</v>
      </c>
      <c r="AG1135">
        <v>4.2999999999999997E-2</v>
      </c>
      <c r="AH1135">
        <v>4.1000000000000002E-2</v>
      </c>
      <c r="AI1135">
        <v>0.752</v>
      </c>
      <c r="AJ1135">
        <v>2.0075757580000002</v>
      </c>
      <c r="AK1135">
        <v>7.2809484189999996</v>
      </c>
      <c r="AL1135">
        <v>9.4E-2</v>
      </c>
      <c r="AM1135">
        <v>9.4E-2</v>
      </c>
      <c r="AN1135">
        <v>0.72599999999999998</v>
      </c>
    </row>
    <row r="1136" spans="1:40">
      <c r="A1136">
        <v>3204</v>
      </c>
      <c r="B1136" t="s">
        <v>689</v>
      </c>
      <c r="C1136" t="s">
        <v>687</v>
      </c>
      <c r="D1136" t="s">
        <v>688</v>
      </c>
      <c r="E1136">
        <v>0</v>
      </c>
      <c r="F1136">
        <v>20</v>
      </c>
      <c r="G1136">
        <v>20.58021098</v>
      </c>
      <c r="H1136">
        <v>673</v>
      </c>
      <c r="I1136">
        <v>3.2173847999999998E-2</v>
      </c>
      <c r="J1136">
        <v>693</v>
      </c>
      <c r="K1136">
        <v>21539.23273</v>
      </c>
      <c r="L1136">
        <v>0.84499999999999997</v>
      </c>
      <c r="M1136" s="515">
        <v>1</v>
      </c>
      <c r="N1136">
        <v>0</v>
      </c>
      <c r="O1136" t="s">
        <v>613</v>
      </c>
      <c r="P1136">
        <f t="shared" si="155"/>
        <v>13.48206897</v>
      </c>
      <c r="Q1136">
        <f t="shared" si="156"/>
        <v>3.5999999999999997E-2</v>
      </c>
      <c r="R1136">
        <f t="shared" si="157"/>
        <v>2.5999999999999999E-2</v>
      </c>
      <c r="S1136">
        <f t="shared" si="158"/>
        <v>0.84499999999999997</v>
      </c>
      <c r="T1136">
        <f t="shared" si="159"/>
        <v>2.534444444</v>
      </c>
      <c r="U1136">
        <f t="shared" si="160"/>
        <v>8.3261022929999999</v>
      </c>
      <c r="V1136">
        <f t="shared" si="161"/>
        <v>5.6000000000000001E-2</v>
      </c>
      <c r="W1136">
        <f t="shared" si="162"/>
        <v>7.9000000000000001E-2</v>
      </c>
      <c r="X1136">
        <f t="shared" si="163"/>
        <v>0.81899999999999995</v>
      </c>
      <c r="Y1136">
        <v>129.17499789999999</v>
      </c>
      <c r="Z1136">
        <v>0</v>
      </c>
      <c r="AA1136">
        <v>454184</v>
      </c>
      <c r="AB1136">
        <v>170596</v>
      </c>
      <c r="AC1136">
        <v>6.5715274000000004E-2</v>
      </c>
      <c r="AD1136">
        <v>0.72549415100000003</v>
      </c>
      <c r="AF1136">
        <v>13.48206897</v>
      </c>
      <c r="AG1136">
        <v>3.5999999999999997E-2</v>
      </c>
      <c r="AH1136">
        <v>2.5999999999999999E-2</v>
      </c>
      <c r="AI1136">
        <v>0.84499999999999997</v>
      </c>
      <c r="AJ1136">
        <v>2.534444444</v>
      </c>
      <c r="AK1136">
        <v>8.3261022929999999</v>
      </c>
      <c r="AL1136">
        <v>5.6000000000000001E-2</v>
      </c>
      <c r="AM1136">
        <v>7.9000000000000001E-2</v>
      </c>
      <c r="AN1136">
        <v>0.81899999999999995</v>
      </c>
    </row>
    <row r="1137" spans="1:40">
      <c r="A1137">
        <v>3205</v>
      </c>
      <c r="B1137" t="s">
        <v>689</v>
      </c>
      <c r="C1137" t="s">
        <v>687</v>
      </c>
      <c r="D1137" t="s">
        <v>688</v>
      </c>
      <c r="E1137">
        <v>0</v>
      </c>
      <c r="F1137">
        <v>371</v>
      </c>
      <c r="G1137">
        <v>79.828050340000004</v>
      </c>
      <c r="H1137">
        <v>126</v>
      </c>
      <c r="I1137">
        <v>0.12477914700000001</v>
      </c>
      <c r="J1137">
        <v>497</v>
      </c>
      <c r="K1137">
        <v>3983.0373260000001</v>
      </c>
      <c r="L1137">
        <v>0.88500000000000001</v>
      </c>
      <c r="M1137" s="515">
        <v>1</v>
      </c>
      <c r="N1137">
        <v>0</v>
      </c>
      <c r="O1137" t="s">
        <v>613</v>
      </c>
      <c r="P1137">
        <f t="shared" si="155"/>
        <v>24.283636359999999</v>
      </c>
      <c r="Q1137">
        <f t="shared" si="156"/>
        <v>2.5000000000000001E-2</v>
      </c>
      <c r="R1137">
        <f t="shared" si="157"/>
        <v>3.1352808988764011E-2</v>
      </c>
      <c r="S1137">
        <f t="shared" si="158"/>
        <v>0.88500000000000001</v>
      </c>
      <c r="T1137">
        <f t="shared" si="159"/>
        <v>2.2353522564471904</v>
      </c>
      <c r="U1137">
        <f t="shared" si="160"/>
        <v>9.0678723399999992</v>
      </c>
      <c r="V1137">
        <f t="shared" si="161"/>
        <v>6.2414117647058849E-2</v>
      </c>
      <c r="W1137">
        <f t="shared" si="162"/>
        <v>6.7000000000000004E-2</v>
      </c>
      <c r="X1137">
        <f t="shared" si="163"/>
        <v>0.73299999999999998</v>
      </c>
      <c r="Y1137">
        <v>129.2288155</v>
      </c>
      <c r="Z1137">
        <v>0</v>
      </c>
      <c r="AA1137">
        <v>454184</v>
      </c>
      <c r="AB1137">
        <v>170596</v>
      </c>
      <c r="AC1137">
        <v>6.5715274000000004E-2</v>
      </c>
      <c r="AD1137">
        <v>0.72549415100000003</v>
      </c>
      <c r="AF1137">
        <v>24.283636359999999</v>
      </c>
      <c r="AG1137">
        <v>2.5000000000000001E-2</v>
      </c>
      <c r="AH1137">
        <v>0</v>
      </c>
      <c r="AI1137">
        <v>0.88500000000000001</v>
      </c>
      <c r="AK1137">
        <v>9.0678723399999992</v>
      </c>
      <c r="AL1137">
        <v>0</v>
      </c>
      <c r="AM1137">
        <v>6.7000000000000004E-2</v>
      </c>
      <c r="AN1137">
        <v>0.73299999999999998</v>
      </c>
    </row>
    <row r="1138" spans="1:40">
      <c r="A1138">
        <v>3206</v>
      </c>
      <c r="B1138" t="s">
        <v>689</v>
      </c>
      <c r="C1138" t="s">
        <v>687</v>
      </c>
      <c r="D1138" t="s">
        <v>688</v>
      </c>
      <c r="E1138">
        <v>1061</v>
      </c>
      <c r="F1138">
        <v>2354</v>
      </c>
      <c r="G1138">
        <v>106.0816045</v>
      </c>
      <c r="H1138">
        <v>828</v>
      </c>
      <c r="I1138">
        <v>0.16582413200000001</v>
      </c>
      <c r="J1138">
        <v>3182</v>
      </c>
      <c r="K1138">
        <v>19189.004410000001</v>
      </c>
      <c r="L1138">
        <v>0.748</v>
      </c>
      <c r="M1138">
        <v>0.43832715700000002</v>
      </c>
      <c r="N1138">
        <v>0</v>
      </c>
      <c r="O1138" t="s">
        <v>613</v>
      </c>
      <c r="P1138">
        <f t="shared" si="155"/>
        <v>10.55542125</v>
      </c>
      <c r="Q1138">
        <f t="shared" si="156"/>
        <v>7.2999999999999995E-2</v>
      </c>
      <c r="R1138">
        <f t="shared" si="157"/>
        <v>3.1E-2</v>
      </c>
      <c r="S1138">
        <f t="shared" si="158"/>
        <v>0.748</v>
      </c>
      <c r="T1138">
        <f t="shared" si="159"/>
        <v>2.5088333330000001</v>
      </c>
      <c r="U1138">
        <f t="shared" si="160"/>
        <v>6.2990524050000003</v>
      </c>
      <c r="V1138">
        <f t="shared" si="161"/>
        <v>6.4000000000000001E-2</v>
      </c>
      <c r="W1138">
        <f t="shared" si="162"/>
        <v>0.19800000000000001</v>
      </c>
      <c r="X1138">
        <f t="shared" si="163"/>
        <v>0.65200000000000002</v>
      </c>
      <c r="Y1138">
        <v>129.17499789999999</v>
      </c>
      <c r="Z1138">
        <v>0</v>
      </c>
      <c r="AA1138">
        <v>454184</v>
      </c>
      <c r="AB1138">
        <v>170596</v>
      </c>
      <c r="AC1138">
        <v>6.5715274000000004E-2</v>
      </c>
      <c r="AD1138">
        <v>0.72549415100000003</v>
      </c>
      <c r="AF1138">
        <v>10.55542125</v>
      </c>
      <c r="AG1138">
        <v>7.2999999999999995E-2</v>
      </c>
      <c r="AH1138">
        <v>3.1E-2</v>
      </c>
      <c r="AI1138">
        <v>0.748</v>
      </c>
      <c r="AJ1138">
        <v>2.5088333330000001</v>
      </c>
      <c r="AK1138">
        <v>6.2990524050000003</v>
      </c>
      <c r="AL1138">
        <v>6.4000000000000001E-2</v>
      </c>
      <c r="AM1138">
        <v>0.19800000000000001</v>
      </c>
      <c r="AN1138">
        <v>0.65200000000000002</v>
      </c>
    </row>
    <row r="1139" spans="1:40">
      <c r="A1139">
        <v>3207</v>
      </c>
      <c r="B1139" t="s">
        <v>689</v>
      </c>
      <c r="C1139" t="s">
        <v>687</v>
      </c>
      <c r="D1139" t="s">
        <v>688</v>
      </c>
      <c r="E1139">
        <v>615</v>
      </c>
      <c r="F1139">
        <v>1233</v>
      </c>
      <c r="G1139">
        <v>19.481610889999999</v>
      </c>
      <c r="H1139">
        <v>692</v>
      </c>
      <c r="I1139">
        <v>3.0451332000000001E-2</v>
      </c>
      <c r="J1139">
        <v>1925</v>
      </c>
      <c r="K1139">
        <v>63215.625509999998</v>
      </c>
      <c r="L1139">
        <v>0.57999999999999996</v>
      </c>
      <c r="M1139">
        <v>0.52945677099999999</v>
      </c>
      <c r="N1139">
        <v>1</v>
      </c>
      <c r="O1139" t="s">
        <v>606</v>
      </c>
      <c r="P1139">
        <f t="shared" si="155"/>
        <v>10.384</v>
      </c>
      <c r="Q1139">
        <f t="shared" si="156"/>
        <v>0.16700000000000001</v>
      </c>
      <c r="R1139">
        <f t="shared" si="157"/>
        <v>3.3000000000000002E-2</v>
      </c>
      <c r="S1139">
        <f t="shared" si="158"/>
        <v>0.57999999999999996</v>
      </c>
      <c r="T1139">
        <f t="shared" si="159"/>
        <v>2.6152000000000002</v>
      </c>
      <c r="U1139">
        <f t="shared" si="160"/>
        <v>6.3748251749999998</v>
      </c>
      <c r="V1139">
        <f t="shared" si="161"/>
        <v>0.05</v>
      </c>
      <c r="W1139">
        <f t="shared" si="162"/>
        <v>0.32400000000000001</v>
      </c>
      <c r="X1139">
        <f t="shared" si="163"/>
        <v>0.495</v>
      </c>
      <c r="Y1139">
        <v>291.28294</v>
      </c>
      <c r="Z1139">
        <v>0</v>
      </c>
      <c r="AA1139">
        <v>454184</v>
      </c>
      <c r="AB1139">
        <v>170596</v>
      </c>
      <c r="AC1139">
        <v>6.5715274000000004E-2</v>
      </c>
      <c r="AD1139">
        <v>0.72549415100000003</v>
      </c>
      <c r="AF1139">
        <v>10.384</v>
      </c>
      <c r="AG1139">
        <v>0.16700000000000001</v>
      </c>
      <c r="AH1139">
        <v>3.3000000000000002E-2</v>
      </c>
      <c r="AI1139">
        <v>0.57999999999999996</v>
      </c>
      <c r="AJ1139">
        <v>2.6152000000000002</v>
      </c>
      <c r="AK1139">
        <v>6.3748251749999998</v>
      </c>
      <c r="AL1139">
        <v>0.05</v>
      </c>
      <c r="AM1139">
        <v>0.32400000000000001</v>
      </c>
      <c r="AN1139">
        <v>0.495</v>
      </c>
    </row>
    <row r="1140" spans="1:40">
      <c r="A1140">
        <v>3208</v>
      </c>
      <c r="B1140" t="s">
        <v>689</v>
      </c>
      <c r="C1140" t="s">
        <v>687</v>
      </c>
      <c r="D1140" t="s">
        <v>688</v>
      </c>
      <c r="E1140">
        <v>1034</v>
      </c>
      <c r="F1140">
        <v>1525</v>
      </c>
      <c r="G1140">
        <v>16.775777560000002</v>
      </c>
      <c r="H1140">
        <v>1127</v>
      </c>
      <c r="I1140">
        <v>2.6227447000000001E-2</v>
      </c>
      <c r="J1140">
        <v>2652</v>
      </c>
      <c r="K1140">
        <v>101115.446</v>
      </c>
      <c r="L1140">
        <v>0.48399999999999999</v>
      </c>
      <c r="M1140">
        <v>0.52151781600000002</v>
      </c>
      <c r="N1140">
        <v>1</v>
      </c>
      <c r="O1140" t="s">
        <v>606</v>
      </c>
      <c r="P1140">
        <f t="shared" si="155"/>
        <v>12.25018519</v>
      </c>
      <c r="Q1140">
        <f t="shared" si="156"/>
        <v>0.14299999999999999</v>
      </c>
      <c r="R1140">
        <f t="shared" si="157"/>
        <v>3.6999999999999998E-2</v>
      </c>
      <c r="S1140">
        <f t="shared" si="158"/>
        <v>0.48399999999999999</v>
      </c>
      <c r="T1140">
        <f t="shared" si="159"/>
        <v>1.639830508</v>
      </c>
      <c r="U1140">
        <f t="shared" si="160"/>
        <v>7.4362841529999999</v>
      </c>
      <c r="V1140">
        <f t="shared" si="161"/>
        <v>5.8999999999999997E-2</v>
      </c>
      <c r="W1140">
        <f t="shared" si="162"/>
        <v>0.32300000000000001</v>
      </c>
      <c r="X1140">
        <f t="shared" si="163"/>
        <v>0.437</v>
      </c>
      <c r="Y1140">
        <v>242.27454839999999</v>
      </c>
      <c r="Z1140">
        <v>0</v>
      </c>
      <c r="AA1140">
        <v>454184</v>
      </c>
      <c r="AB1140">
        <v>170596</v>
      </c>
      <c r="AC1140">
        <v>6.5715274000000004E-2</v>
      </c>
      <c r="AD1140">
        <v>0.72549415100000003</v>
      </c>
      <c r="AF1140">
        <v>12.25018519</v>
      </c>
      <c r="AG1140">
        <v>0.14299999999999999</v>
      </c>
      <c r="AH1140">
        <v>3.6999999999999998E-2</v>
      </c>
      <c r="AI1140">
        <v>0.48399999999999999</v>
      </c>
      <c r="AJ1140">
        <v>1.639830508</v>
      </c>
      <c r="AK1140">
        <v>7.4362841529999999</v>
      </c>
      <c r="AL1140">
        <v>5.8999999999999997E-2</v>
      </c>
      <c r="AM1140">
        <v>0.32300000000000001</v>
      </c>
      <c r="AN1140">
        <v>0.437</v>
      </c>
    </row>
    <row r="1141" spans="1:40">
      <c r="A1141">
        <v>3209</v>
      </c>
      <c r="B1141" t="s">
        <v>689</v>
      </c>
      <c r="C1141" t="s">
        <v>687</v>
      </c>
      <c r="D1141" t="s">
        <v>688</v>
      </c>
      <c r="E1141">
        <v>0</v>
      </c>
      <c r="F1141">
        <v>0</v>
      </c>
      <c r="G1141">
        <v>22.038239770000001</v>
      </c>
      <c r="H1141">
        <v>238</v>
      </c>
      <c r="I1141">
        <v>3.4453821000000003E-2</v>
      </c>
      <c r="J1141">
        <v>238</v>
      </c>
      <c r="K1141">
        <v>6907.796961</v>
      </c>
      <c r="L1141">
        <v>0.78700000000000003</v>
      </c>
      <c r="M1141" s="515">
        <v>1</v>
      </c>
      <c r="N1141">
        <v>1</v>
      </c>
      <c r="O1141" t="s">
        <v>613</v>
      </c>
      <c r="P1141">
        <f t="shared" si="155"/>
        <v>10.674642860000001</v>
      </c>
      <c r="Q1141">
        <f t="shared" si="156"/>
        <v>6.4000000000000001E-2</v>
      </c>
      <c r="R1141">
        <f t="shared" si="157"/>
        <v>0.01</v>
      </c>
      <c r="S1141">
        <f t="shared" si="158"/>
        <v>0.78700000000000003</v>
      </c>
      <c r="T1141">
        <f t="shared" si="159"/>
        <v>4.9950000000000001</v>
      </c>
      <c r="U1141">
        <f t="shared" si="160"/>
        <v>7.8307284770000001</v>
      </c>
      <c r="V1141">
        <f t="shared" si="161"/>
        <v>5.2999999999999999E-2</v>
      </c>
      <c r="W1141">
        <f t="shared" si="162"/>
        <v>0.158</v>
      </c>
      <c r="X1141">
        <f t="shared" si="163"/>
        <v>0.73699999999999999</v>
      </c>
      <c r="Y1141">
        <v>216.7842321</v>
      </c>
      <c r="Z1141">
        <v>0</v>
      </c>
      <c r="AA1141">
        <v>454184</v>
      </c>
      <c r="AB1141">
        <v>170596</v>
      </c>
      <c r="AC1141">
        <v>6.5715274000000004E-2</v>
      </c>
      <c r="AD1141">
        <v>0.72549415100000003</v>
      </c>
      <c r="AF1141">
        <v>10.674642860000001</v>
      </c>
      <c r="AG1141">
        <v>6.4000000000000001E-2</v>
      </c>
      <c r="AH1141">
        <v>0.01</v>
      </c>
      <c r="AI1141">
        <v>0.78700000000000003</v>
      </c>
      <c r="AJ1141">
        <v>4.9950000000000001</v>
      </c>
      <c r="AK1141">
        <v>7.8307284770000001</v>
      </c>
      <c r="AL1141">
        <v>5.2999999999999999E-2</v>
      </c>
      <c r="AM1141">
        <v>0.158</v>
      </c>
      <c r="AN1141">
        <v>0.73699999999999999</v>
      </c>
    </row>
    <row r="1142" spans="1:40">
      <c r="A1142">
        <v>3210</v>
      </c>
      <c r="B1142" t="s">
        <v>689</v>
      </c>
      <c r="C1142" t="s">
        <v>687</v>
      </c>
      <c r="D1142" t="s">
        <v>688</v>
      </c>
      <c r="E1142">
        <v>65</v>
      </c>
      <c r="F1142">
        <v>160</v>
      </c>
      <c r="G1142">
        <v>7.8739687570000001</v>
      </c>
      <c r="H1142">
        <v>27</v>
      </c>
      <c r="I1142">
        <v>1.2306920000000001E-2</v>
      </c>
      <c r="J1142">
        <v>187</v>
      </c>
      <c r="K1142">
        <v>15194.70347</v>
      </c>
      <c r="L1142">
        <v>0.74</v>
      </c>
      <c r="M1142">
        <v>0.29347826100000002</v>
      </c>
      <c r="N1142">
        <v>0</v>
      </c>
      <c r="O1142" t="s">
        <v>613</v>
      </c>
      <c r="P1142">
        <f t="shared" si="155"/>
        <v>6.6412500000000003</v>
      </c>
      <c r="Q1142">
        <f t="shared" si="156"/>
        <v>5.1999999999999998E-2</v>
      </c>
      <c r="R1142">
        <f t="shared" si="157"/>
        <v>8.3000000000000004E-2</v>
      </c>
      <c r="S1142">
        <f t="shared" si="158"/>
        <v>0.74</v>
      </c>
      <c r="T1142">
        <f t="shared" si="159"/>
        <v>1.4862500000000001</v>
      </c>
      <c r="U1142">
        <f t="shared" si="160"/>
        <v>4.1414084510000002</v>
      </c>
      <c r="V1142">
        <f t="shared" si="161"/>
        <v>0.2</v>
      </c>
      <c r="W1142">
        <f t="shared" si="162"/>
        <v>0.17334782608695659</v>
      </c>
      <c r="X1142">
        <f t="shared" si="163"/>
        <v>0.8</v>
      </c>
      <c r="Y1142">
        <v>178.01449310000001</v>
      </c>
      <c r="Z1142">
        <v>0</v>
      </c>
      <c r="AA1142">
        <v>454184</v>
      </c>
      <c r="AB1142">
        <v>170596</v>
      </c>
      <c r="AC1142">
        <v>6.5715274000000004E-2</v>
      </c>
      <c r="AD1142">
        <v>0.72549415100000003</v>
      </c>
      <c r="AF1142">
        <v>6.6412500000000003</v>
      </c>
      <c r="AG1142">
        <v>5.1999999999999998E-2</v>
      </c>
      <c r="AH1142">
        <v>8.3000000000000004E-2</v>
      </c>
      <c r="AI1142">
        <v>0.74</v>
      </c>
      <c r="AJ1142">
        <v>1.4862500000000001</v>
      </c>
      <c r="AK1142">
        <v>4.1414084510000002</v>
      </c>
      <c r="AL1142">
        <v>0.2</v>
      </c>
      <c r="AM1142">
        <v>0</v>
      </c>
      <c r="AN1142">
        <v>0.8</v>
      </c>
    </row>
    <row r="1143" spans="1:40">
      <c r="A1143">
        <v>3211</v>
      </c>
      <c r="B1143" t="s">
        <v>689</v>
      </c>
      <c r="C1143" t="s">
        <v>687</v>
      </c>
      <c r="D1143" t="s">
        <v>688</v>
      </c>
      <c r="E1143">
        <v>426</v>
      </c>
      <c r="F1143">
        <v>699</v>
      </c>
      <c r="G1143">
        <v>35.586497250000001</v>
      </c>
      <c r="H1143">
        <v>488</v>
      </c>
      <c r="I1143">
        <v>5.5626422000000002E-2</v>
      </c>
      <c r="J1143">
        <v>1187</v>
      </c>
      <c r="K1143">
        <v>21338.780340000001</v>
      </c>
      <c r="L1143">
        <v>0.77</v>
      </c>
      <c r="M1143">
        <v>0.53391684900000003</v>
      </c>
      <c r="N1143">
        <v>0</v>
      </c>
      <c r="O1143" t="s">
        <v>613</v>
      </c>
      <c r="P1143">
        <f t="shared" si="155"/>
        <v>13.07809524</v>
      </c>
      <c r="Q1143">
        <f t="shared" si="156"/>
        <v>3.4000000000000002E-2</v>
      </c>
      <c r="R1143">
        <f t="shared" si="157"/>
        <v>3.5999999999999997E-2</v>
      </c>
      <c r="S1143">
        <f t="shared" si="158"/>
        <v>0.77</v>
      </c>
      <c r="T1143">
        <f t="shared" si="159"/>
        <v>2.3781578950000002</v>
      </c>
      <c r="U1143">
        <f t="shared" si="160"/>
        <v>6.6389607100000001</v>
      </c>
      <c r="V1143">
        <f t="shared" si="161"/>
        <v>0.13100000000000001</v>
      </c>
      <c r="W1143">
        <f t="shared" si="162"/>
        <v>0.115</v>
      </c>
      <c r="X1143">
        <f t="shared" si="163"/>
        <v>0.68899999999999995</v>
      </c>
      <c r="Y1143">
        <v>165.1406226</v>
      </c>
      <c r="Z1143">
        <v>0</v>
      </c>
      <c r="AA1143">
        <v>454184</v>
      </c>
      <c r="AB1143">
        <v>170596</v>
      </c>
      <c r="AC1143">
        <v>6.5715274000000004E-2</v>
      </c>
      <c r="AD1143">
        <v>0.72549415100000003</v>
      </c>
      <c r="AF1143">
        <v>13.07809524</v>
      </c>
      <c r="AG1143">
        <v>3.4000000000000002E-2</v>
      </c>
      <c r="AH1143">
        <v>3.5999999999999997E-2</v>
      </c>
      <c r="AI1143">
        <v>0.77</v>
      </c>
      <c r="AJ1143">
        <v>2.3781578950000002</v>
      </c>
      <c r="AK1143">
        <v>6.6389607100000001</v>
      </c>
      <c r="AL1143">
        <v>0.13100000000000001</v>
      </c>
      <c r="AM1143">
        <v>0.115</v>
      </c>
      <c r="AN1143">
        <v>0.68899999999999995</v>
      </c>
    </row>
    <row r="1144" spans="1:40">
      <c r="A1144">
        <v>3212</v>
      </c>
      <c r="B1144" t="s">
        <v>700</v>
      </c>
      <c r="C1144" t="s">
        <v>687</v>
      </c>
      <c r="D1144" t="s">
        <v>688</v>
      </c>
      <c r="E1144">
        <v>89</v>
      </c>
      <c r="F1144">
        <v>107</v>
      </c>
      <c r="G1144">
        <v>29.475183009999999</v>
      </c>
      <c r="H1144">
        <v>1691</v>
      </c>
      <c r="I1144">
        <v>4.6072936000000002E-2</v>
      </c>
      <c r="J1144">
        <v>1798</v>
      </c>
      <c r="K1144">
        <v>39025.079709999998</v>
      </c>
      <c r="L1144">
        <v>0.77500000000000002</v>
      </c>
      <c r="M1144">
        <v>0.95</v>
      </c>
      <c r="N1144">
        <v>0</v>
      </c>
      <c r="O1144" t="s">
        <v>613</v>
      </c>
      <c r="P1144">
        <f t="shared" si="155"/>
        <v>14.3116129</v>
      </c>
      <c r="Q1144">
        <f t="shared" si="156"/>
        <v>0.05</v>
      </c>
      <c r="R1144">
        <f t="shared" si="157"/>
        <v>3.2000000000000001E-2</v>
      </c>
      <c r="S1144">
        <f t="shared" si="158"/>
        <v>0.77500000000000002</v>
      </c>
      <c r="T1144">
        <f t="shared" si="159"/>
        <v>2.1002000000000001</v>
      </c>
      <c r="U1144">
        <f t="shared" si="160"/>
        <v>7.9488622749999998</v>
      </c>
      <c r="V1144">
        <f t="shared" si="161"/>
        <v>4.9000000000000002E-2</v>
      </c>
      <c r="W1144">
        <f t="shared" si="162"/>
        <v>0.109</v>
      </c>
      <c r="X1144">
        <f t="shared" si="163"/>
        <v>0.81599999999999995</v>
      </c>
      <c r="Y1144">
        <v>163.30515790000001</v>
      </c>
      <c r="Z1144">
        <v>0</v>
      </c>
      <c r="AA1144">
        <v>15503</v>
      </c>
      <c r="AB1144">
        <v>7551</v>
      </c>
      <c r="AC1144">
        <v>4.9459042000000002E-2</v>
      </c>
      <c r="AD1144">
        <v>0.76960973700000002</v>
      </c>
      <c r="AF1144">
        <v>14.3116129</v>
      </c>
      <c r="AG1144">
        <v>0.05</v>
      </c>
      <c r="AH1144">
        <v>3.2000000000000001E-2</v>
      </c>
      <c r="AI1144">
        <v>0.77500000000000002</v>
      </c>
      <c r="AJ1144">
        <v>2.1002000000000001</v>
      </c>
      <c r="AK1144">
        <v>7.9488622749999998</v>
      </c>
      <c r="AL1144">
        <v>4.9000000000000002E-2</v>
      </c>
      <c r="AM1144">
        <v>0.109</v>
      </c>
      <c r="AN1144">
        <v>0.81599999999999995</v>
      </c>
    </row>
    <row r="1145" spans="1:40">
      <c r="A1145">
        <v>3213</v>
      </c>
      <c r="B1145" t="s">
        <v>700</v>
      </c>
      <c r="C1145" t="s">
        <v>687</v>
      </c>
      <c r="D1145" t="s">
        <v>688</v>
      </c>
      <c r="E1145">
        <v>149</v>
      </c>
      <c r="F1145">
        <v>705</v>
      </c>
      <c r="G1145">
        <v>30.666873420000002</v>
      </c>
      <c r="H1145">
        <v>1408</v>
      </c>
      <c r="I1145">
        <v>4.7940286999999998E-2</v>
      </c>
      <c r="J1145">
        <v>2113</v>
      </c>
      <c r="K1145">
        <v>44075.664380000002</v>
      </c>
      <c r="L1145">
        <v>0.79</v>
      </c>
      <c r="M1145">
        <v>0.90430314700000003</v>
      </c>
      <c r="N1145">
        <v>0</v>
      </c>
      <c r="O1145" t="s">
        <v>606</v>
      </c>
      <c r="P1145">
        <f t="shared" si="155"/>
        <v>14.293894740000001</v>
      </c>
      <c r="Q1145">
        <f t="shared" si="156"/>
        <v>4.7E-2</v>
      </c>
      <c r="R1145">
        <f t="shared" si="157"/>
        <v>2.1999999999999999E-2</v>
      </c>
      <c r="S1145">
        <f t="shared" si="158"/>
        <v>0.79</v>
      </c>
      <c r="T1145">
        <f t="shared" si="159"/>
        <v>2.0773333329999999</v>
      </c>
      <c r="U1145">
        <f t="shared" si="160"/>
        <v>9.1540592170000004</v>
      </c>
      <c r="V1145">
        <f t="shared" si="161"/>
        <v>3.6999999999999998E-2</v>
      </c>
      <c r="W1145">
        <f t="shared" si="162"/>
        <v>0.105</v>
      </c>
      <c r="X1145">
        <f t="shared" si="163"/>
        <v>0.80700000000000005</v>
      </c>
      <c r="Y1145">
        <v>167.7258765</v>
      </c>
      <c r="Z1145">
        <v>0</v>
      </c>
      <c r="AA1145">
        <v>15503</v>
      </c>
      <c r="AB1145">
        <v>7551</v>
      </c>
      <c r="AC1145">
        <v>4.9459042000000002E-2</v>
      </c>
      <c r="AD1145">
        <v>0.76960973700000002</v>
      </c>
      <c r="AF1145">
        <v>14.293894740000001</v>
      </c>
      <c r="AG1145">
        <v>4.7E-2</v>
      </c>
      <c r="AH1145">
        <v>2.1999999999999999E-2</v>
      </c>
      <c r="AI1145">
        <v>0.79</v>
      </c>
      <c r="AJ1145">
        <v>2.0773333329999999</v>
      </c>
      <c r="AK1145">
        <v>9.1540592170000004</v>
      </c>
      <c r="AL1145">
        <v>3.6999999999999998E-2</v>
      </c>
      <c r="AM1145">
        <v>0.105</v>
      </c>
      <c r="AN1145">
        <v>0.80700000000000005</v>
      </c>
    </row>
    <row r="1146" spans="1:40">
      <c r="A1146">
        <v>3214</v>
      </c>
      <c r="B1146" t="s">
        <v>700</v>
      </c>
      <c r="C1146" t="s">
        <v>687</v>
      </c>
      <c r="D1146" t="s">
        <v>688</v>
      </c>
      <c r="E1146">
        <v>83</v>
      </c>
      <c r="F1146">
        <v>471</v>
      </c>
      <c r="G1146">
        <v>28.311385659999999</v>
      </c>
      <c r="H1146">
        <v>916</v>
      </c>
      <c r="I1146">
        <v>4.4254960000000003E-2</v>
      </c>
      <c r="J1146">
        <v>1387</v>
      </c>
      <c r="K1146">
        <v>31341.119729999999</v>
      </c>
      <c r="L1146">
        <v>0.72499999999999998</v>
      </c>
      <c r="M1146">
        <v>0.916916917</v>
      </c>
      <c r="N1146">
        <v>0</v>
      </c>
      <c r="O1146" t="s">
        <v>613</v>
      </c>
      <c r="P1146">
        <f t="shared" si="155"/>
        <v>13.20661157</v>
      </c>
      <c r="Q1146">
        <f t="shared" si="156"/>
        <v>4.8000000000000001E-2</v>
      </c>
      <c r="R1146">
        <f t="shared" si="157"/>
        <v>0.03</v>
      </c>
      <c r="S1146">
        <f t="shared" si="158"/>
        <v>0.72499999999999998</v>
      </c>
      <c r="T1146">
        <f t="shared" si="159"/>
        <v>2.1571052630000001</v>
      </c>
      <c r="U1146">
        <f t="shared" si="160"/>
        <v>7.0334517200000004</v>
      </c>
      <c r="V1146">
        <f t="shared" si="161"/>
        <v>0.106</v>
      </c>
      <c r="W1146">
        <f t="shared" si="162"/>
        <v>0.128</v>
      </c>
      <c r="X1146">
        <f t="shared" si="163"/>
        <v>0.67200000000000004</v>
      </c>
      <c r="Y1146">
        <v>661.73126620000005</v>
      </c>
      <c r="Z1146">
        <v>0</v>
      </c>
      <c r="AA1146">
        <v>15503</v>
      </c>
      <c r="AB1146">
        <v>7551</v>
      </c>
      <c r="AC1146">
        <v>4.9459042000000002E-2</v>
      </c>
      <c r="AD1146">
        <v>0.76960973700000002</v>
      </c>
      <c r="AF1146">
        <v>13.20661157</v>
      </c>
      <c r="AG1146">
        <v>4.8000000000000001E-2</v>
      </c>
      <c r="AH1146">
        <v>0.03</v>
      </c>
      <c r="AI1146">
        <v>0.72499999999999998</v>
      </c>
      <c r="AJ1146">
        <v>2.1571052630000001</v>
      </c>
      <c r="AK1146">
        <v>7.0334517200000004</v>
      </c>
      <c r="AL1146">
        <v>0.106</v>
      </c>
      <c r="AM1146">
        <v>0.128</v>
      </c>
      <c r="AN1146">
        <v>0.67200000000000004</v>
      </c>
    </row>
    <row r="1147" spans="1:40">
      <c r="A1147">
        <v>3215</v>
      </c>
      <c r="B1147" t="s">
        <v>700</v>
      </c>
      <c r="C1147" t="s">
        <v>687</v>
      </c>
      <c r="D1147" t="s">
        <v>688</v>
      </c>
      <c r="E1147">
        <v>224</v>
      </c>
      <c r="F1147">
        <v>1859</v>
      </c>
      <c r="G1147">
        <v>32.506245890000002</v>
      </c>
      <c r="H1147">
        <v>341</v>
      </c>
      <c r="I1147">
        <v>5.0813069000000002E-2</v>
      </c>
      <c r="J1147">
        <v>2200</v>
      </c>
      <c r="K1147">
        <v>43295.948129999997</v>
      </c>
      <c r="L1147">
        <v>0.627</v>
      </c>
      <c r="M1147">
        <v>0.60353982299999998</v>
      </c>
      <c r="N1147">
        <v>0</v>
      </c>
      <c r="O1147" t="s">
        <v>613</v>
      </c>
      <c r="P1147">
        <f t="shared" si="155"/>
        <v>9.7266250000000003</v>
      </c>
      <c r="Q1147">
        <f t="shared" si="156"/>
        <v>0.111</v>
      </c>
      <c r="R1147">
        <f t="shared" si="157"/>
        <v>6.4000000000000001E-2</v>
      </c>
      <c r="S1147">
        <f t="shared" si="158"/>
        <v>0.627</v>
      </c>
      <c r="T1147">
        <f t="shared" si="159"/>
        <v>2.2368354429999999</v>
      </c>
      <c r="U1147">
        <f t="shared" si="160"/>
        <v>5.7780559250000003</v>
      </c>
      <c r="V1147">
        <f t="shared" si="161"/>
        <v>0.125</v>
      </c>
      <c r="W1147">
        <f t="shared" si="162"/>
        <v>0.223</v>
      </c>
      <c r="X1147">
        <f t="shared" si="163"/>
        <v>0.48899999999999999</v>
      </c>
      <c r="Y1147">
        <v>188.31577519999999</v>
      </c>
      <c r="Z1147">
        <v>0</v>
      </c>
      <c r="AA1147">
        <v>15503</v>
      </c>
      <c r="AB1147">
        <v>7551</v>
      </c>
      <c r="AC1147">
        <v>4.9459042000000002E-2</v>
      </c>
      <c r="AD1147">
        <v>0.76960973700000002</v>
      </c>
      <c r="AF1147">
        <v>9.7266250000000003</v>
      </c>
      <c r="AG1147">
        <v>0.111</v>
      </c>
      <c r="AH1147">
        <v>6.4000000000000001E-2</v>
      </c>
      <c r="AI1147">
        <v>0.627</v>
      </c>
      <c r="AJ1147">
        <v>2.2368354429999999</v>
      </c>
      <c r="AK1147">
        <v>5.7780559250000003</v>
      </c>
      <c r="AL1147">
        <v>0.125</v>
      </c>
      <c r="AM1147">
        <v>0.223</v>
      </c>
      <c r="AN1147">
        <v>0.48899999999999999</v>
      </c>
    </row>
    <row r="1148" spans="1:40">
      <c r="A1148">
        <v>3216</v>
      </c>
      <c r="B1148" t="s">
        <v>689</v>
      </c>
      <c r="C1148" t="s">
        <v>687</v>
      </c>
      <c r="D1148" t="s">
        <v>688</v>
      </c>
      <c r="E1148">
        <v>218</v>
      </c>
      <c r="F1148">
        <v>487</v>
      </c>
      <c r="G1148">
        <v>18.741851650000001</v>
      </c>
      <c r="H1148">
        <v>147</v>
      </c>
      <c r="I1148">
        <v>2.9296771999999999E-2</v>
      </c>
      <c r="J1148">
        <v>634</v>
      </c>
      <c r="K1148">
        <v>21640.609420000001</v>
      </c>
      <c r="L1148">
        <v>0.79100000000000004</v>
      </c>
      <c r="M1148">
        <v>0.40273972600000002</v>
      </c>
      <c r="N1148">
        <v>0</v>
      </c>
      <c r="O1148" t="s">
        <v>613</v>
      </c>
      <c r="P1148">
        <f t="shared" si="155"/>
        <v>11.466612899999999</v>
      </c>
      <c r="Q1148">
        <f t="shared" si="156"/>
        <v>4.7E-2</v>
      </c>
      <c r="R1148">
        <f t="shared" si="157"/>
        <v>3.4000000000000002E-2</v>
      </c>
      <c r="S1148">
        <f t="shared" si="158"/>
        <v>0.79100000000000004</v>
      </c>
      <c r="T1148">
        <f t="shared" si="159"/>
        <v>2.65</v>
      </c>
      <c r="U1148">
        <f t="shared" si="160"/>
        <v>5.8557630979999997</v>
      </c>
      <c r="V1148">
        <f t="shared" si="161"/>
        <v>6.7000000000000004E-2</v>
      </c>
      <c r="W1148">
        <f t="shared" si="162"/>
        <v>0.2</v>
      </c>
      <c r="X1148">
        <f t="shared" si="163"/>
        <v>0.68899999999999995</v>
      </c>
      <c r="Y1148">
        <v>142.02697749999999</v>
      </c>
      <c r="Z1148">
        <v>0</v>
      </c>
      <c r="AA1148">
        <v>454184</v>
      </c>
      <c r="AB1148">
        <v>170596</v>
      </c>
      <c r="AC1148">
        <v>6.5715274000000004E-2</v>
      </c>
      <c r="AD1148">
        <v>0.72549415100000003</v>
      </c>
      <c r="AF1148">
        <v>11.466612899999999</v>
      </c>
      <c r="AG1148">
        <v>4.7E-2</v>
      </c>
      <c r="AH1148">
        <v>3.4000000000000002E-2</v>
      </c>
      <c r="AI1148">
        <v>0.79100000000000004</v>
      </c>
      <c r="AJ1148">
        <v>2.65</v>
      </c>
      <c r="AK1148">
        <v>5.8557630979999997</v>
      </c>
      <c r="AL1148">
        <v>6.7000000000000004E-2</v>
      </c>
      <c r="AM1148">
        <v>0.2</v>
      </c>
      <c r="AN1148">
        <v>0.68899999999999995</v>
      </c>
    </row>
    <row r="1149" spans="1:40">
      <c r="A1149">
        <v>3217</v>
      </c>
      <c r="B1149" t="s">
        <v>689</v>
      </c>
      <c r="C1149" t="s">
        <v>687</v>
      </c>
      <c r="D1149" t="s">
        <v>688</v>
      </c>
      <c r="E1149">
        <v>275</v>
      </c>
      <c r="F1149">
        <v>628</v>
      </c>
      <c r="G1149">
        <v>41.031945290000003</v>
      </c>
      <c r="H1149">
        <v>284</v>
      </c>
      <c r="I1149">
        <v>6.4142789000000006E-2</v>
      </c>
      <c r="J1149">
        <v>912</v>
      </c>
      <c r="K1149">
        <v>14218.277910000001</v>
      </c>
      <c r="L1149">
        <v>0.73899999999999999</v>
      </c>
      <c r="M1149">
        <v>0.50805008900000004</v>
      </c>
      <c r="N1149">
        <v>1</v>
      </c>
      <c r="O1149" t="s">
        <v>613</v>
      </c>
      <c r="P1149">
        <f t="shared" si="155"/>
        <v>8.4807216489999995</v>
      </c>
      <c r="Q1149">
        <f t="shared" si="156"/>
        <v>7.0000000000000007E-2</v>
      </c>
      <c r="R1149">
        <f t="shared" si="157"/>
        <v>3.3000000000000002E-2</v>
      </c>
      <c r="S1149">
        <f t="shared" si="158"/>
        <v>0.73899999999999999</v>
      </c>
      <c r="T1149">
        <f t="shared" si="159"/>
        <v>2.0690909089999998</v>
      </c>
      <c r="U1149">
        <f t="shared" si="160"/>
        <v>5.6578073770000001</v>
      </c>
      <c r="V1149">
        <f t="shared" si="161"/>
        <v>6.2E-2</v>
      </c>
      <c r="W1149">
        <f t="shared" si="162"/>
        <v>0.214</v>
      </c>
      <c r="X1149">
        <f t="shared" si="163"/>
        <v>0.66900000000000004</v>
      </c>
      <c r="Y1149">
        <v>162.49850660000001</v>
      </c>
      <c r="Z1149">
        <v>0</v>
      </c>
      <c r="AA1149">
        <v>454184</v>
      </c>
      <c r="AB1149">
        <v>170596</v>
      </c>
      <c r="AC1149">
        <v>6.5715274000000004E-2</v>
      </c>
      <c r="AD1149">
        <v>0.72549415100000003</v>
      </c>
      <c r="AF1149">
        <v>8.4807216489999995</v>
      </c>
      <c r="AG1149">
        <v>7.0000000000000007E-2</v>
      </c>
      <c r="AH1149">
        <v>3.3000000000000002E-2</v>
      </c>
      <c r="AI1149">
        <v>0.73899999999999999</v>
      </c>
      <c r="AJ1149">
        <v>2.0690909089999998</v>
      </c>
      <c r="AK1149">
        <v>5.6578073770000001</v>
      </c>
      <c r="AL1149">
        <v>6.2E-2</v>
      </c>
      <c r="AM1149">
        <v>0.214</v>
      </c>
      <c r="AN1149">
        <v>0.66900000000000004</v>
      </c>
    </row>
    <row r="1150" spans="1:40">
      <c r="A1150">
        <v>3218</v>
      </c>
      <c r="B1150" t="s">
        <v>689</v>
      </c>
      <c r="C1150" t="s">
        <v>687</v>
      </c>
      <c r="D1150" t="s">
        <v>688</v>
      </c>
      <c r="E1150">
        <v>511</v>
      </c>
      <c r="F1150">
        <v>1809</v>
      </c>
      <c r="G1150">
        <v>58.166085979999998</v>
      </c>
      <c r="H1150">
        <v>149</v>
      </c>
      <c r="I1150">
        <v>9.0920268999999998E-2</v>
      </c>
      <c r="J1150">
        <v>1958</v>
      </c>
      <c r="K1150">
        <v>21535.352029999998</v>
      </c>
      <c r="L1150">
        <v>0.59899999999999998</v>
      </c>
      <c r="M1150">
        <v>0.22575757599999999</v>
      </c>
      <c r="N1150">
        <v>1</v>
      </c>
      <c r="O1150" t="s">
        <v>606</v>
      </c>
      <c r="P1150">
        <f t="shared" si="155"/>
        <v>7.6427397260000003</v>
      </c>
      <c r="Q1150">
        <f t="shared" si="156"/>
        <v>8.4000000000000005E-2</v>
      </c>
      <c r="R1150">
        <f t="shared" si="157"/>
        <v>2.3E-2</v>
      </c>
      <c r="S1150">
        <f t="shared" si="158"/>
        <v>0.59899999999999998</v>
      </c>
      <c r="T1150">
        <f t="shared" si="159"/>
        <v>1.1120000000000001</v>
      </c>
      <c r="U1150">
        <f t="shared" si="160"/>
        <v>4.8434851490000002</v>
      </c>
      <c r="V1150">
        <f t="shared" si="161"/>
        <v>4.9000000000000002E-2</v>
      </c>
      <c r="W1150">
        <f t="shared" si="162"/>
        <v>0.19500000000000001</v>
      </c>
      <c r="X1150">
        <f t="shared" si="163"/>
        <v>0.59299999999999997</v>
      </c>
      <c r="Y1150">
        <v>105.3935808</v>
      </c>
      <c r="Z1150">
        <v>0</v>
      </c>
      <c r="AA1150">
        <v>454184</v>
      </c>
      <c r="AB1150">
        <v>170596</v>
      </c>
      <c r="AC1150">
        <v>6.5715274000000004E-2</v>
      </c>
      <c r="AD1150">
        <v>0.72549415100000003</v>
      </c>
      <c r="AF1150">
        <v>7.6427397260000003</v>
      </c>
      <c r="AG1150">
        <v>8.4000000000000005E-2</v>
      </c>
      <c r="AH1150">
        <v>2.3E-2</v>
      </c>
      <c r="AI1150">
        <v>0.59899999999999998</v>
      </c>
      <c r="AJ1150">
        <v>1.1120000000000001</v>
      </c>
      <c r="AK1150">
        <v>4.8434851490000002</v>
      </c>
      <c r="AL1150">
        <v>4.9000000000000002E-2</v>
      </c>
      <c r="AM1150">
        <v>0.19500000000000001</v>
      </c>
      <c r="AN1150">
        <v>0.59299999999999997</v>
      </c>
    </row>
    <row r="1151" spans="1:40">
      <c r="A1151">
        <v>3219</v>
      </c>
      <c r="B1151" t="s">
        <v>689</v>
      </c>
      <c r="C1151" t="s">
        <v>687</v>
      </c>
      <c r="D1151" t="s">
        <v>688</v>
      </c>
      <c r="E1151">
        <v>210</v>
      </c>
      <c r="F1151">
        <v>461</v>
      </c>
      <c r="G1151">
        <v>36.314806490000002</v>
      </c>
      <c r="H1151">
        <v>403</v>
      </c>
      <c r="I1151">
        <v>5.6767365E-2</v>
      </c>
      <c r="J1151">
        <v>864</v>
      </c>
      <c r="K1151">
        <v>15220.012409999999</v>
      </c>
      <c r="L1151">
        <v>0.76700000000000002</v>
      </c>
      <c r="M1151">
        <v>0.65742251200000001</v>
      </c>
      <c r="N1151">
        <v>1</v>
      </c>
      <c r="O1151" t="s">
        <v>613</v>
      </c>
      <c r="P1151">
        <f t="shared" si="155"/>
        <v>11.44709091</v>
      </c>
      <c r="Q1151">
        <f t="shared" si="156"/>
        <v>5.2999999999999999E-2</v>
      </c>
      <c r="R1151">
        <f t="shared" si="157"/>
        <v>1.4E-2</v>
      </c>
      <c r="S1151">
        <f t="shared" si="158"/>
        <v>0.76700000000000002</v>
      </c>
      <c r="T1151">
        <f t="shared" si="159"/>
        <v>2.2010000000000001</v>
      </c>
      <c r="U1151">
        <f t="shared" si="160"/>
        <v>6.9951730769999996</v>
      </c>
      <c r="V1151">
        <f t="shared" si="161"/>
        <v>3.4000000000000002E-2</v>
      </c>
      <c r="W1151">
        <f t="shared" si="162"/>
        <v>0.121</v>
      </c>
      <c r="X1151">
        <f t="shared" si="163"/>
        <v>0.73799999999999999</v>
      </c>
      <c r="Y1151">
        <v>83.084187900000003</v>
      </c>
      <c r="Z1151">
        <v>0</v>
      </c>
      <c r="AA1151">
        <v>454184</v>
      </c>
      <c r="AB1151">
        <v>170596</v>
      </c>
      <c r="AC1151">
        <v>6.5715274000000004E-2</v>
      </c>
      <c r="AD1151">
        <v>0.72549415100000003</v>
      </c>
      <c r="AF1151">
        <v>11.44709091</v>
      </c>
      <c r="AG1151">
        <v>5.2999999999999999E-2</v>
      </c>
      <c r="AH1151">
        <v>1.4E-2</v>
      </c>
      <c r="AI1151">
        <v>0.76700000000000002</v>
      </c>
      <c r="AJ1151">
        <v>2.2010000000000001</v>
      </c>
      <c r="AK1151">
        <v>6.9951730769999996</v>
      </c>
      <c r="AL1151">
        <v>3.4000000000000002E-2</v>
      </c>
      <c r="AM1151">
        <v>0.121</v>
      </c>
      <c r="AN1151">
        <v>0.73799999999999999</v>
      </c>
    </row>
    <row r="1152" spans="1:40">
      <c r="A1152">
        <v>3220</v>
      </c>
      <c r="B1152" t="s">
        <v>689</v>
      </c>
      <c r="C1152" t="s">
        <v>687</v>
      </c>
      <c r="D1152" t="s">
        <v>688</v>
      </c>
      <c r="E1152">
        <v>115</v>
      </c>
      <c r="F1152">
        <v>270</v>
      </c>
      <c r="G1152">
        <v>15.08155925</v>
      </c>
      <c r="H1152">
        <v>132</v>
      </c>
      <c r="I1152">
        <v>2.3572406000000001E-2</v>
      </c>
      <c r="J1152">
        <v>402</v>
      </c>
      <c r="K1152">
        <v>17053.83829</v>
      </c>
      <c r="L1152">
        <v>0.66600000000000004</v>
      </c>
      <c r="M1152">
        <v>0.53441295499999997</v>
      </c>
      <c r="N1152">
        <v>1</v>
      </c>
      <c r="O1152" t="s">
        <v>613</v>
      </c>
      <c r="P1152">
        <f t="shared" si="155"/>
        <v>10.86326923</v>
      </c>
      <c r="Q1152">
        <f t="shared" si="156"/>
        <v>0.157</v>
      </c>
      <c r="R1152">
        <f t="shared" si="157"/>
        <v>0.03</v>
      </c>
      <c r="S1152">
        <f t="shared" si="158"/>
        <v>0.66600000000000004</v>
      </c>
      <c r="T1152">
        <f t="shared" si="159"/>
        <v>1.554</v>
      </c>
      <c r="U1152">
        <f t="shared" si="160"/>
        <v>7.4610900469999999</v>
      </c>
      <c r="V1152">
        <f t="shared" si="161"/>
        <v>4.2000000000000003E-2</v>
      </c>
      <c r="W1152">
        <f t="shared" si="162"/>
        <v>0.30499999999999999</v>
      </c>
      <c r="X1152">
        <f t="shared" si="163"/>
        <v>0.54700000000000004</v>
      </c>
      <c r="Y1152">
        <v>82.680230929999993</v>
      </c>
      <c r="Z1152">
        <v>0</v>
      </c>
      <c r="AA1152">
        <v>454184</v>
      </c>
      <c r="AB1152">
        <v>170596</v>
      </c>
      <c r="AC1152">
        <v>6.5715274000000004E-2</v>
      </c>
      <c r="AD1152">
        <v>0.72549415100000003</v>
      </c>
      <c r="AF1152">
        <v>10.86326923</v>
      </c>
      <c r="AG1152">
        <v>0.157</v>
      </c>
      <c r="AH1152">
        <v>0.03</v>
      </c>
      <c r="AI1152">
        <v>0.66600000000000004</v>
      </c>
      <c r="AJ1152">
        <v>1.554</v>
      </c>
      <c r="AK1152">
        <v>7.4610900469999999</v>
      </c>
      <c r="AL1152">
        <v>4.2000000000000003E-2</v>
      </c>
      <c r="AM1152">
        <v>0.30499999999999999</v>
      </c>
      <c r="AN1152">
        <v>0.54700000000000004</v>
      </c>
    </row>
    <row r="1153" spans="1:40">
      <c r="A1153">
        <v>3221</v>
      </c>
      <c r="B1153" t="s">
        <v>689</v>
      </c>
      <c r="C1153" t="s">
        <v>687</v>
      </c>
      <c r="D1153" t="s">
        <v>688</v>
      </c>
      <c r="E1153">
        <v>249</v>
      </c>
      <c r="F1153">
        <v>398</v>
      </c>
      <c r="G1153">
        <v>29.00951105</v>
      </c>
      <c r="H1153">
        <v>4033</v>
      </c>
      <c r="I1153">
        <v>4.5346752999999997E-2</v>
      </c>
      <c r="J1153">
        <v>4431</v>
      </c>
      <c r="K1153">
        <v>97713.721640000003</v>
      </c>
      <c r="L1153">
        <v>0.69099999999999995</v>
      </c>
      <c r="M1153">
        <v>0.94184960299999998</v>
      </c>
      <c r="N1153">
        <v>0</v>
      </c>
      <c r="O1153" t="s">
        <v>606</v>
      </c>
      <c r="P1153">
        <f t="shared" si="155"/>
        <v>13.74372204</v>
      </c>
      <c r="Q1153">
        <f t="shared" si="156"/>
        <v>3.9E-2</v>
      </c>
      <c r="R1153">
        <f t="shared" si="157"/>
        <v>4.9000000000000002E-2</v>
      </c>
      <c r="S1153">
        <f t="shared" si="158"/>
        <v>0.69099999999999995</v>
      </c>
      <c r="T1153">
        <f t="shared" si="159"/>
        <v>2.0386956519999999</v>
      </c>
      <c r="U1153">
        <f t="shared" si="160"/>
        <v>7.7395559059999997</v>
      </c>
      <c r="V1153">
        <f t="shared" si="161"/>
        <v>7.0000000000000007E-2</v>
      </c>
      <c r="W1153">
        <f t="shared" si="162"/>
        <v>9.5000000000000001E-2</v>
      </c>
      <c r="X1153">
        <f t="shared" si="163"/>
        <v>0.71099999999999997</v>
      </c>
      <c r="Y1153">
        <v>175.4409363</v>
      </c>
      <c r="Z1153">
        <v>0</v>
      </c>
      <c r="AA1153">
        <v>454184</v>
      </c>
      <c r="AB1153">
        <v>170596</v>
      </c>
      <c r="AC1153">
        <v>6.5715274000000004E-2</v>
      </c>
      <c r="AD1153">
        <v>0.72549415100000003</v>
      </c>
      <c r="AF1153">
        <v>13.74372204</v>
      </c>
      <c r="AG1153">
        <v>3.9E-2</v>
      </c>
      <c r="AH1153">
        <v>4.9000000000000002E-2</v>
      </c>
      <c r="AI1153">
        <v>0.69099999999999995</v>
      </c>
      <c r="AJ1153">
        <v>2.0386956519999999</v>
      </c>
      <c r="AK1153">
        <v>7.7395559059999997</v>
      </c>
      <c r="AL1153">
        <v>7.0000000000000007E-2</v>
      </c>
      <c r="AM1153">
        <v>9.5000000000000001E-2</v>
      </c>
      <c r="AN1153">
        <v>0.71099999999999997</v>
      </c>
    </row>
    <row r="1154" spans="1:40">
      <c r="A1154">
        <v>3222</v>
      </c>
      <c r="B1154" t="s">
        <v>689</v>
      </c>
      <c r="C1154" t="s">
        <v>687</v>
      </c>
      <c r="D1154" t="s">
        <v>688</v>
      </c>
      <c r="E1154">
        <v>160</v>
      </c>
      <c r="F1154">
        <v>313</v>
      </c>
      <c r="G1154">
        <v>22.93084292</v>
      </c>
      <c r="H1154">
        <v>113</v>
      </c>
      <c r="I1154">
        <v>3.5845312999999997E-2</v>
      </c>
      <c r="J1154">
        <v>426</v>
      </c>
      <c r="K1154">
        <v>11884.398939999999</v>
      </c>
      <c r="L1154">
        <v>0.71899999999999997</v>
      </c>
      <c r="M1154">
        <v>0.41391941399999999</v>
      </c>
      <c r="N1154">
        <v>0</v>
      </c>
      <c r="O1154" t="s">
        <v>613</v>
      </c>
      <c r="P1154">
        <f t="shared" si="155"/>
        <v>15.80970149</v>
      </c>
      <c r="Q1154">
        <f t="shared" si="156"/>
        <v>4.9000000000000002E-2</v>
      </c>
      <c r="R1154">
        <f t="shared" si="157"/>
        <v>3.1E-2</v>
      </c>
      <c r="S1154">
        <f t="shared" si="158"/>
        <v>0.71899999999999997</v>
      </c>
      <c r="T1154">
        <f t="shared" si="159"/>
        <v>1.744</v>
      </c>
      <c r="U1154">
        <f t="shared" si="160"/>
        <v>9.4548898680000004</v>
      </c>
      <c r="V1154">
        <f t="shared" si="161"/>
        <v>4.3999999999999997E-2</v>
      </c>
      <c r="W1154">
        <f t="shared" si="162"/>
        <v>8.8999999999999996E-2</v>
      </c>
      <c r="X1154">
        <f t="shared" si="163"/>
        <v>0.74399999999999999</v>
      </c>
      <c r="Y1154">
        <v>175.6227184</v>
      </c>
      <c r="Z1154">
        <v>0</v>
      </c>
      <c r="AA1154">
        <v>454184</v>
      </c>
      <c r="AB1154">
        <v>170596</v>
      </c>
      <c r="AC1154">
        <v>6.5715274000000004E-2</v>
      </c>
      <c r="AD1154">
        <v>0.72549415100000003</v>
      </c>
      <c r="AF1154">
        <v>15.80970149</v>
      </c>
      <c r="AG1154">
        <v>4.9000000000000002E-2</v>
      </c>
      <c r="AH1154">
        <v>3.1E-2</v>
      </c>
      <c r="AI1154">
        <v>0.71899999999999997</v>
      </c>
      <c r="AJ1154">
        <v>1.744</v>
      </c>
      <c r="AK1154">
        <v>9.4548898680000004</v>
      </c>
      <c r="AL1154">
        <v>4.3999999999999997E-2</v>
      </c>
      <c r="AM1154">
        <v>8.8999999999999996E-2</v>
      </c>
      <c r="AN1154">
        <v>0.74399999999999999</v>
      </c>
    </row>
    <row r="1155" spans="1:40">
      <c r="A1155">
        <v>3223</v>
      </c>
      <c r="B1155" t="s">
        <v>689</v>
      </c>
      <c r="C1155" t="s">
        <v>687</v>
      </c>
      <c r="D1155" t="s">
        <v>688</v>
      </c>
      <c r="E1155">
        <v>168</v>
      </c>
      <c r="F1155">
        <v>430</v>
      </c>
      <c r="G1155">
        <v>15.467271780000001</v>
      </c>
      <c r="H1155">
        <v>13</v>
      </c>
      <c r="I1155">
        <v>2.4179315999999999E-2</v>
      </c>
      <c r="J1155">
        <v>443</v>
      </c>
      <c r="K1155">
        <v>18321.444660000001</v>
      </c>
      <c r="L1155">
        <v>0.67300000000000004</v>
      </c>
      <c r="M1155">
        <v>7.1823204000000002E-2</v>
      </c>
      <c r="N1155">
        <v>1</v>
      </c>
      <c r="O1155" t="s">
        <v>613</v>
      </c>
      <c r="P1155">
        <f t="shared" si="155"/>
        <v>7.1459999999999999</v>
      </c>
      <c r="Q1155">
        <f t="shared" si="156"/>
        <v>0.155</v>
      </c>
      <c r="R1155">
        <f t="shared" si="157"/>
        <v>1.7999999999999999E-2</v>
      </c>
      <c r="S1155">
        <f t="shared" si="158"/>
        <v>0.67300000000000004</v>
      </c>
      <c r="T1155">
        <f t="shared" si="159"/>
        <v>0.40250000000000002</v>
      </c>
      <c r="U1155">
        <f t="shared" si="160"/>
        <v>4.7227611940000003</v>
      </c>
      <c r="V1155">
        <f t="shared" si="161"/>
        <v>6.2414117647058849E-2</v>
      </c>
      <c r="W1155">
        <f t="shared" si="162"/>
        <v>0.54300000000000004</v>
      </c>
      <c r="X1155">
        <f t="shared" si="163"/>
        <v>0.32600000000000001</v>
      </c>
      <c r="Y1155">
        <v>193.94589569999999</v>
      </c>
      <c r="Z1155">
        <v>0</v>
      </c>
      <c r="AA1155">
        <v>454184</v>
      </c>
      <c r="AB1155">
        <v>170596</v>
      </c>
      <c r="AC1155">
        <v>6.5715274000000004E-2</v>
      </c>
      <c r="AD1155">
        <v>0.72549415100000003</v>
      </c>
      <c r="AF1155">
        <v>7.1459999999999999</v>
      </c>
      <c r="AG1155">
        <v>0.155</v>
      </c>
      <c r="AH1155">
        <v>1.7999999999999999E-2</v>
      </c>
      <c r="AI1155">
        <v>0.67300000000000004</v>
      </c>
      <c r="AJ1155">
        <v>0.40250000000000002</v>
      </c>
      <c r="AK1155">
        <v>4.7227611940000003</v>
      </c>
      <c r="AL1155">
        <v>0</v>
      </c>
      <c r="AM1155">
        <v>0.54300000000000004</v>
      </c>
      <c r="AN1155">
        <v>0.32600000000000001</v>
      </c>
    </row>
    <row r="1156" spans="1:40">
      <c r="A1156">
        <v>3224</v>
      </c>
      <c r="B1156" t="s">
        <v>689</v>
      </c>
      <c r="C1156" t="s">
        <v>687</v>
      </c>
      <c r="D1156" t="s">
        <v>688</v>
      </c>
      <c r="E1156">
        <v>122</v>
      </c>
      <c r="F1156">
        <v>309</v>
      </c>
      <c r="G1156">
        <v>21.389005019999999</v>
      </c>
      <c r="H1156">
        <v>76</v>
      </c>
      <c r="I1156">
        <v>3.3437822999999998E-2</v>
      </c>
      <c r="J1156">
        <v>385</v>
      </c>
      <c r="K1156">
        <v>11513.90747</v>
      </c>
      <c r="L1156">
        <v>0.79500000000000004</v>
      </c>
      <c r="M1156">
        <v>0.38383838399999998</v>
      </c>
      <c r="N1156">
        <v>0</v>
      </c>
      <c r="O1156" t="s">
        <v>613</v>
      </c>
      <c r="P1156">
        <f t="shared" si="155"/>
        <v>8.6411538459999999</v>
      </c>
      <c r="Q1156">
        <f t="shared" si="156"/>
        <v>8.9999999999999993E-3</v>
      </c>
      <c r="R1156">
        <f t="shared" si="157"/>
        <v>4.4999999999999998E-2</v>
      </c>
      <c r="S1156">
        <f t="shared" si="158"/>
        <v>0.79500000000000004</v>
      </c>
      <c r="T1156">
        <f t="shared" si="159"/>
        <v>2.379</v>
      </c>
      <c r="U1156">
        <f t="shared" si="160"/>
        <v>5.8189759040000002</v>
      </c>
      <c r="V1156">
        <f t="shared" si="161"/>
        <v>0.111</v>
      </c>
      <c r="W1156">
        <f t="shared" si="162"/>
        <v>5.6000000000000001E-2</v>
      </c>
      <c r="X1156">
        <f t="shared" si="163"/>
        <v>0.72199999999999998</v>
      </c>
      <c r="Y1156">
        <v>193.1566804</v>
      </c>
      <c r="Z1156">
        <v>0</v>
      </c>
      <c r="AA1156">
        <v>454184</v>
      </c>
      <c r="AB1156">
        <v>170596</v>
      </c>
      <c r="AC1156">
        <v>6.5715274000000004E-2</v>
      </c>
      <c r="AD1156">
        <v>0.72549415100000003</v>
      </c>
      <c r="AF1156">
        <v>8.6411538459999999</v>
      </c>
      <c r="AG1156">
        <v>8.9999999999999993E-3</v>
      </c>
      <c r="AH1156">
        <v>4.4999999999999998E-2</v>
      </c>
      <c r="AI1156">
        <v>0.79500000000000004</v>
      </c>
      <c r="AJ1156">
        <v>2.379</v>
      </c>
      <c r="AK1156">
        <v>5.8189759040000002</v>
      </c>
      <c r="AL1156">
        <v>0.111</v>
      </c>
      <c r="AM1156">
        <v>5.6000000000000001E-2</v>
      </c>
      <c r="AN1156">
        <v>0.72199999999999998</v>
      </c>
    </row>
    <row r="1157" spans="1:40">
      <c r="A1157">
        <v>3225</v>
      </c>
      <c r="B1157" t="s">
        <v>689</v>
      </c>
      <c r="C1157" t="s">
        <v>687</v>
      </c>
      <c r="D1157" t="s">
        <v>688</v>
      </c>
      <c r="E1157">
        <v>194</v>
      </c>
      <c r="F1157">
        <v>460</v>
      </c>
      <c r="G1157">
        <v>17.710397239999999</v>
      </c>
      <c r="H1157">
        <v>17</v>
      </c>
      <c r="I1157">
        <v>2.7679044E-2</v>
      </c>
      <c r="J1157">
        <v>477</v>
      </c>
      <c r="K1157">
        <v>17233.254150000001</v>
      </c>
      <c r="L1157">
        <v>0.66800000000000004</v>
      </c>
      <c r="M1157">
        <v>8.0568719999999996E-2</v>
      </c>
      <c r="N1157">
        <v>0</v>
      </c>
      <c r="O1157" t="s">
        <v>613</v>
      </c>
      <c r="P1157">
        <f t="shared" si="155"/>
        <v>8.3828571430000007</v>
      </c>
      <c r="Q1157">
        <f t="shared" si="156"/>
        <v>9.5000000000000001E-2</v>
      </c>
      <c r="R1157">
        <f t="shared" si="157"/>
        <v>6.0999999999999999E-2</v>
      </c>
      <c r="S1157">
        <f t="shared" si="158"/>
        <v>0.66800000000000004</v>
      </c>
      <c r="T1157">
        <f t="shared" si="159"/>
        <v>2.8781249999999998</v>
      </c>
      <c r="U1157">
        <f t="shared" si="160"/>
        <v>4.4389285709999999</v>
      </c>
      <c r="V1157">
        <f t="shared" si="161"/>
        <v>0.219</v>
      </c>
      <c r="W1157">
        <f t="shared" si="162"/>
        <v>0.28100000000000003</v>
      </c>
      <c r="X1157">
        <f t="shared" si="163"/>
        <v>0.438</v>
      </c>
      <c r="Y1157">
        <v>217.7051309</v>
      </c>
      <c r="Z1157">
        <v>0</v>
      </c>
      <c r="AA1157">
        <v>454184</v>
      </c>
      <c r="AB1157">
        <v>170596</v>
      </c>
      <c r="AC1157">
        <v>6.5715274000000004E-2</v>
      </c>
      <c r="AD1157">
        <v>0.72549415100000003</v>
      </c>
      <c r="AF1157">
        <v>8.3828571430000007</v>
      </c>
      <c r="AG1157">
        <v>9.5000000000000001E-2</v>
      </c>
      <c r="AH1157">
        <v>6.0999999999999999E-2</v>
      </c>
      <c r="AI1157">
        <v>0.66800000000000004</v>
      </c>
      <c r="AJ1157">
        <v>2.8781249999999998</v>
      </c>
      <c r="AK1157">
        <v>4.4389285709999999</v>
      </c>
      <c r="AL1157">
        <v>0.219</v>
      </c>
      <c r="AM1157">
        <v>0.28100000000000003</v>
      </c>
      <c r="AN1157">
        <v>0.438</v>
      </c>
    </row>
    <row r="1158" spans="1:40">
      <c r="A1158">
        <v>3226</v>
      </c>
      <c r="B1158" t="s">
        <v>689</v>
      </c>
      <c r="C1158" t="s">
        <v>687</v>
      </c>
      <c r="D1158" t="s">
        <v>688</v>
      </c>
      <c r="E1158">
        <v>924</v>
      </c>
      <c r="F1158">
        <v>1779</v>
      </c>
      <c r="G1158">
        <v>27.69044384</v>
      </c>
      <c r="H1158">
        <v>484</v>
      </c>
      <c r="I1158">
        <v>4.3281646999999999E-2</v>
      </c>
      <c r="J1158">
        <v>2263</v>
      </c>
      <c r="K1158">
        <v>52285.440990000003</v>
      </c>
      <c r="L1158">
        <v>0.72199999999999998</v>
      </c>
      <c r="M1158">
        <v>0.34375</v>
      </c>
      <c r="N1158">
        <v>0</v>
      </c>
      <c r="O1158" t="s">
        <v>613</v>
      </c>
      <c r="P1158">
        <f t="shared" si="155"/>
        <v>10.36895928</v>
      </c>
      <c r="Q1158">
        <f t="shared" si="156"/>
        <v>4.4999999999999998E-2</v>
      </c>
      <c r="R1158">
        <f t="shared" si="157"/>
        <v>3.2000000000000001E-2</v>
      </c>
      <c r="S1158">
        <f t="shared" si="158"/>
        <v>0.72199999999999998</v>
      </c>
      <c r="T1158">
        <f t="shared" si="159"/>
        <v>2.5333999999999999</v>
      </c>
      <c r="U1158">
        <f t="shared" si="160"/>
        <v>5.79607078</v>
      </c>
      <c r="V1158">
        <f t="shared" si="161"/>
        <v>8.2000000000000003E-2</v>
      </c>
      <c r="W1158">
        <f t="shared" si="162"/>
        <v>0.113</v>
      </c>
      <c r="X1158">
        <f t="shared" si="163"/>
        <v>0.69299999999999995</v>
      </c>
      <c r="Y1158">
        <v>229.1205563</v>
      </c>
      <c r="Z1158">
        <v>0</v>
      </c>
      <c r="AA1158">
        <v>454184</v>
      </c>
      <c r="AB1158">
        <v>170596</v>
      </c>
      <c r="AC1158">
        <v>6.5715274000000004E-2</v>
      </c>
      <c r="AD1158">
        <v>0.72549415100000003</v>
      </c>
      <c r="AF1158">
        <v>10.36895928</v>
      </c>
      <c r="AG1158">
        <v>4.4999999999999998E-2</v>
      </c>
      <c r="AH1158">
        <v>3.2000000000000001E-2</v>
      </c>
      <c r="AI1158">
        <v>0.72199999999999998</v>
      </c>
      <c r="AJ1158">
        <v>2.5333999999999999</v>
      </c>
      <c r="AK1158">
        <v>5.79607078</v>
      </c>
      <c r="AL1158">
        <v>8.2000000000000003E-2</v>
      </c>
      <c r="AM1158">
        <v>0.113</v>
      </c>
      <c r="AN1158">
        <v>0.69299999999999995</v>
      </c>
    </row>
    <row r="1159" spans="1:40">
      <c r="A1159">
        <v>3227</v>
      </c>
      <c r="B1159" t="s">
        <v>686</v>
      </c>
      <c r="C1159" t="s">
        <v>687</v>
      </c>
      <c r="D1159" t="s">
        <v>688</v>
      </c>
      <c r="E1159">
        <v>4</v>
      </c>
      <c r="F1159">
        <v>7</v>
      </c>
      <c r="G1159">
        <v>17.030359149999999</v>
      </c>
      <c r="H1159">
        <v>868</v>
      </c>
      <c r="I1159">
        <v>2.6618905000000002E-2</v>
      </c>
      <c r="J1159">
        <v>875</v>
      </c>
      <c r="K1159">
        <v>32871.374689999997</v>
      </c>
      <c r="L1159">
        <v>0.81899999999999995</v>
      </c>
      <c r="M1159">
        <v>0.99541284399999996</v>
      </c>
      <c r="N1159">
        <v>0</v>
      </c>
      <c r="O1159" t="s">
        <v>613</v>
      </c>
      <c r="P1159">
        <f t="shared" si="155"/>
        <v>14.7833913</v>
      </c>
      <c r="Q1159">
        <f t="shared" si="156"/>
        <v>3.3000000000000002E-2</v>
      </c>
      <c r="R1159">
        <f t="shared" si="157"/>
        <v>1.2E-2</v>
      </c>
      <c r="S1159">
        <f t="shared" si="158"/>
        <v>0.81899999999999995</v>
      </c>
      <c r="T1159">
        <f t="shared" si="159"/>
        <v>3.1</v>
      </c>
      <c r="U1159">
        <f t="shared" si="160"/>
        <v>7.9427607360000003</v>
      </c>
      <c r="V1159">
        <f t="shared" si="161"/>
        <v>2.7E-2</v>
      </c>
      <c r="W1159">
        <f t="shared" si="162"/>
        <v>0.107</v>
      </c>
      <c r="X1159">
        <f t="shared" si="163"/>
        <v>0.77200000000000002</v>
      </c>
      <c r="Y1159">
        <v>180.48447920000001</v>
      </c>
      <c r="Z1159">
        <v>1</v>
      </c>
      <c r="AA1159">
        <v>140316</v>
      </c>
      <c r="AB1159">
        <v>49638</v>
      </c>
      <c r="AC1159">
        <v>9.1283894000000004E-2</v>
      </c>
      <c r="AD1159">
        <v>0.60339869999999995</v>
      </c>
      <c r="AF1159">
        <v>14.7833913</v>
      </c>
      <c r="AG1159">
        <v>3.3000000000000002E-2</v>
      </c>
      <c r="AH1159">
        <v>1.2E-2</v>
      </c>
      <c r="AI1159">
        <v>0.81899999999999995</v>
      </c>
      <c r="AJ1159">
        <v>3.1</v>
      </c>
      <c r="AK1159">
        <v>7.9427607360000003</v>
      </c>
      <c r="AL1159">
        <v>2.7E-2</v>
      </c>
      <c r="AM1159">
        <v>0.107</v>
      </c>
      <c r="AN1159">
        <v>0.77200000000000002</v>
      </c>
    </row>
    <row r="1160" spans="1:40">
      <c r="A1160">
        <v>3228</v>
      </c>
      <c r="B1160" t="s">
        <v>686</v>
      </c>
      <c r="C1160" t="s">
        <v>687</v>
      </c>
      <c r="D1160" t="s">
        <v>688</v>
      </c>
      <c r="E1160">
        <v>54</v>
      </c>
      <c r="F1160">
        <v>138</v>
      </c>
      <c r="G1160">
        <v>27.425997980000002</v>
      </c>
      <c r="H1160">
        <v>1507</v>
      </c>
      <c r="I1160">
        <v>4.2875302999999997E-2</v>
      </c>
      <c r="J1160">
        <v>1645</v>
      </c>
      <c r="K1160">
        <v>38367.075799999999</v>
      </c>
      <c r="L1160">
        <v>0.79900000000000004</v>
      </c>
      <c r="M1160">
        <v>0.96540679100000004</v>
      </c>
      <c r="N1160">
        <v>0</v>
      </c>
      <c r="O1160" t="s">
        <v>613</v>
      </c>
      <c r="P1160">
        <f t="shared" si="155"/>
        <v>14.074123220000001</v>
      </c>
      <c r="Q1160">
        <f t="shared" si="156"/>
        <v>3.4000000000000002E-2</v>
      </c>
      <c r="R1160">
        <f t="shared" si="157"/>
        <v>1.4E-2</v>
      </c>
      <c r="S1160">
        <f t="shared" si="158"/>
        <v>0.79900000000000004</v>
      </c>
      <c r="T1160">
        <f t="shared" si="159"/>
        <v>3.2054545449999998</v>
      </c>
      <c r="U1160">
        <f t="shared" si="160"/>
        <v>7.4800324150000002</v>
      </c>
      <c r="V1160">
        <f t="shared" si="161"/>
        <v>3.1E-2</v>
      </c>
      <c r="W1160">
        <f t="shared" si="162"/>
        <v>7.0999999999999994E-2</v>
      </c>
      <c r="X1160">
        <f t="shared" si="163"/>
        <v>0.82699999999999996</v>
      </c>
      <c r="Y1160">
        <v>180.60529220000001</v>
      </c>
      <c r="Z1160">
        <v>1</v>
      </c>
      <c r="AA1160">
        <v>140316</v>
      </c>
      <c r="AB1160">
        <v>49638</v>
      </c>
      <c r="AC1160">
        <v>9.1283894000000004E-2</v>
      </c>
      <c r="AD1160">
        <v>0.60339869999999995</v>
      </c>
      <c r="AF1160">
        <v>14.074123220000001</v>
      </c>
      <c r="AG1160">
        <v>3.4000000000000002E-2</v>
      </c>
      <c r="AH1160">
        <v>1.4E-2</v>
      </c>
      <c r="AI1160">
        <v>0.79900000000000004</v>
      </c>
      <c r="AJ1160">
        <v>3.2054545449999998</v>
      </c>
      <c r="AK1160">
        <v>7.4800324150000002</v>
      </c>
      <c r="AL1160">
        <v>3.1E-2</v>
      </c>
      <c r="AM1160">
        <v>7.0999999999999994E-2</v>
      </c>
      <c r="AN1160">
        <v>0.82699999999999996</v>
      </c>
    </row>
    <row r="1161" spans="1:40">
      <c r="A1161">
        <v>3229</v>
      </c>
      <c r="B1161" t="s">
        <v>686</v>
      </c>
      <c r="C1161" t="s">
        <v>687</v>
      </c>
      <c r="D1161" t="s">
        <v>688</v>
      </c>
      <c r="E1161">
        <v>4</v>
      </c>
      <c r="F1161">
        <v>32</v>
      </c>
      <c r="G1161">
        <v>30.149000860000001</v>
      </c>
      <c r="H1161">
        <v>1641</v>
      </c>
      <c r="I1161">
        <v>4.7127190999999999E-2</v>
      </c>
      <c r="J1161">
        <v>1673</v>
      </c>
      <c r="K1161">
        <v>35499.675759999998</v>
      </c>
      <c r="L1161">
        <v>0.8</v>
      </c>
      <c r="M1161">
        <v>0.997568389</v>
      </c>
      <c r="N1161">
        <v>0</v>
      </c>
      <c r="O1161" t="s">
        <v>613</v>
      </c>
      <c r="P1161">
        <f t="shared" si="155"/>
        <v>14.74363636</v>
      </c>
      <c r="Q1161">
        <f t="shared" si="156"/>
        <v>4.4999999999999998E-2</v>
      </c>
      <c r="R1161">
        <f t="shared" si="157"/>
        <v>3.1E-2</v>
      </c>
      <c r="S1161">
        <f t="shared" si="158"/>
        <v>0.8</v>
      </c>
      <c r="T1161">
        <f t="shared" si="159"/>
        <v>2.4835294120000002</v>
      </c>
      <c r="U1161">
        <f t="shared" si="160"/>
        <v>9.3351966629999996</v>
      </c>
      <c r="V1161">
        <f t="shared" si="161"/>
        <v>8.1000000000000003E-2</v>
      </c>
      <c r="W1161">
        <f t="shared" si="162"/>
        <v>9.2999999999999999E-2</v>
      </c>
      <c r="X1161">
        <f t="shared" si="163"/>
        <v>0.79800000000000004</v>
      </c>
      <c r="Y1161">
        <v>180.44370900000001</v>
      </c>
      <c r="Z1161">
        <v>1</v>
      </c>
      <c r="AA1161">
        <v>140316</v>
      </c>
      <c r="AB1161">
        <v>49638</v>
      </c>
      <c r="AC1161">
        <v>9.1283894000000004E-2</v>
      </c>
      <c r="AD1161">
        <v>0.60339869999999995</v>
      </c>
      <c r="AF1161">
        <v>14.74363636</v>
      </c>
      <c r="AG1161">
        <v>4.4999999999999998E-2</v>
      </c>
      <c r="AH1161">
        <v>3.1E-2</v>
      </c>
      <c r="AI1161">
        <v>0.8</v>
      </c>
      <c r="AJ1161">
        <v>2.4835294120000002</v>
      </c>
      <c r="AK1161">
        <v>9.3351966629999996</v>
      </c>
      <c r="AL1161">
        <v>8.1000000000000003E-2</v>
      </c>
      <c r="AM1161">
        <v>9.2999999999999999E-2</v>
      </c>
      <c r="AN1161">
        <v>0.79800000000000004</v>
      </c>
    </row>
    <row r="1162" spans="1:40">
      <c r="A1162">
        <v>3230</v>
      </c>
      <c r="B1162" t="s">
        <v>689</v>
      </c>
      <c r="C1162" t="s">
        <v>687</v>
      </c>
      <c r="D1162" t="s">
        <v>688</v>
      </c>
      <c r="E1162">
        <v>448</v>
      </c>
      <c r="F1162">
        <v>946</v>
      </c>
      <c r="G1162">
        <v>25.953413099999999</v>
      </c>
      <c r="H1162">
        <v>158</v>
      </c>
      <c r="I1162">
        <v>4.0568488E-2</v>
      </c>
      <c r="J1162">
        <v>1104</v>
      </c>
      <c r="K1162">
        <v>27213.239989999998</v>
      </c>
      <c r="L1162">
        <v>0.69499999999999995</v>
      </c>
      <c r="M1162">
        <v>0.260726073</v>
      </c>
      <c r="N1162">
        <v>1</v>
      </c>
      <c r="O1162" t="s">
        <v>606</v>
      </c>
      <c r="P1162">
        <f t="shared" si="155"/>
        <v>10.43306931</v>
      </c>
      <c r="Q1162">
        <f t="shared" si="156"/>
        <v>0.11700000000000001</v>
      </c>
      <c r="R1162">
        <f t="shared" si="157"/>
        <v>3.5000000000000003E-2</v>
      </c>
      <c r="S1162">
        <f t="shared" si="158"/>
        <v>0.69499999999999995</v>
      </c>
      <c r="T1162">
        <f t="shared" si="159"/>
        <v>2.7637499999999999</v>
      </c>
      <c r="U1162">
        <f t="shared" si="160"/>
        <v>6.3415938860000001</v>
      </c>
      <c r="V1162">
        <f t="shared" si="161"/>
        <v>6.2E-2</v>
      </c>
      <c r="W1162">
        <f t="shared" si="162"/>
        <v>0.248</v>
      </c>
      <c r="X1162">
        <f t="shared" si="163"/>
        <v>0.627</v>
      </c>
      <c r="Y1162">
        <v>113.797759</v>
      </c>
      <c r="Z1162">
        <v>0</v>
      </c>
      <c r="AA1162">
        <v>454184</v>
      </c>
      <c r="AB1162">
        <v>170596</v>
      </c>
      <c r="AC1162">
        <v>6.5715274000000004E-2</v>
      </c>
      <c r="AD1162">
        <v>0.72549415100000003</v>
      </c>
      <c r="AF1162">
        <v>10.43306931</v>
      </c>
      <c r="AG1162">
        <v>0.11700000000000001</v>
      </c>
      <c r="AH1162">
        <v>3.5000000000000003E-2</v>
      </c>
      <c r="AI1162">
        <v>0.69499999999999995</v>
      </c>
      <c r="AJ1162">
        <v>2.7637499999999999</v>
      </c>
      <c r="AK1162">
        <v>6.3415938860000001</v>
      </c>
      <c r="AL1162">
        <v>6.2E-2</v>
      </c>
      <c r="AM1162">
        <v>0.248</v>
      </c>
      <c r="AN1162">
        <v>0.627</v>
      </c>
    </row>
    <row r="1163" spans="1:40">
      <c r="A1163">
        <v>3231</v>
      </c>
      <c r="B1163" t="s">
        <v>689</v>
      </c>
      <c r="C1163" t="s">
        <v>687</v>
      </c>
      <c r="D1163" t="s">
        <v>688</v>
      </c>
      <c r="E1163">
        <v>76</v>
      </c>
      <c r="F1163">
        <v>191</v>
      </c>
      <c r="G1163">
        <v>74.205435429999994</v>
      </c>
      <c r="H1163">
        <v>142</v>
      </c>
      <c r="I1163">
        <v>0.115986692</v>
      </c>
      <c r="J1163">
        <v>333</v>
      </c>
      <c r="K1163">
        <v>2871.0190299999999</v>
      </c>
      <c r="L1163">
        <v>0.79800000000000004</v>
      </c>
      <c r="M1163">
        <v>0.65137614700000002</v>
      </c>
      <c r="N1163">
        <v>0</v>
      </c>
      <c r="O1163" t="s">
        <v>620</v>
      </c>
      <c r="P1163">
        <f t="shared" si="155"/>
        <v>13.54939394</v>
      </c>
      <c r="Q1163">
        <f t="shared" si="156"/>
        <v>2.4E-2</v>
      </c>
      <c r="R1163">
        <f t="shared" si="157"/>
        <v>8.1000000000000003E-2</v>
      </c>
      <c r="S1163">
        <f t="shared" si="158"/>
        <v>0.79800000000000004</v>
      </c>
      <c r="T1163">
        <f t="shared" si="159"/>
        <v>2.62</v>
      </c>
      <c r="U1163">
        <f t="shared" si="160"/>
        <v>8.7885858589999994</v>
      </c>
      <c r="V1163">
        <f t="shared" si="161"/>
        <v>0.19500000000000001</v>
      </c>
      <c r="W1163">
        <f t="shared" si="162"/>
        <v>0.17334782608695659</v>
      </c>
      <c r="X1163">
        <f t="shared" si="163"/>
        <v>0.80500000000000005</v>
      </c>
      <c r="Y1163">
        <v>73.290061499999993</v>
      </c>
      <c r="Z1163">
        <v>0</v>
      </c>
      <c r="AA1163">
        <v>454184</v>
      </c>
      <c r="AB1163">
        <v>170596</v>
      </c>
      <c r="AC1163">
        <v>6.5715274000000004E-2</v>
      </c>
      <c r="AD1163">
        <v>0.72549415100000003</v>
      </c>
      <c r="AF1163">
        <v>13.54939394</v>
      </c>
      <c r="AG1163">
        <v>2.4E-2</v>
      </c>
      <c r="AH1163">
        <v>8.1000000000000003E-2</v>
      </c>
      <c r="AI1163">
        <v>0.79800000000000004</v>
      </c>
      <c r="AJ1163">
        <v>2.62</v>
      </c>
      <c r="AK1163">
        <v>8.7885858589999994</v>
      </c>
      <c r="AL1163">
        <v>0.19500000000000001</v>
      </c>
      <c r="AM1163">
        <v>0</v>
      </c>
      <c r="AN1163">
        <v>0.80500000000000005</v>
      </c>
    </row>
    <row r="1164" spans="1:40">
      <c r="A1164">
        <v>3232</v>
      </c>
      <c r="B1164" t="s">
        <v>689</v>
      </c>
      <c r="C1164" t="s">
        <v>687</v>
      </c>
      <c r="D1164" t="s">
        <v>688</v>
      </c>
      <c r="E1164">
        <v>114</v>
      </c>
      <c r="F1164">
        <v>271</v>
      </c>
      <c r="G1164">
        <v>22.475882389999999</v>
      </c>
      <c r="H1164">
        <v>469</v>
      </c>
      <c r="I1164">
        <v>3.5133000999999997E-2</v>
      </c>
      <c r="J1164">
        <v>740</v>
      </c>
      <c r="K1164">
        <v>21062.81783</v>
      </c>
      <c r="L1164">
        <v>0.77600000000000002</v>
      </c>
      <c r="M1164">
        <v>0.80445969100000003</v>
      </c>
      <c r="N1164">
        <v>1</v>
      </c>
      <c r="O1164" t="s">
        <v>613</v>
      </c>
      <c r="P1164">
        <f t="shared" ref="P1164:P1227" si="164">IF(OR(IFERROR(AF1164=0,TRUE),ISERROR(AF1164)),AVERAGEIFS(AF:AF,$B:$B,$B1164,AF:AF,"&gt;0"),AF1164)</f>
        <v>13.789375</v>
      </c>
      <c r="Q1164">
        <f t="shared" ref="Q1164:Q1227" si="165">IF(OR(IFERROR(AG1164=0,TRUE),ISERROR(AG1164)),AVERAGEIFS(AG:AG,$B:$B,$B1164,AG:AG,"&gt;0"),AG1164)</f>
        <v>8.2000000000000003E-2</v>
      </c>
      <c r="R1164">
        <f t="shared" ref="R1164:R1227" si="166">IF(OR(IFERROR(AH1164=0,TRUE),ISERROR(AH1164)),AVERAGEIFS(AH:AH,$B:$B,$B1164,AH:AH,"&gt;0"),AH1164)</f>
        <v>2.5999999999999999E-2</v>
      </c>
      <c r="S1164">
        <f t="shared" ref="S1164:S1227" si="167">IF(OR(IFERROR(AI1164=0,TRUE),ISERROR(AI1164)),AVERAGEIFS(AI:AI,$B:$B,$B1164,AI:AI,"&gt;0"),AI1164)</f>
        <v>0.77600000000000002</v>
      </c>
      <c r="T1164">
        <f t="shared" ref="T1164:T1227" si="168">IF(OR(IFERROR(AJ1164=0,TRUE),ISERROR(AJ1164)),AVERAGEIFS(AJ:AJ,$B:$B,$B1164,AJ:AJ,"&gt;0"),AJ1164)</f>
        <v>3.315833333</v>
      </c>
      <c r="U1164">
        <f t="shared" ref="U1164:U1227" si="169">IF(OR(IFERROR(AK1164=0,TRUE),ISERROR(AK1164)),AVERAGEIFS(AK:AK,$B:$B,$B1164,AK:AK,"&gt;0"),AK1164)</f>
        <v>8.1522318840000008</v>
      </c>
      <c r="V1164">
        <f t="shared" ref="V1164:V1227" si="170">IF(OR(IFERROR(AL1164=0,TRUE),ISERROR(AL1164)),AVERAGEIFS(AL:AL,$B:$B,$B1164,AL:AL,"&gt;0"),AL1164)</f>
        <v>0.02</v>
      </c>
      <c r="W1164">
        <f t="shared" ref="W1164:W1227" si="171">IF(OR(IFERROR(AM1164=0,TRUE),ISERROR(AM1164)),AVERAGEIFS(AM:AM,$B:$B,$B1164,AM:AM,"&gt;0"),AM1164)</f>
        <v>0.17599999999999999</v>
      </c>
      <c r="X1164">
        <f t="shared" ref="X1164:X1227" si="172">IF(OR(IFERROR(AN1164=0,TRUE),ISERROR(AN1164)),AVERAGEIFS(AN:AN,$B:$B,$B1164,AN:AN,"&gt;0"),AN1164)</f>
        <v>0.75700000000000001</v>
      </c>
      <c r="Y1164">
        <v>172.17900470000001</v>
      </c>
      <c r="Z1164">
        <v>0</v>
      </c>
      <c r="AA1164">
        <v>454184</v>
      </c>
      <c r="AB1164">
        <v>170596</v>
      </c>
      <c r="AC1164">
        <v>6.5715274000000004E-2</v>
      </c>
      <c r="AD1164">
        <v>0.72549415100000003</v>
      </c>
      <c r="AF1164">
        <v>13.789375</v>
      </c>
      <c r="AG1164">
        <v>8.2000000000000003E-2</v>
      </c>
      <c r="AH1164">
        <v>2.5999999999999999E-2</v>
      </c>
      <c r="AI1164">
        <v>0.77600000000000002</v>
      </c>
      <c r="AJ1164">
        <v>3.315833333</v>
      </c>
      <c r="AK1164">
        <v>8.1522318840000008</v>
      </c>
      <c r="AL1164">
        <v>0.02</v>
      </c>
      <c r="AM1164">
        <v>0.17599999999999999</v>
      </c>
      <c r="AN1164">
        <v>0.75700000000000001</v>
      </c>
    </row>
    <row r="1165" spans="1:40">
      <c r="A1165">
        <v>3233</v>
      </c>
      <c r="B1165" t="s">
        <v>689</v>
      </c>
      <c r="C1165" t="s">
        <v>687</v>
      </c>
      <c r="D1165" t="s">
        <v>688</v>
      </c>
      <c r="E1165">
        <v>119</v>
      </c>
      <c r="F1165">
        <v>327</v>
      </c>
      <c r="G1165">
        <v>23.988914040000001</v>
      </c>
      <c r="H1165">
        <v>495</v>
      </c>
      <c r="I1165">
        <v>3.7502074000000003E-2</v>
      </c>
      <c r="J1165">
        <v>822</v>
      </c>
      <c r="K1165">
        <v>21918.78774</v>
      </c>
      <c r="L1165">
        <v>0.74099999999999999</v>
      </c>
      <c r="M1165">
        <v>0.80618892499999995</v>
      </c>
      <c r="N1165">
        <v>1</v>
      </c>
      <c r="O1165" t="s">
        <v>613</v>
      </c>
      <c r="P1165">
        <f t="shared" si="164"/>
        <v>10.61714286</v>
      </c>
      <c r="Q1165">
        <f t="shared" si="165"/>
        <v>5.7000000000000002E-2</v>
      </c>
      <c r="R1165">
        <f t="shared" si="166"/>
        <v>5.0999999999999997E-2</v>
      </c>
      <c r="S1165">
        <f t="shared" si="167"/>
        <v>0.74099999999999999</v>
      </c>
      <c r="T1165">
        <f t="shared" si="168"/>
        <v>2.2179166669999999</v>
      </c>
      <c r="U1165">
        <f t="shared" si="169"/>
        <v>6.9344314870000003</v>
      </c>
      <c r="V1165">
        <f t="shared" si="170"/>
        <v>8.3000000000000004E-2</v>
      </c>
      <c r="W1165">
        <f t="shared" si="171"/>
        <v>0.16700000000000001</v>
      </c>
      <c r="X1165">
        <f t="shared" si="172"/>
        <v>0.65600000000000003</v>
      </c>
      <c r="Y1165">
        <v>172.80341189999999</v>
      </c>
      <c r="Z1165">
        <v>0</v>
      </c>
      <c r="AA1165">
        <v>454184</v>
      </c>
      <c r="AB1165">
        <v>170596</v>
      </c>
      <c r="AC1165">
        <v>6.5715274000000004E-2</v>
      </c>
      <c r="AD1165">
        <v>0.72549415100000003</v>
      </c>
      <c r="AF1165">
        <v>10.61714286</v>
      </c>
      <c r="AG1165">
        <v>5.7000000000000002E-2</v>
      </c>
      <c r="AH1165">
        <v>5.0999999999999997E-2</v>
      </c>
      <c r="AI1165">
        <v>0.74099999999999999</v>
      </c>
      <c r="AJ1165">
        <v>2.2179166669999999</v>
      </c>
      <c r="AK1165">
        <v>6.9344314870000003</v>
      </c>
      <c r="AL1165">
        <v>8.3000000000000004E-2</v>
      </c>
      <c r="AM1165">
        <v>0.16700000000000001</v>
      </c>
      <c r="AN1165">
        <v>0.65600000000000003</v>
      </c>
    </row>
    <row r="1166" spans="1:40">
      <c r="A1166">
        <v>3234</v>
      </c>
      <c r="B1166" t="s">
        <v>686</v>
      </c>
      <c r="C1166" t="s">
        <v>687</v>
      </c>
      <c r="D1166" t="s">
        <v>688</v>
      </c>
      <c r="E1166">
        <v>284</v>
      </c>
      <c r="F1166">
        <v>3644</v>
      </c>
      <c r="G1166">
        <v>30.09409256</v>
      </c>
      <c r="H1166">
        <v>1194</v>
      </c>
      <c r="I1166">
        <v>4.7043201999999999E-2</v>
      </c>
      <c r="J1166">
        <v>4838</v>
      </c>
      <c r="K1166">
        <v>102841.6391</v>
      </c>
      <c r="L1166">
        <v>0.38500000000000001</v>
      </c>
      <c r="M1166">
        <v>0.807848444</v>
      </c>
      <c r="N1166">
        <v>0</v>
      </c>
      <c r="O1166" t="s">
        <v>606</v>
      </c>
      <c r="P1166">
        <f t="shared" si="164"/>
        <v>13.513023260000001</v>
      </c>
      <c r="Q1166">
        <f t="shared" si="165"/>
        <v>0.1</v>
      </c>
      <c r="R1166">
        <f t="shared" si="166"/>
        <v>4.5999999999999999E-2</v>
      </c>
      <c r="S1166">
        <f t="shared" si="167"/>
        <v>0.38500000000000001</v>
      </c>
      <c r="T1166">
        <f t="shared" si="168"/>
        <v>1.459333333</v>
      </c>
      <c r="U1166">
        <f t="shared" si="169"/>
        <v>6.5368472909999999</v>
      </c>
      <c r="V1166">
        <f t="shared" si="170"/>
        <v>0.111</v>
      </c>
      <c r="W1166">
        <f t="shared" si="171"/>
        <v>0.28100000000000003</v>
      </c>
      <c r="X1166">
        <f t="shared" si="172"/>
        <v>0.34799999999999998</v>
      </c>
      <c r="Y1166">
        <v>397.86206429999999</v>
      </c>
      <c r="Z1166">
        <v>1</v>
      </c>
      <c r="AA1166">
        <v>140316</v>
      </c>
      <c r="AB1166">
        <v>49638</v>
      </c>
      <c r="AC1166">
        <v>9.1283894000000004E-2</v>
      </c>
      <c r="AD1166">
        <v>0.60339869999999995</v>
      </c>
      <c r="AF1166">
        <v>13.513023260000001</v>
      </c>
      <c r="AG1166">
        <v>0.1</v>
      </c>
      <c r="AH1166">
        <v>4.5999999999999999E-2</v>
      </c>
      <c r="AI1166">
        <v>0.38500000000000001</v>
      </c>
      <c r="AJ1166">
        <v>1.459333333</v>
      </c>
      <c r="AK1166">
        <v>6.5368472909999999</v>
      </c>
      <c r="AL1166">
        <v>0.111</v>
      </c>
      <c r="AM1166">
        <v>0.28100000000000003</v>
      </c>
      <c r="AN1166">
        <v>0.34799999999999998</v>
      </c>
    </row>
    <row r="1167" spans="1:40">
      <c r="A1167">
        <v>3235</v>
      </c>
      <c r="B1167" t="s">
        <v>686</v>
      </c>
      <c r="C1167" t="s">
        <v>687</v>
      </c>
      <c r="D1167" t="s">
        <v>688</v>
      </c>
      <c r="E1167">
        <v>390</v>
      </c>
      <c r="F1167">
        <v>902</v>
      </c>
      <c r="G1167">
        <v>36.543329409999998</v>
      </c>
      <c r="H1167">
        <v>24</v>
      </c>
      <c r="I1167">
        <v>5.7120491000000002E-2</v>
      </c>
      <c r="J1167">
        <v>926</v>
      </c>
      <c r="K1167">
        <v>16211.345240000001</v>
      </c>
      <c r="L1167">
        <v>0.77400000000000002</v>
      </c>
      <c r="M1167">
        <v>5.7971014000000001E-2</v>
      </c>
      <c r="N1167">
        <v>0</v>
      </c>
      <c r="O1167" t="s">
        <v>613</v>
      </c>
      <c r="P1167">
        <f t="shared" si="164"/>
        <v>9.2354794519999999</v>
      </c>
      <c r="Q1167">
        <f t="shared" si="165"/>
        <v>4.5999999999999999E-2</v>
      </c>
      <c r="R1167">
        <f t="shared" si="166"/>
        <v>2.5999999999999999E-2</v>
      </c>
      <c r="S1167">
        <f t="shared" si="167"/>
        <v>0.77400000000000002</v>
      </c>
      <c r="T1167">
        <f t="shared" si="168"/>
        <v>1.943333333</v>
      </c>
      <c r="U1167">
        <f t="shared" si="169"/>
        <v>4.6943643259999996</v>
      </c>
      <c r="V1167">
        <f t="shared" si="170"/>
        <v>8.2500000000000018E-2</v>
      </c>
      <c r="W1167">
        <f t="shared" si="171"/>
        <v>0.10199999999999999</v>
      </c>
      <c r="X1167">
        <f t="shared" si="172"/>
        <v>0.83</v>
      </c>
      <c r="Y1167">
        <v>207.5803598</v>
      </c>
      <c r="Z1167">
        <v>1</v>
      </c>
      <c r="AA1167">
        <v>140316</v>
      </c>
      <c r="AB1167">
        <v>49638</v>
      </c>
      <c r="AC1167">
        <v>9.1283894000000004E-2</v>
      </c>
      <c r="AD1167">
        <v>0.60339869999999995</v>
      </c>
      <c r="AF1167">
        <v>9.2354794519999999</v>
      </c>
      <c r="AG1167">
        <v>4.5999999999999999E-2</v>
      </c>
      <c r="AH1167">
        <v>2.5999999999999999E-2</v>
      </c>
      <c r="AI1167">
        <v>0.77400000000000002</v>
      </c>
      <c r="AJ1167">
        <v>1.943333333</v>
      </c>
      <c r="AK1167">
        <v>4.6943643259999996</v>
      </c>
      <c r="AL1167">
        <v>0</v>
      </c>
      <c r="AM1167">
        <v>0.10199999999999999</v>
      </c>
      <c r="AN1167">
        <v>0.83</v>
      </c>
    </row>
    <row r="1168" spans="1:40">
      <c r="A1168">
        <v>3236</v>
      </c>
      <c r="B1168" t="s">
        <v>686</v>
      </c>
      <c r="C1168" t="s">
        <v>687</v>
      </c>
      <c r="D1168" t="s">
        <v>688</v>
      </c>
      <c r="E1168">
        <v>398</v>
      </c>
      <c r="F1168">
        <v>921</v>
      </c>
      <c r="G1168">
        <v>35.38615428</v>
      </c>
      <c r="H1168">
        <v>110</v>
      </c>
      <c r="I1168">
        <v>5.5311645E-2</v>
      </c>
      <c r="J1168">
        <v>1031</v>
      </c>
      <c r="K1168">
        <v>18639.836149999999</v>
      </c>
      <c r="L1168">
        <v>0.71899999999999997</v>
      </c>
      <c r="M1168">
        <v>0.216535433</v>
      </c>
      <c r="N1168">
        <v>0</v>
      </c>
      <c r="O1168" t="s">
        <v>613</v>
      </c>
      <c r="P1168">
        <f t="shared" si="164"/>
        <v>9.640283019</v>
      </c>
      <c r="Q1168">
        <f t="shared" si="165"/>
        <v>6.7000000000000004E-2</v>
      </c>
      <c r="R1168">
        <f t="shared" si="166"/>
        <v>2.8000000000000001E-2</v>
      </c>
      <c r="S1168">
        <f t="shared" si="167"/>
        <v>0.71899999999999997</v>
      </c>
      <c r="T1168">
        <f t="shared" si="168"/>
        <v>2.0362499999999999</v>
      </c>
      <c r="U1168">
        <f t="shared" si="169"/>
        <v>5.3747306400000001</v>
      </c>
      <c r="V1168">
        <f t="shared" si="170"/>
        <v>6.6000000000000003E-2</v>
      </c>
      <c r="W1168">
        <f t="shared" si="171"/>
        <v>0.14599999999999999</v>
      </c>
      <c r="X1168">
        <f t="shared" si="172"/>
        <v>0.70199999999999996</v>
      </c>
      <c r="Y1168">
        <v>316.15582439999997</v>
      </c>
      <c r="Z1168">
        <v>1</v>
      </c>
      <c r="AA1168">
        <v>140316</v>
      </c>
      <c r="AB1168">
        <v>49638</v>
      </c>
      <c r="AC1168">
        <v>9.1283894000000004E-2</v>
      </c>
      <c r="AD1168">
        <v>0.60339869999999995</v>
      </c>
      <c r="AF1168">
        <v>9.640283019</v>
      </c>
      <c r="AG1168">
        <v>6.7000000000000004E-2</v>
      </c>
      <c r="AH1168">
        <v>2.8000000000000001E-2</v>
      </c>
      <c r="AI1168">
        <v>0.71899999999999997</v>
      </c>
      <c r="AJ1168">
        <v>2.0362499999999999</v>
      </c>
      <c r="AK1168">
        <v>5.3747306400000001</v>
      </c>
      <c r="AL1168">
        <v>6.6000000000000003E-2</v>
      </c>
      <c r="AM1168">
        <v>0.14599999999999999</v>
      </c>
      <c r="AN1168">
        <v>0.70199999999999996</v>
      </c>
    </row>
    <row r="1169" spans="1:40">
      <c r="A1169">
        <v>3237</v>
      </c>
      <c r="B1169" t="s">
        <v>689</v>
      </c>
      <c r="C1169" t="s">
        <v>687</v>
      </c>
      <c r="D1169" t="s">
        <v>688</v>
      </c>
      <c r="E1169">
        <v>111</v>
      </c>
      <c r="F1169">
        <v>252</v>
      </c>
      <c r="G1169">
        <v>16.241532320000001</v>
      </c>
      <c r="H1169">
        <v>56</v>
      </c>
      <c r="I1169">
        <v>2.5385567000000001E-2</v>
      </c>
      <c r="J1169">
        <v>308</v>
      </c>
      <c r="K1169">
        <v>12132.878500000001</v>
      </c>
      <c r="L1169">
        <v>0.71499999999999997</v>
      </c>
      <c r="M1169">
        <v>0.335329341</v>
      </c>
      <c r="N1169">
        <v>0</v>
      </c>
      <c r="O1169" t="s">
        <v>613</v>
      </c>
      <c r="P1169">
        <f t="shared" si="164"/>
        <v>11.989375000000001</v>
      </c>
      <c r="Q1169">
        <f t="shared" si="165"/>
        <v>3.5000000000000003E-2</v>
      </c>
      <c r="R1169">
        <f t="shared" si="166"/>
        <v>3.5000000000000003E-2</v>
      </c>
      <c r="S1169">
        <f t="shared" si="167"/>
        <v>0.71499999999999997</v>
      </c>
      <c r="T1169">
        <f t="shared" si="168"/>
        <v>2.0150000000000001</v>
      </c>
      <c r="U1169">
        <f t="shared" si="169"/>
        <v>6.4548672570000001</v>
      </c>
      <c r="V1169">
        <f t="shared" si="170"/>
        <v>0.04</v>
      </c>
      <c r="W1169">
        <f t="shared" si="171"/>
        <v>0.17334782608695659</v>
      </c>
      <c r="X1169">
        <f t="shared" si="172"/>
        <v>0.64</v>
      </c>
      <c r="Y1169">
        <v>208.5414055</v>
      </c>
      <c r="Z1169">
        <v>0</v>
      </c>
      <c r="AA1169">
        <v>454184</v>
      </c>
      <c r="AB1169">
        <v>170596</v>
      </c>
      <c r="AC1169">
        <v>6.5715274000000004E-2</v>
      </c>
      <c r="AD1169">
        <v>0.72549415100000003</v>
      </c>
      <c r="AF1169">
        <v>11.989375000000001</v>
      </c>
      <c r="AG1169">
        <v>3.5000000000000003E-2</v>
      </c>
      <c r="AH1169">
        <v>3.5000000000000003E-2</v>
      </c>
      <c r="AI1169">
        <v>0.71499999999999997</v>
      </c>
      <c r="AJ1169">
        <v>2.0150000000000001</v>
      </c>
      <c r="AK1169">
        <v>6.4548672570000001</v>
      </c>
      <c r="AL1169">
        <v>0.04</v>
      </c>
      <c r="AM1169">
        <v>0</v>
      </c>
      <c r="AN1169">
        <v>0.64</v>
      </c>
    </row>
    <row r="1170" spans="1:40">
      <c r="A1170">
        <v>3238</v>
      </c>
      <c r="B1170" t="s">
        <v>689</v>
      </c>
      <c r="C1170" t="s">
        <v>687</v>
      </c>
      <c r="D1170" t="s">
        <v>688</v>
      </c>
      <c r="E1170">
        <v>214</v>
      </c>
      <c r="F1170">
        <v>518</v>
      </c>
      <c r="G1170">
        <v>22.75234712</v>
      </c>
      <c r="H1170">
        <v>116</v>
      </c>
      <c r="I1170">
        <v>3.5565643000000001E-2</v>
      </c>
      <c r="J1170">
        <v>634</v>
      </c>
      <c r="K1170">
        <v>17826.19254</v>
      </c>
      <c r="L1170">
        <v>0.67500000000000004</v>
      </c>
      <c r="M1170">
        <v>0.351515152</v>
      </c>
      <c r="N1170">
        <v>0</v>
      </c>
      <c r="O1170" t="s">
        <v>613</v>
      </c>
      <c r="P1170">
        <f t="shared" si="164"/>
        <v>9.6106779660000008</v>
      </c>
      <c r="Q1170">
        <f t="shared" si="165"/>
        <v>7.0000000000000007E-2</v>
      </c>
      <c r="R1170">
        <f t="shared" si="166"/>
        <v>4.4999999999999998E-2</v>
      </c>
      <c r="S1170">
        <f t="shared" si="167"/>
        <v>0.67500000000000004</v>
      </c>
      <c r="T1170">
        <f t="shared" si="168"/>
        <v>1.256428571</v>
      </c>
      <c r="U1170">
        <f t="shared" si="169"/>
        <v>7.1616666670000004</v>
      </c>
      <c r="V1170">
        <f t="shared" si="170"/>
        <v>0.14599999999999999</v>
      </c>
      <c r="W1170">
        <f t="shared" si="171"/>
        <v>0.156</v>
      </c>
      <c r="X1170">
        <f t="shared" si="172"/>
        <v>0.61499999999999999</v>
      </c>
      <c r="Y1170">
        <v>154.40587830000001</v>
      </c>
      <c r="Z1170">
        <v>0</v>
      </c>
      <c r="AA1170">
        <v>454184</v>
      </c>
      <c r="AB1170">
        <v>170596</v>
      </c>
      <c r="AC1170">
        <v>6.5715274000000004E-2</v>
      </c>
      <c r="AD1170">
        <v>0.72549415100000003</v>
      </c>
      <c r="AF1170">
        <v>9.6106779660000008</v>
      </c>
      <c r="AG1170">
        <v>7.0000000000000007E-2</v>
      </c>
      <c r="AH1170">
        <v>4.4999999999999998E-2</v>
      </c>
      <c r="AI1170">
        <v>0.67500000000000004</v>
      </c>
      <c r="AJ1170">
        <v>1.256428571</v>
      </c>
      <c r="AK1170">
        <v>7.1616666670000004</v>
      </c>
      <c r="AL1170">
        <v>0.14599999999999999</v>
      </c>
      <c r="AM1170">
        <v>0.156</v>
      </c>
      <c r="AN1170">
        <v>0.61499999999999999</v>
      </c>
    </row>
    <row r="1171" spans="1:40">
      <c r="A1171">
        <v>3239</v>
      </c>
      <c r="B1171" t="s">
        <v>686</v>
      </c>
      <c r="C1171" t="s">
        <v>687</v>
      </c>
      <c r="D1171" t="s">
        <v>688</v>
      </c>
      <c r="E1171">
        <v>303</v>
      </c>
      <c r="F1171">
        <v>1601</v>
      </c>
      <c r="G1171">
        <v>10.146927399999999</v>
      </c>
      <c r="H1171">
        <v>119</v>
      </c>
      <c r="I1171">
        <v>1.5862993999999998E-2</v>
      </c>
      <c r="J1171">
        <v>1720</v>
      </c>
      <c r="K1171">
        <v>108428.4593</v>
      </c>
      <c r="L1171">
        <v>0.42699999999999999</v>
      </c>
      <c r="M1171">
        <v>0.28199052099999999</v>
      </c>
      <c r="N1171">
        <v>1</v>
      </c>
      <c r="O1171" t="s">
        <v>606</v>
      </c>
      <c r="P1171">
        <f t="shared" si="164"/>
        <v>10.141454550000001</v>
      </c>
      <c r="Q1171">
        <f t="shared" si="165"/>
        <v>0.128</v>
      </c>
      <c r="R1171">
        <f t="shared" si="166"/>
        <v>5.0999999999999997E-2</v>
      </c>
      <c r="S1171">
        <f t="shared" si="167"/>
        <v>0.42699999999999999</v>
      </c>
      <c r="T1171">
        <f t="shared" si="168"/>
        <v>1.2734210530000001</v>
      </c>
      <c r="U1171">
        <f t="shared" si="169"/>
        <v>5.5981063119999996</v>
      </c>
      <c r="V1171">
        <f t="shared" si="170"/>
        <v>6.7000000000000004E-2</v>
      </c>
      <c r="W1171">
        <f t="shared" si="171"/>
        <v>0.32600000000000001</v>
      </c>
      <c r="X1171">
        <f t="shared" si="172"/>
        <v>0.40699999999999997</v>
      </c>
      <c r="Y1171">
        <v>44.793984090000002</v>
      </c>
      <c r="Z1171">
        <v>1</v>
      </c>
      <c r="AA1171">
        <v>140316</v>
      </c>
      <c r="AB1171">
        <v>49638</v>
      </c>
      <c r="AC1171">
        <v>9.1283894000000004E-2</v>
      </c>
      <c r="AD1171">
        <v>0.60339869999999995</v>
      </c>
      <c r="AF1171">
        <v>10.141454550000001</v>
      </c>
      <c r="AG1171">
        <v>0.128</v>
      </c>
      <c r="AH1171">
        <v>5.0999999999999997E-2</v>
      </c>
      <c r="AI1171">
        <v>0.42699999999999999</v>
      </c>
      <c r="AJ1171">
        <v>1.2734210530000001</v>
      </c>
      <c r="AK1171">
        <v>5.5981063119999996</v>
      </c>
      <c r="AL1171">
        <v>6.7000000000000004E-2</v>
      </c>
      <c r="AM1171">
        <v>0.32600000000000001</v>
      </c>
      <c r="AN1171">
        <v>0.40699999999999997</v>
      </c>
    </row>
    <row r="1172" spans="1:40">
      <c r="A1172">
        <v>3240</v>
      </c>
      <c r="B1172" t="s">
        <v>689</v>
      </c>
      <c r="C1172" t="s">
        <v>687</v>
      </c>
      <c r="D1172" t="s">
        <v>688</v>
      </c>
      <c r="E1172">
        <v>231</v>
      </c>
      <c r="F1172">
        <v>468</v>
      </c>
      <c r="G1172">
        <v>21.452315120000002</v>
      </c>
      <c r="H1172">
        <v>262</v>
      </c>
      <c r="I1172">
        <v>3.3528628999999997E-2</v>
      </c>
      <c r="J1172">
        <v>730</v>
      </c>
      <c r="K1172">
        <v>21772.438119999999</v>
      </c>
      <c r="L1172">
        <v>0.755</v>
      </c>
      <c r="M1172">
        <v>0.53144016199999999</v>
      </c>
      <c r="N1172">
        <v>1</v>
      </c>
      <c r="O1172" t="s">
        <v>606</v>
      </c>
      <c r="P1172">
        <f t="shared" si="164"/>
        <v>7.6265546219999996</v>
      </c>
      <c r="Q1172">
        <f t="shared" si="165"/>
        <v>6.9000000000000006E-2</v>
      </c>
      <c r="R1172">
        <f t="shared" si="166"/>
        <v>5.1999999999999998E-2</v>
      </c>
      <c r="S1172">
        <f t="shared" si="167"/>
        <v>0.755</v>
      </c>
      <c r="T1172">
        <f t="shared" si="168"/>
        <v>2.61</v>
      </c>
      <c r="U1172">
        <f t="shared" si="169"/>
        <v>5.3472423400000002</v>
      </c>
      <c r="V1172">
        <f t="shared" si="170"/>
        <v>0.10199999999999999</v>
      </c>
      <c r="W1172">
        <f t="shared" si="171"/>
        <v>0.214</v>
      </c>
      <c r="X1172">
        <f t="shared" si="172"/>
        <v>0.63600000000000001</v>
      </c>
      <c r="Y1172">
        <v>142.26432639999999</v>
      </c>
      <c r="Z1172">
        <v>0</v>
      </c>
      <c r="AA1172">
        <v>454184</v>
      </c>
      <c r="AB1172">
        <v>170596</v>
      </c>
      <c r="AC1172">
        <v>6.5715274000000004E-2</v>
      </c>
      <c r="AD1172">
        <v>0.72549415100000003</v>
      </c>
      <c r="AF1172">
        <v>7.6265546219999996</v>
      </c>
      <c r="AG1172">
        <v>6.9000000000000006E-2</v>
      </c>
      <c r="AH1172">
        <v>5.1999999999999998E-2</v>
      </c>
      <c r="AI1172">
        <v>0.755</v>
      </c>
      <c r="AJ1172">
        <v>2.61</v>
      </c>
      <c r="AK1172">
        <v>5.3472423400000002</v>
      </c>
      <c r="AL1172">
        <v>0.10199999999999999</v>
      </c>
      <c r="AM1172">
        <v>0.214</v>
      </c>
      <c r="AN1172">
        <v>0.63600000000000001</v>
      </c>
    </row>
    <row r="1173" spans="1:40">
      <c r="A1173">
        <v>3241</v>
      </c>
      <c r="B1173" t="s">
        <v>686</v>
      </c>
      <c r="C1173" t="s">
        <v>687</v>
      </c>
      <c r="D1173" t="s">
        <v>688</v>
      </c>
      <c r="E1173">
        <v>144</v>
      </c>
      <c r="F1173">
        <v>457</v>
      </c>
      <c r="G1173">
        <v>120.64724200000001</v>
      </c>
      <c r="H1173">
        <v>2162</v>
      </c>
      <c r="I1173">
        <v>0.18859432100000001</v>
      </c>
      <c r="J1173">
        <v>2619</v>
      </c>
      <c r="K1173">
        <v>13886.950500000001</v>
      </c>
      <c r="L1173">
        <v>0.83899999999999997</v>
      </c>
      <c r="M1173">
        <v>0.93755420599999995</v>
      </c>
      <c r="N1173">
        <v>0</v>
      </c>
      <c r="O1173" t="s">
        <v>613</v>
      </c>
      <c r="P1173">
        <f t="shared" si="164"/>
        <v>15.27275</v>
      </c>
      <c r="Q1173">
        <f t="shared" si="165"/>
        <v>4.7E-2</v>
      </c>
      <c r="R1173">
        <f t="shared" si="166"/>
        <v>2.1999999999999999E-2</v>
      </c>
      <c r="S1173">
        <f t="shared" si="167"/>
        <v>0.83899999999999997</v>
      </c>
      <c r="T1173">
        <f t="shared" si="168"/>
        <v>2.660238095</v>
      </c>
      <c r="U1173">
        <f t="shared" si="169"/>
        <v>8.6197023430000002</v>
      </c>
      <c r="V1173">
        <f t="shared" si="170"/>
        <v>7.0000000000000007E-2</v>
      </c>
      <c r="W1173">
        <f t="shared" si="171"/>
        <v>0.10199999999999999</v>
      </c>
      <c r="X1173">
        <f t="shared" si="172"/>
        <v>0.8</v>
      </c>
      <c r="Y1173">
        <v>141.52123940000001</v>
      </c>
      <c r="Z1173">
        <v>1</v>
      </c>
      <c r="AA1173">
        <v>140316</v>
      </c>
      <c r="AB1173">
        <v>49638</v>
      </c>
      <c r="AC1173">
        <v>9.1283894000000004E-2</v>
      </c>
      <c r="AD1173">
        <v>0.60339869999999995</v>
      </c>
      <c r="AF1173">
        <v>15.27275</v>
      </c>
      <c r="AG1173">
        <v>4.7E-2</v>
      </c>
      <c r="AH1173">
        <v>2.1999999999999999E-2</v>
      </c>
      <c r="AI1173">
        <v>0.83899999999999997</v>
      </c>
      <c r="AJ1173">
        <v>2.660238095</v>
      </c>
      <c r="AK1173">
        <v>8.6197023430000002</v>
      </c>
      <c r="AL1173">
        <v>7.0000000000000007E-2</v>
      </c>
      <c r="AM1173">
        <v>0.10199999999999999</v>
      </c>
      <c r="AN1173">
        <v>0.8</v>
      </c>
    </row>
    <row r="1174" spans="1:40">
      <c r="A1174">
        <v>3242</v>
      </c>
      <c r="B1174" t="s">
        <v>686</v>
      </c>
      <c r="C1174" t="s">
        <v>687</v>
      </c>
      <c r="D1174" t="s">
        <v>688</v>
      </c>
      <c r="E1174">
        <v>55</v>
      </c>
      <c r="F1174">
        <v>1011</v>
      </c>
      <c r="G1174">
        <v>67.114312709999993</v>
      </c>
      <c r="H1174">
        <v>1608</v>
      </c>
      <c r="I1174">
        <v>0.10491094099999999</v>
      </c>
      <c r="J1174">
        <v>2619</v>
      </c>
      <c r="K1174">
        <v>24964.031159999999</v>
      </c>
      <c r="L1174">
        <v>0.78400000000000003</v>
      </c>
      <c r="M1174">
        <v>0.96692723999999997</v>
      </c>
      <c r="N1174">
        <v>0</v>
      </c>
      <c r="O1174" t="s">
        <v>613</v>
      </c>
      <c r="P1174">
        <f t="shared" si="164"/>
        <v>12.10112971</v>
      </c>
      <c r="Q1174">
        <f t="shared" si="165"/>
        <v>4.9000000000000002E-2</v>
      </c>
      <c r="R1174">
        <f t="shared" si="166"/>
        <v>2.7E-2</v>
      </c>
      <c r="S1174">
        <f t="shared" si="167"/>
        <v>0.78400000000000003</v>
      </c>
      <c r="T1174">
        <f t="shared" si="168"/>
        <v>2.552</v>
      </c>
      <c r="U1174">
        <f t="shared" si="169"/>
        <v>7.5377958449999998</v>
      </c>
      <c r="V1174">
        <f t="shared" si="170"/>
        <v>5.8999999999999997E-2</v>
      </c>
      <c r="W1174">
        <f t="shared" si="171"/>
        <v>0.11700000000000001</v>
      </c>
      <c r="X1174">
        <f t="shared" si="172"/>
        <v>0.73799999999999999</v>
      </c>
      <c r="Y1174">
        <v>141.75009299999999</v>
      </c>
      <c r="Z1174">
        <v>1</v>
      </c>
      <c r="AA1174">
        <v>140316</v>
      </c>
      <c r="AB1174">
        <v>49638</v>
      </c>
      <c r="AC1174">
        <v>9.1283894000000004E-2</v>
      </c>
      <c r="AD1174">
        <v>0.60339869999999995</v>
      </c>
      <c r="AF1174">
        <v>12.10112971</v>
      </c>
      <c r="AG1174">
        <v>4.9000000000000002E-2</v>
      </c>
      <c r="AH1174">
        <v>2.7E-2</v>
      </c>
      <c r="AI1174">
        <v>0.78400000000000003</v>
      </c>
      <c r="AJ1174">
        <v>2.552</v>
      </c>
      <c r="AK1174">
        <v>7.5377958449999998</v>
      </c>
      <c r="AL1174">
        <v>5.8999999999999997E-2</v>
      </c>
      <c r="AM1174">
        <v>0.11700000000000001</v>
      </c>
      <c r="AN1174">
        <v>0.73799999999999999</v>
      </c>
    </row>
    <row r="1175" spans="1:40">
      <c r="A1175">
        <v>3243</v>
      </c>
      <c r="B1175" t="s">
        <v>686</v>
      </c>
      <c r="C1175" t="s">
        <v>687</v>
      </c>
      <c r="D1175" t="s">
        <v>688</v>
      </c>
      <c r="E1175">
        <v>368</v>
      </c>
      <c r="F1175">
        <v>883</v>
      </c>
      <c r="G1175">
        <v>37.362070600000003</v>
      </c>
      <c r="H1175">
        <v>354</v>
      </c>
      <c r="I1175">
        <v>5.8402437000000001E-2</v>
      </c>
      <c r="J1175">
        <v>1237</v>
      </c>
      <c r="K1175">
        <v>21180.62299</v>
      </c>
      <c r="L1175">
        <v>0.78500000000000003</v>
      </c>
      <c r="M1175">
        <v>0.49030470900000001</v>
      </c>
      <c r="N1175">
        <v>0</v>
      </c>
      <c r="O1175" t="s">
        <v>613</v>
      </c>
      <c r="P1175">
        <f t="shared" si="164"/>
        <v>10.55991379</v>
      </c>
      <c r="Q1175">
        <f t="shared" si="165"/>
        <v>0.08</v>
      </c>
      <c r="R1175">
        <f t="shared" si="166"/>
        <v>1.6E-2</v>
      </c>
      <c r="S1175">
        <f t="shared" si="167"/>
        <v>0.78500000000000003</v>
      </c>
      <c r="T1175">
        <f t="shared" si="168"/>
        <v>2.3791666669999998</v>
      </c>
      <c r="U1175">
        <f t="shared" si="169"/>
        <v>6.4305342239999996</v>
      </c>
      <c r="V1175">
        <f t="shared" si="170"/>
        <v>5.2999999999999999E-2</v>
      </c>
      <c r="W1175">
        <f t="shared" si="171"/>
        <v>0.21199999999999999</v>
      </c>
      <c r="X1175">
        <f t="shared" si="172"/>
        <v>0.68200000000000005</v>
      </c>
      <c r="Y1175">
        <v>169.25233249999999</v>
      </c>
      <c r="Z1175">
        <v>1</v>
      </c>
      <c r="AA1175">
        <v>140316</v>
      </c>
      <c r="AB1175">
        <v>49638</v>
      </c>
      <c r="AC1175">
        <v>9.1283894000000004E-2</v>
      </c>
      <c r="AD1175">
        <v>0.60339869999999995</v>
      </c>
      <c r="AF1175">
        <v>10.55991379</v>
      </c>
      <c r="AG1175">
        <v>0.08</v>
      </c>
      <c r="AH1175">
        <v>1.6E-2</v>
      </c>
      <c r="AI1175">
        <v>0.78500000000000003</v>
      </c>
      <c r="AJ1175">
        <v>2.3791666669999998</v>
      </c>
      <c r="AK1175">
        <v>6.4305342239999996</v>
      </c>
      <c r="AL1175">
        <v>5.2999999999999999E-2</v>
      </c>
      <c r="AM1175">
        <v>0.21199999999999999</v>
      </c>
      <c r="AN1175">
        <v>0.68200000000000005</v>
      </c>
    </row>
    <row r="1176" spans="1:40">
      <c r="A1176">
        <v>3244</v>
      </c>
      <c r="B1176" t="s">
        <v>686</v>
      </c>
      <c r="C1176" t="s">
        <v>687</v>
      </c>
      <c r="D1176" t="s">
        <v>688</v>
      </c>
      <c r="E1176">
        <v>313</v>
      </c>
      <c r="F1176">
        <v>655</v>
      </c>
      <c r="G1176">
        <v>30.928920219999998</v>
      </c>
      <c r="H1176">
        <v>115</v>
      </c>
      <c r="I1176">
        <v>4.8346886999999998E-2</v>
      </c>
      <c r="J1176">
        <v>770</v>
      </c>
      <c r="K1176">
        <v>15926.56834</v>
      </c>
      <c r="L1176">
        <v>0.63100000000000001</v>
      </c>
      <c r="M1176">
        <v>0.26869158900000001</v>
      </c>
      <c r="N1176">
        <v>0</v>
      </c>
      <c r="O1176" t="s">
        <v>613</v>
      </c>
      <c r="P1176">
        <f t="shared" si="164"/>
        <v>9.5157575760000004</v>
      </c>
      <c r="Q1176">
        <f t="shared" si="165"/>
        <v>5.1999999999999998E-2</v>
      </c>
      <c r="R1176">
        <f t="shared" si="166"/>
        <v>3.3000000000000002E-2</v>
      </c>
      <c r="S1176">
        <f t="shared" si="167"/>
        <v>0.63100000000000001</v>
      </c>
      <c r="T1176">
        <f t="shared" si="168"/>
        <v>2.398571429</v>
      </c>
      <c r="U1176">
        <f t="shared" si="169"/>
        <v>5.8306399999999998</v>
      </c>
      <c r="V1176">
        <f t="shared" si="170"/>
        <v>6.2E-2</v>
      </c>
      <c r="W1176">
        <f t="shared" si="171"/>
        <v>0.14599999999999999</v>
      </c>
      <c r="X1176">
        <f t="shared" si="172"/>
        <v>0.68799999999999994</v>
      </c>
      <c r="Y1176">
        <v>377.3409509</v>
      </c>
      <c r="Z1176">
        <v>1</v>
      </c>
      <c r="AA1176">
        <v>140316</v>
      </c>
      <c r="AB1176">
        <v>49638</v>
      </c>
      <c r="AC1176">
        <v>9.1283894000000004E-2</v>
      </c>
      <c r="AD1176">
        <v>0.60339869999999995</v>
      </c>
      <c r="AF1176">
        <v>9.5157575760000004</v>
      </c>
      <c r="AG1176">
        <v>5.1999999999999998E-2</v>
      </c>
      <c r="AH1176">
        <v>3.3000000000000002E-2</v>
      </c>
      <c r="AI1176">
        <v>0.63100000000000001</v>
      </c>
      <c r="AJ1176">
        <v>2.398571429</v>
      </c>
      <c r="AK1176">
        <v>5.8306399999999998</v>
      </c>
      <c r="AL1176">
        <v>6.2E-2</v>
      </c>
      <c r="AM1176">
        <v>0.14599999999999999</v>
      </c>
      <c r="AN1176">
        <v>0.68799999999999994</v>
      </c>
    </row>
    <row r="1177" spans="1:40">
      <c r="A1177">
        <v>3245</v>
      </c>
      <c r="B1177" t="s">
        <v>686</v>
      </c>
      <c r="C1177" t="s">
        <v>687</v>
      </c>
      <c r="D1177" t="s">
        <v>688</v>
      </c>
      <c r="E1177">
        <v>167</v>
      </c>
      <c r="F1177">
        <v>338</v>
      </c>
      <c r="G1177">
        <v>7.901105609</v>
      </c>
      <c r="H1177">
        <v>433</v>
      </c>
      <c r="I1177">
        <v>1.2351005E-2</v>
      </c>
      <c r="J1177">
        <v>771</v>
      </c>
      <c r="K1177">
        <v>62424.069940000001</v>
      </c>
      <c r="L1177">
        <v>0.504</v>
      </c>
      <c r="M1177">
        <v>0.72166666700000004</v>
      </c>
      <c r="N1177">
        <v>1</v>
      </c>
      <c r="O1177" t="s">
        <v>606</v>
      </c>
      <c r="P1177">
        <f t="shared" si="164"/>
        <v>15.682</v>
      </c>
      <c r="Q1177">
        <f t="shared" si="165"/>
        <v>9.8000000000000004E-2</v>
      </c>
      <c r="R1177">
        <f t="shared" si="166"/>
        <v>5.8000000000000003E-2</v>
      </c>
      <c r="S1177">
        <f t="shared" si="167"/>
        <v>0.504</v>
      </c>
      <c r="T1177">
        <f t="shared" si="168"/>
        <v>1.157666667</v>
      </c>
      <c r="U1177">
        <f t="shared" si="169"/>
        <v>7.8334817809999997</v>
      </c>
      <c r="V1177">
        <f t="shared" si="170"/>
        <v>6.4000000000000001E-2</v>
      </c>
      <c r="W1177">
        <f t="shared" si="171"/>
        <v>0.255</v>
      </c>
      <c r="X1177">
        <f t="shared" si="172"/>
        <v>0.47899999999999998</v>
      </c>
      <c r="Y1177">
        <v>201.5624966</v>
      </c>
      <c r="Z1177">
        <v>1</v>
      </c>
      <c r="AA1177">
        <v>140316</v>
      </c>
      <c r="AB1177">
        <v>49638</v>
      </c>
      <c r="AC1177">
        <v>9.1283894000000004E-2</v>
      </c>
      <c r="AD1177">
        <v>0.60339869999999995</v>
      </c>
      <c r="AF1177">
        <v>15.682</v>
      </c>
      <c r="AG1177">
        <v>9.8000000000000004E-2</v>
      </c>
      <c r="AH1177">
        <v>5.8000000000000003E-2</v>
      </c>
      <c r="AI1177">
        <v>0.504</v>
      </c>
      <c r="AJ1177">
        <v>1.157666667</v>
      </c>
      <c r="AK1177">
        <v>7.8334817809999997</v>
      </c>
      <c r="AL1177">
        <v>6.4000000000000001E-2</v>
      </c>
      <c r="AM1177">
        <v>0.255</v>
      </c>
      <c r="AN1177">
        <v>0.47899999999999998</v>
      </c>
    </row>
    <row r="1178" spans="1:40">
      <c r="A1178">
        <v>3246</v>
      </c>
      <c r="B1178" t="s">
        <v>686</v>
      </c>
      <c r="C1178" t="s">
        <v>687</v>
      </c>
      <c r="D1178" t="s">
        <v>688</v>
      </c>
      <c r="E1178">
        <v>127</v>
      </c>
      <c r="F1178">
        <v>273</v>
      </c>
      <c r="G1178">
        <v>25.004897209999999</v>
      </c>
      <c r="H1178">
        <v>366</v>
      </c>
      <c r="I1178">
        <v>3.9085382000000002E-2</v>
      </c>
      <c r="J1178">
        <v>639</v>
      </c>
      <c r="K1178">
        <v>16348.823200000001</v>
      </c>
      <c r="L1178">
        <v>0.77400000000000002</v>
      </c>
      <c r="M1178">
        <v>0.74239350900000001</v>
      </c>
      <c r="N1178">
        <v>0</v>
      </c>
      <c r="O1178" t="s">
        <v>613</v>
      </c>
      <c r="P1178">
        <f t="shared" si="164"/>
        <v>14.620327870000001</v>
      </c>
      <c r="Q1178">
        <f t="shared" si="165"/>
        <v>2.4E-2</v>
      </c>
      <c r="R1178">
        <f t="shared" si="166"/>
        <v>3.6999999999999998E-2</v>
      </c>
      <c r="S1178">
        <f t="shared" si="167"/>
        <v>0.77400000000000002</v>
      </c>
      <c r="T1178">
        <f t="shared" si="168"/>
        <v>2.5950000000000002</v>
      </c>
      <c r="U1178">
        <f t="shared" si="169"/>
        <v>6.2213537910000003</v>
      </c>
      <c r="V1178">
        <f t="shared" si="170"/>
        <v>4.1000000000000002E-2</v>
      </c>
      <c r="W1178">
        <f t="shared" si="171"/>
        <v>9.5000000000000001E-2</v>
      </c>
      <c r="X1178">
        <f t="shared" si="172"/>
        <v>0.82399999999999995</v>
      </c>
      <c r="Y1178">
        <v>125.9184113</v>
      </c>
      <c r="Z1178">
        <v>1</v>
      </c>
      <c r="AA1178">
        <v>140316</v>
      </c>
      <c r="AB1178">
        <v>49638</v>
      </c>
      <c r="AC1178">
        <v>9.1283894000000004E-2</v>
      </c>
      <c r="AD1178">
        <v>0.60339869999999995</v>
      </c>
      <c r="AF1178">
        <v>14.620327870000001</v>
      </c>
      <c r="AG1178">
        <v>2.4E-2</v>
      </c>
      <c r="AH1178">
        <v>3.6999999999999998E-2</v>
      </c>
      <c r="AI1178">
        <v>0.77400000000000002</v>
      </c>
      <c r="AJ1178">
        <v>2.5950000000000002</v>
      </c>
      <c r="AK1178">
        <v>6.2213537910000003</v>
      </c>
      <c r="AL1178">
        <v>4.1000000000000002E-2</v>
      </c>
      <c r="AM1178">
        <v>9.5000000000000001E-2</v>
      </c>
      <c r="AN1178">
        <v>0.82399999999999995</v>
      </c>
    </row>
    <row r="1179" spans="1:40">
      <c r="A1179">
        <v>3247</v>
      </c>
      <c r="B1179" t="s">
        <v>686</v>
      </c>
      <c r="C1179" t="s">
        <v>687</v>
      </c>
      <c r="D1179" t="s">
        <v>688</v>
      </c>
      <c r="E1179">
        <v>236</v>
      </c>
      <c r="F1179">
        <v>546</v>
      </c>
      <c r="G1179">
        <v>40.015604600000003</v>
      </c>
      <c r="H1179">
        <v>8</v>
      </c>
      <c r="I1179">
        <v>6.2554724000000006E-2</v>
      </c>
      <c r="J1179">
        <v>554</v>
      </c>
      <c r="K1179">
        <v>8856.2456129999991</v>
      </c>
      <c r="L1179">
        <v>0.68700000000000006</v>
      </c>
      <c r="M1179">
        <v>3.2786885000000002E-2</v>
      </c>
      <c r="N1179">
        <v>0</v>
      </c>
      <c r="O1179" t="s">
        <v>613</v>
      </c>
      <c r="P1179">
        <f t="shared" si="164"/>
        <v>7.6325000000000003</v>
      </c>
      <c r="Q1179">
        <f t="shared" si="165"/>
        <v>7.6999999999999999E-2</v>
      </c>
      <c r="R1179">
        <f t="shared" si="166"/>
        <v>5.8000000000000003E-2</v>
      </c>
      <c r="S1179">
        <f t="shared" si="167"/>
        <v>0.68700000000000006</v>
      </c>
      <c r="T1179">
        <f t="shared" si="168"/>
        <v>2.6016666669999999</v>
      </c>
      <c r="U1179">
        <f t="shared" si="169"/>
        <v>5.6224875619999999</v>
      </c>
      <c r="V1179">
        <f t="shared" si="170"/>
        <v>0.108</v>
      </c>
      <c r="W1179">
        <f t="shared" si="171"/>
        <v>0.246</v>
      </c>
      <c r="X1179">
        <f t="shared" si="172"/>
        <v>0.61499999999999999</v>
      </c>
      <c r="Y1179">
        <v>110.869288</v>
      </c>
      <c r="Z1179">
        <v>1</v>
      </c>
      <c r="AA1179">
        <v>140316</v>
      </c>
      <c r="AB1179">
        <v>49638</v>
      </c>
      <c r="AC1179">
        <v>9.1283894000000004E-2</v>
      </c>
      <c r="AD1179">
        <v>0.60339869999999995</v>
      </c>
      <c r="AF1179">
        <v>7.6325000000000003</v>
      </c>
      <c r="AG1179">
        <v>7.6999999999999999E-2</v>
      </c>
      <c r="AH1179">
        <v>5.8000000000000003E-2</v>
      </c>
      <c r="AI1179">
        <v>0.68700000000000006</v>
      </c>
      <c r="AJ1179">
        <v>2.6016666669999999</v>
      </c>
      <c r="AK1179">
        <v>5.6224875619999999</v>
      </c>
      <c r="AL1179">
        <v>0.108</v>
      </c>
      <c r="AM1179">
        <v>0.246</v>
      </c>
      <c r="AN1179">
        <v>0.61499999999999999</v>
      </c>
    </row>
    <row r="1180" spans="1:40">
      <c r="A1180">
        <v>3248</v>
      </c>
      <c r="B1180" t="s">
        <v>686</v>
      </c>
      <c r="C1180" t="s">
        <v>687</v>
      </c>
      <c r="D1180" t="s">
        <v>688</v>
      </c>
      <c r="E1180">
        <v>137</v>
      </c>
      <c r="F1180">
        <v>277</v>
      </c>
      <c r="G1180">
        <v>14.66177704</v>
      </c>
      <c r="H1180">
        <v>197</v>
      </c>
      <c r="I1180">
        <v>2.2920386000000001E-2</v>
      </c>
      <c r="J1180">
        <v>474</v>
      </c>
      <c r="K1180">
        <v>20680.279989999999</v>
      </c>
      <c r="L1180">
        <v>0.627</v>
      </c>
      <c r="M1180">
        <v>0.58982035899999996</v>
      </c>
      <c r="N1180">
        <v>0</v>
      </c>
      <c r="O1180" t="s">
        <v>606</v>
      </c>
      <c r="P1180">
        <f t="shared" si="164"/>
        <v>14.041142860000001</v>
      </c>
      <c r="Q1180">
        <f t="shared" si="165"/>
        <v>4.3999999999999997E-2</v>
      </c>
      <c r="R1180">
        <f t="shared" si="166"/>
        <v>6.9000000000000006E-2</v>
      </c>
      <c r="S1180">
        <f t="shared" si="167"/>
        <v>0.627</v>
      </c>
      <c r="T1180">
        <f t="shared" si="168"/>
        <v>1.565714286</v>
      </c>
      <c r="U1180">
        <f t="shared" si="169"/>
        <v>7.2634710739999999</v>
      </c>
      <c r="V1180">
        <f t="shared" si="170"/>
        <v>0.11899999999999999</v>
      </c>
      <c r="W1180">
        <f t="shared" si="171"/>
        <v>0.09</v>
      </c>
      <c r="X1180">
        <f t="shared" si="172"/>
        <v>0.52200000000000002</v>
      </c>
      <c r="Y1180">
        <v>209.00597329999999</v>
      </c>
      <c r="Z1180">
        <v>1</v>
      </c>
      <c r="AA1180">
        <v>140316</v>
      </c>
      <c r="AB1180">
        <v>49638</v>
      </c>
      <c r="AC1180">
        <v>9.1283894000000004E-2</v>
      </c>
      <c r="AD1180">
        <v>0.60339869999999995</v>
      </c>
      <c r="AF1180">
        <v>14.041142860000001</v>
      </c>
      <c r="AG1180">
        <v>4.3999999999999997E-2</v>
      </c>
      <c r="AH1180">
        <v>6.9000000000000006E-2</v>
      </c>
      <c r="AI1180">
        <v>0.627</v>
      </c>
      <c r="AJ1180">
        <v>1.565714286</v>
      </c>
      <c r="AK1180">
        <v>7.2634710739999999</v>
      </c>
      <c r="AL1180">
        <v>0.11899999999999999</v>
      </c>
      <c r="AM1180">
        <v>0.09</v>
      </c>
      <c r="AN1180">
        <v>0.52200000000000002</v>
      </c>
    </row>
    <row r="1181" spans="1:40">
      <c r="A1181">
        <v>3249</v>
      </c>
      <c r="B1181" t="s">
        <v>686</v>
      </c>
      <c r="C1181" t="s">
        <v>687</v>
      </c>
      <c r="D1181" t="s">
        <v>688</v>
      </c>
      <c r="E1181">
        <v>210</v>
      </c>
      <c r="F1181">
        <v>458</v>
      </c>
      <c r="G1181">
        <v>28.377777120000001</v>
      </c>
      <c r="H1181">
        <v>33</v>
      </c>
      <c r="I1181">
        <v>4.4358836999999998E-2</v>
      </c>
      <c r="J1181">
        <v>491</v>
      </c>
      <c r="K1181">
        <v>11068.820400000001</v>
      </c>
      <c r="L1181">
        <v>0.70499999999999996</v>
      </c>
      <c r="M1181">
        <v>0.13580246900000001</v>
      </c>
      <c r="N1181">
        <v>0</v>
      </c>
      <c r="O1181" t="s">
        <v>613</v>
      </c>
      <c r="P1181">
        <f t="shared" si="164"/>
        <v>10.64967742</v>
      </c>
      <c r="Q1181">
        <f t="shared" si="165"/>
        <v>0.13900000000000001</v>
      </c>
      <c r="R1181">
        <f t="shared" si="166"/>
        <v>3.6999999999999998E-2</v>
      </c>
      <c r="S1181">
        <f t="shared" si="167"/>
        <v>0.70499999999999996</v>
      </c>
      <c r="T1181">
        <f t="shared" si="168"/>
        <v>2.08</v>
      </c>
      <c r="U1181">
        <f t="shared" si="169"/>
        <v>5.5671760800000003</v>
      </c>
      <c r="V1181">
        <f t="shared" si="170"/>
        <v>5.8999999999999997E-2</v>
      </c>
      <c r="W1181">
        <f t="shared" si="171"/>
        <v>0.29399999999999998</v>
      </c>
      <c r="X1181">
        <f t="shared" si="172"/>
        <v>0.60799999999999998</v>
      </c>
      <c r="Y1181">
        <v>238.4019385</v>
      </c>
      <c r="Z1181">
        <v>1</v>
      </c>
      <c r="AA1181">
        <v>140316</v>
      </c>
      <c r="AB1181">
        <v>49638</v>
      </c>
      <c r="AC1181">
        <v>9.1283894000000004E-2</v>
      </c>
      <c r="AD1181">
        <v>0.60339869999999995</v>
      </c>
      <c r="AF1181">
        <v>10.64967742</v>
      </c>
      <c r="AG1181">
        <v>0.13900000000000001</v>
      </c>
      <c r="AH1181">
        <v>3.6999999999999998E-2</v>
      </c>
      <c r="AI1181">
        <v>0.70499999999999996</v>
      </c>
      <c r="AJ1181">
        <v>2.08</v>
      </c>
      <c r="AK1181">
        <v>5.5671760800000003</v>
      </c>
      <c r="AL1181">
        <v>5.8999999999999997E-2</v>
      </c>
      <c r="AM1181">
        <v>0.29399999999999998</v>
      </c>
      <c r="AN1181">
        <v>0.60799999999999998</v>
      </c>
    </row>
    <row r="1182" spans="1:40">
      <c r="A1182">
        <v>3250</v>
      </c>
      <c r="B1182" t="s">
        <v>686</v>
      </c>
      <c r="C1182" t="s">
        <v>687</v>
      </c>
      <c r="D1182" t="s">
        <v>688</v>
      </c>
      <c r="E1182">
        <v>365</v>
      </c>
      <c r="F1182">
        <v>818</v>
      </c>
      <c r="G1182">
        <v>30.80740849</v>
      </c>
      <c r="H1182">
        <v>282</v>
      </c>
      <c r="I1182">
        <v>4.8157466000000003E-2</v>
      </c>
      <c r="J1182">
        <v>1100</v>
      </c>
      <c r="K1182">
        <v>22841.733410000001</v>
      </c>
      <c r="L1182">
        <v>0.59899999999999998</v>
      </c>
      <c r="M1182">
        <v>0.43585780499999999</v>
      </c>
      <c r="N1182">
        <v>1</v>
      </c>
      <c r="O1182" t="s">
        <v>613</v>
      </c>
      <c r="P1182">
        <f t="shared" si="164"/>
        <v>13.444576270000001</v>
      </c>
      <c r="Q1182">
        <f t="shared" si="165"/>
        <v>0.112</v>
      </c>
      <c r="R1182">
        <f t="shared" si="166"/>
        <v>4.4999999999999998E-2</v>
      </c>
      <c r="S1182">
        <f t="shared" si="167"/>
        <v>0.59899999999999998</v>
      </c>
      <c r="T1182">
        <f t="shared" si="168"/>
        <v>1.542333333</v>
      </c>
      <c r="U1182">
        <f t="shared" si="169"/>
        <v>6.8330412369999998</v>
      </c>
      <c r="V1182">
        <f t="shared" si="170"/>
        <v>0.112</v>
      </c>
      <c r="W1182">
        <f t="shared" si="171"/>
        <v>0.28699999999999998</v>
      </c>
      <c r="X1182">
        <f t="shared" si="172"/>
        <v>0.41299999999999998</v>
      </c>
      <c r="Y1182">
        <v>134.09144520000001</v>
      </c>
      <c r="Z1182">
        <v>1</v>
      </c>
      <c r="AA1182">
        <v>140316</v>
      </c>
      <c r="AB1182">
        <v>49638</v>
      </c>
      <c r="AC1182">
        <v>9.1283894000000004E-2</v>
      </c>
      <c r="AD1182">
        <v>0.60339869999999995</v>
      </c>
      <c r="AF1182">
        <v>13.444576270000001</v>
      </c>
      <c r="AG1182">
        <v>0.112</v>
      </c>
      <c r="AH1182">
        <v>4.4999999999999998E-2</v>
      </c>
      <c r="AI1182">
        <v>0.59899999999999998</v>
      </c>
      <c r="AJ1182">
        <v>1.542333333</v>
      </c>
      <c r="AK1182">
        <v>6.8330412369999998</v>
      </c>
      <c r="AL1182">
        <v>0.112</v>
      </c>
      <c r="AM1182">
        <v>0.28699999999999998</v>
      </c>
      <c r="AN1182">
        <v>0.41299999999999998</v>
      </c>
    </row>
    <row r="1183" spans="1:40">
      <c r="A1183">
        <v>3251</v>
      </c>
      <c r="B1183" t="s">
        <v>686</v>
      </c>
      <c r="C1183" t="s">
        <v>687</v>
      </c>
      <c r="D1183" t="s">
        <v>688</v>
      </c>
      <c r="E1183">
        <v>209</v>
      </c>
      <c r="F1183">
        <v>431</v>
      </c>
      <c r="G1183">
        <v>22.598671639999999</v>
      </c>
      <c r="H1183">
        <v>116</v>
      </c>
      <c r="I1183">
        <v>3.5326273999999998E-2</v>
      </c>
      <c r="J1183">
        <v>547</v>
      </c>
      <c r="K1183">
        <v>15484.225710000001</v>
      </c>
      <c r="L1183">
        <v>0.70899999999999996</v>
      </c>
      <c r="M1183">
        <v>0.35692307699999998</v>
      </c>
      <c r="N1183">
        <v>1</v>
      </c>
      <c r="O1183" t="s">
        <v>613</v>
      </c>
      <c r="P1183">
        <f t="shared" si="164"/>
        <v>9.2266666669999999</v>
      </c>
      <c r="Q1183">
        <f t="shared" si="165"/>
        <v>8.8999999999999996E-2</v>
      </c>
      <c r="R1183">
        <f t="shared" si="166"/>
        <v>1.7000000000000001E-2</v>
      </c>
      <c r="S1183">
        <f t="shared" si="167"/>
        <v>0.70899999999999996</v>
      </c>
      <c r="T1183">
        <f t="shared" si="168"/>
        <v>2.846666667</v>
      </c>
      <c r="U1183">
        <f t="shared" si="169"/>
        <v>5.8561016950000004</v>
      </c>
      <c r="V1183">
        <f t="shared" si="170"/>
        <v>5.3999999999999999E-2</v>
      </c>
      <c r="W1183">
        <f t="shared" si="171"/>
        <v>0.25700000000000001</v>
      </c>
      <c r="X1183">
        <f t="shared" si="172"/>
        <v>0.60799999999999998</v>
      </c>
      <c r="Y1183">
        <v>223.29433359999999</v>
      </c>
      <c r="Z1183">
        <v>1</v>
      </c>
      <c r="AA1183">
        <v>140316</v>
      </c>
      <c r="AB1183">
        <v>49638</v>
      </c>
      <c r="AC1183">
        <v>9.1283894000000004E-2</v>
      </c>
      <c r="AD1183">
        <v>0.60339869999999995</v>
      </c>
      <c r="AF1183">
        <v>9.2266666669999999</v>
      </c>
      <c r="AG1183">
        <v>8.8999999999999996E-2</v>
      </c>
      <c r="AH1183">
        <v>1.7000000000000001E-2</v>
      </c>
      <c r="AI1183">
        <v>0.70899999999999996</v>
      </c>
      <c r="AJ1183">
        <v>2.846666667</v>
      </c>
      <c r="AK1183">
        <v>5.8561016950000004</v>
      </c>
      <c r="AL1183">
        <v>5.3999999999999999E-2</v>
      </c>
      <c r="AM1183">
        <v>0.25700000000000001</v>
      </c>
      <c r="AN1183">
        <v>0.60799999999999998</v>
      </c>
    </row>
    <row r="1184" spans="1:40">
      <c r="A1184">
        <v>3252</v>
      </c>
      <c r="B1184" t="s">
        <v>686</v>
      </c>
      <c r="C1184" t="s">
        <v>687</v>
      </c>
      <c r="D1184" t="s">
        <v>688</v>
      </c>
      <c r="E1184">
        <v>99</v>
      </c>
      <c r="F1184">
        <v>277</v>
      </c>
      <c r="G1184">
        <v>29.346000419999999</v>
      </c>
      <c r="H1184">
        <v>2432</v>
      </c>
      <c r="I1184">
        <v>4.5873148000000002E-2</v>
      </c>
      <c r="J1184">
        <v>2709</v>
      </c>
      <c r="K1184">
        <v>59054.155169999998</v>
      </c>
      <c r="L1184">
        <v>0.82</v>
      </c>
      <c r="M1184">
        <v>0.96088502600000003</v>
      </c>
      <c r="N1184">
        <v>0</v>
      </c>
      <c r="O1184" t="s">
        <v>613</v>
      </c>
      <c r="P1184">
        <f t="shared" si="164"/>
        <v>13.913173799999999</v>
      </c>
      <c r="Q1184">
        <f t="shared" si="165"/>
        <v>0.04</v>
      </c>
      <c r="R1184">
        <f t="shared" si="166"/>
        <v>1.4E-2</v>
      </c>
      <c r="S1184">
        <f t="shared" si="167"/>
        <v>0.82</v>
      </c>
      <c r="T1184">
        <f t="shared" si="168"/>
        <v>2.6</v>
      </c>
      <c r="U1184">
        <f t="shared" si="169"/>
        <v>8.5371838689999997</v>
      </c>
      <c r="V1184">
        <f t="shared" si="170"/>
        <v>2.1999999999999999E-2</v>
      </c>
      <c r="W1184">
        <f t="shared" si="171"/>
        <v>0.08</v>
      </c>
      <c r="X1184">
        <f t="shared" si="172"/>
        <v>0.85899999999999999</v>
      </c>
      <c r="Y1184">
        <v>180.42075990000001</v>
      </c>
      <c r="Z1184">
        <v>1</v>
      </c>
      <c r="AA1184">
        <v>140316</v>
      </c>
      <c r="AB1184">
        <v>49638</v>
      </c>
      <c r="AC1184">
        <v>9.1283894000000004E-2</v>
      </c>
      <c r="AD1184">
        <v>0.60339869999999995</v>
      </c>
      <c r="AF1184">
        <v>13.913173799999999</v>
      </c>
      <c r="AG1184">
        <v>0.04</v>
      </c>
      <c r="AH1184">
        <v>1.4E-2</v>
      </c>
      <c r="AI1184">
        <v>0.82</v>
      </c>
      <c r="AJ1184">
        <v>2.6</v>
      </c>
      <c r="AK1184">
        <v>8.5371838689999997</v>
      </c>
      <c r="AL1184">
        <v>2.1999999999999999E-2</v>
      </c>
      <c r="AM1184">
        <v>0.08</v>
      </c>
      <c r="AN1184">
        <v>0.85899999999999999</v>
      </c>
    </row>
    <row r="1185" spans="1:40">
      <c r="A1185">
        <v>3253</v>
      </c>
      <c r="B1185" t="s">
        <v>689</v>
      </c>
      <c r="C1185" t="s">
        <v>687</v>
      </c>
      <c r="D1185" t="s">
        <v>688</v>
      </c>
      <c r="E1185">
        <v>179</v>
      </c>
      <c r="F1185">
        <v>654</v>
      </c>
      <c r="G1185">
        <v>33.424498489999998</v>
      </c>
      <c r="H1185">
        <v>126</v>
      </c>
      <c r="I1185">
        <v>5.2249706E-2</v>
      </c>
      <c r="J1185">
        <v>780</v>
      </c>
      <c r="K1185">
        <v>14928.31366</v>
      </c>
      <c r="L1185">
        <v>0.69799999999999995</v>
      </c>
      <c r="M1185">
        <v>0.41311475399999997</v>
      </c>
      <c r="N1185">
        <v>0</v>
      </c>
      <c r="O1185" t="s">
        <v>613</v>
      </c>
      <c r="P1185">
        <f t="shared" si="164"/>
        <v>9.7235849059999993</v>
      </c>
      <c r="Q1185">
        <f t="shared" si="165"/>
        <v>5.1999999999999998E-2</v>
      </c>
      <c r="R1185">
        <f t="shared" si="166"/>
        <v>0.04</v>
      </c>
      <c r="S1185">
        <f t="shared" si="167"/>
        <v>0.69799999999999995</v>
      </c>
      <c r="T1185">
        <f t="shared" si="168"/>
        <v>1.9750000000000001</v>
      </c>
      <c r="U1185">
        <f t="shared" si="169"/>
        <v>5.7565749239999997</v>
      </c>
      <c r="V1185">
        <f t="shared" si="170"/>
        <v>0.108</v>
      </c>
      <c r="W1185">
        <f t="shared" si="171"/>
        <v>0.108</v>
      </c>
      <c r="X1185">
        <f t="shared" si="172"/>
        <v>0.71599999999999997</v>
      </c>
      <c r="Y1185">
        <v>294.4600461</v>
      </c>
      <c r="Z1185">
        <v>0</v>
      </c>
      <c r="AA1185">
        <v>454184</v>
      </c>
      <c r="AB1185">
        <v>170596</v>
      </c>
      <c r="AC1185">
        <v>6.5715274000000004E-2</v>
      </c>
      <c r="AD1185">
        <v>0.72549415100000003</v>
      </c>
      <c r="AF1185">
        <v>9.7235849059999993</v>
      </c>
      <c r="AG1185">
        <v>5.1999999999999998E-2</v>
      </c>
      <c r="AH1185">
        <v>0.04</v>
      </c>
      <c r="AI1185">
        <v>0.69799999999999995</v>
      </c>
      <c r="AJ1185">
        <v>1.9750000000000001</v>
      </c>
      <c r="AK1185">
        <v>5.7565749239999997</v>
      </c>
      <c r="AL1185">
        <v>0.108</v>
      </c>
      <c r="AM1185">
        <v>0.108</v>
      </c>
      <c r="AN1185">
        <v>0.71599999999999997</v>
      </c>
    </row>
    <row r="1186" spans="1:40">
      <c r="A1186">
        <v>3254</v>
      </c>
      <c r="B1186" t="s">
        <v>689</v>
      </c>
      <c r="C1186" t="s">
        <v>687</v>
      </c>
      <c r="D1186" t="s">
        <v>688</v>
      </c>
      <c r="E1186">
        <v>147</v>
      </c>
      <c r="F1186">
        <v>425</v>
      </c>
      <c r="G1186">
        <v>20.562824920000001</v>
      </c>
      <c r="H1186">
        <v>13</v>
      </c>
      <c r="I1186">
        <v>3.2143078999999998E-2</v>
      </c>
      <c r="J1186">
        <v>438</v>
      </c>
      <c r="K1186">
        <v>13626.572609999999</v>
      </c>
      <c r="L1186">
        <v>0.66200000000000003</v>
      </c>
      <c r="M1186">
        <v>8.1250000000000003E-2</v>
      </c>
      <c r="N1186">
        <v>0</v>
      </c>
      <c r="O1186" t="s">
        <v>613</v>
      </c>
      <c r="P1186">
        <f t="shared" si="164"/>
        <v>8.3854166669999994</v>
      </c>
      <c r="Q1186">
        <f t="shared" si="165"/>
        <v>8.1000000000000003E-2</v>
      </c>
      <c r="R1186">
        <f t="shared" si="166"/>
        <v>3.3000000000000002E-2</v>
      </c>
      <c r="S1186">
        <f t="shared" si="167"/>
        <v>0.66200000000000003</v>
      </c>
      <c r="T1186">
        <f t="shared" si="168"/>
        <v>3.208571429</v>
      </c>
      <c r="U1186">
        <f t="shared" si="169"/>
        <v>5.7793023259999998</v>
      </c>
      <c r="V1186">
        <f t="shared" si="170"/>
        <v>9.0999999999999998E-2</v>
      </c>
      <c r="W1186">
        <f t="shared" si="171"/>
        <v>0.29499999999999998</v>
      </c>
      <c r="X1186">
        <f t="shared" si="172"/>
        <v>0.54500000000000004</v>
      </c>
      <c r="Y1186">
        <v>155.94200409999999</v>
      </c>
      <c r="Z1186">
        <v>0</v>
      </c>
      <c r="AA1186">
        <v>454184</v>
      </c>
      <c r="AB1186">
        <v>170596</v>
      </c>
      <c r="AC1186">
        <v>6.5715274000000004E-2</v>
      </c>
      <c r="AD1186">
        <v>0.72549415100000003</v>
      </c>
      <c r="AF1186">
        <v>8.3854166669999994</v>
      </c>
      <c r="AG1186">
        <v>8.1000000000000003E-2</v>
      </c>
      <c r="AH1186">
        <v>3.3000000000000002E-2</v>
      </c>
      <c r="AI1186">
        <v>0.66200000000000003</v>
      </c>
      <c r="AJ1186">
        <v>3.208571429</v>
      </c>
      <c r="AK1186">
        <v>5.7793023259999998</v>
      </c>
      <c r="AL1186">
        <v>9.0999999999999998E-2</v>
      </c>
      <c r="AM1186">
        <v>0.29499999999999998</v>
      </c>
      <c r="AN1186">
        <v>0.54500000000000004</v>
      </c>
    </row>
    <row r="1187" spans="1:40">
      <c r="A1187">
        <v>3255</v>
      </c>
      <c r="B1187" t="s">
        <v>689</v>
      </c>
      <c r="C1187" t="s">
        <v>687</v>
      </c>
      <c r="D1187" t="s">
        <v>688</v>
      </c>
      <c r="E1187">
        <v>248</v>
      </c>
      <c r="F1187">
        <v>710</v>
      </c>
      <c r="G1187">
        <v>33.119386040000002</v>
      </c>
      <c r="H1187">
        <v>221</v>
      </c>
      <c r="I1187">
        <v>5.1775799999999997E-2</v>
      </c>
      <c r="J1187">
        <v>931</v>
      </c>
      <c r="K1187">
        <v>17981.373540000001</v>
      </c>
      <c r="L1187">
        <v>0.71099999999999997</v>
      </c>
      <c r="M1187">
        <v>0.47121535199999998</v>
      </c>
      <c r="N1187">
        <v>0</v>
      </c>
      <c r="O1187" t="s">
        <v>613</v>
      </c>
      <c r="P1187">
        <f t="shared" si="164"/>
        <v>11.993670890000001</v>
      </c>
      <c r="Q1187">
        <f t="shared" si="165"/>
        <v>3.9E-2</v>
      </c>
      <c r="R1187">
        <f t="shared" si="166"/>
        <v>3.4000000000000002E-2</v>
      </c>
      <c r="S1187">
        <f t="shared" si="167"/>
        <v>0.71099999999999997</v>
      </c>
      <c r="T1187">
        <f t="shared" si="168"/>
        <v>2.2152173909999999</v>
      </c>
      <c r="U1187">
        <f t="shared" si="169"/>
        <v>6.5543013099999996</v>
      </c>
      <c r="V1187">
        <f t="shared" si="170"/>
        <v>3.3000000000000002E-2</v>
      </c>
      <c r="W1187">
        <f t="shared" si="171"/>
        <v>8.7999999999999995E-2</v>
      </c>
      <c r="X1187">
        <f t="shared" si="172"/>
        <v>0.86799999999999999</v>
      </c>
      <c r="Y1187">
        <v>150.66142550000001</v>
      </c>
      <c r="Z1187">
        <v>0</v>
      </c>
      <c r="AA1187">
        <v>454184</v>
      </c>
      <c r="AB1187">
        <v>170596</v>
      </c>
      <c r="AC1187">
        <v>6.5715274000000004E-2</v>
      </c>
      <c r="AD1187">
        <v>0.72549415100000003</v>
      </c>
      <c r="AF1187">
        <v>11.993670890000001</v>
      </c>
      <c r="AG1187">
        <v>3.9E-2</v>
      </c>
      <c r="AH1187">
        <v>3.4000000000000002E-2</v>
      </c>
      <c r="AI1187">
        <v>0.71099999999999997</v>
      </c>
      <c r="AJ1187">
        <v>2.2152173909999999</v>
      </c>
      <c r="AK1187">
        <v>6.5543013099999996</v>
      </c>
      <c r="AL1187">
        <v>3.3000000000000002E-2</v>
      </c>
      <c r="AM1187">
        <v>8.7999999999999995E-2</v>
      </c>
      <c r="AN1187">
        <v>0.86799999999999999</v>
      </c>
    </row>
    <row r="1188" spans="1:40">
      <c r="A1188">
        <v>3256</v>
      </c>
      <c r="B1188" t="s">
        <v>689</v>
      </c>
      <c r="C1188" t="s">
        <v>687</v>
      </c>
      <c r="D1188" t="s">
        <v>688</v>
      </c>
      <c r="E1188">
        <v>0</v>
      </c>
      <c r="F1188">
        <v>82</v>
      </c>
      <c r="G1188">
        <v>6.314093894</v>
      </c>
      <c r="H1188">
        <v>782</v>
      </c>
      <c r="I1188">
        <v>9.8700929999999999E-3</v>
      </c>
      <c r="J1188">
        <v>864</v>
      </c>
      <c r="K1188">
        <v>87537.169099999999</v>
      </c>
      <c r="L1188">
        <v>0.65800000000000003</v>
      </c>
      <c r="M1188" s="515">
        <v>1</v>
      </c>
      <c r="N1188">
        <v>1</v>
      </c>
      <c r="O1188" t="s">
        <v>606</v>
      </c>
      <c r="P1188">
        <f t="shared" si="164"/>
        <v>16.72505155</v>
      </c>
      <c r="Q1188">
        <f t="shared" si="165"/>
        <v>8.7999999999999995E-2</v>
      </c>
      <c r="R1188">
        <f t="shared" si="166"/>
        <v>2.9000000000000001E-2</v>
      </c>
      <c r="S1188">
        <f t="shared" si="167"/>
        <v>0.65800000000000003</v>
      </c>
      <c r="T1188">
        <f t="shared" si="168"/>
        <v>1.8049999999999999</v>
      </c>
      <c r="U1188">
        <f t="shared" si="169"/>
        <v>9.9348172760000004</v>
      </c>
      <c r="V1188">
        <f t="shared" si="170"/>
        <v>5.6000000000000001E-2</v>
      </c>
      <c r="W1188">
        <f t="shared" si="171"/>
        <v>0.20300000000000001</v>
      </c>
      <c r="X1188">
        <f t="shared" si="172"/>
        <v>0.67800000000000005</v>
      </c>
      <c r="Y1188">
        <v>829.4290049</v>
      </c>
      <c r="Z1188">
        <v>0</v>
      </c>
      <c r="AA1188">
        <v>454184</v>
      </c>
      <c r="AB1188">
        <v>170596</v>
      </c>
      <c r="AC1188">
        <v>6.5715274000000004E-2</v>
      </c>
      <c r="AD1188">
        <v>0.72549415100000003</v>
      </c>
      <c r="AF1188">
        <v>16.72505155</v>
      </c>
      <c r="AG1188">
        <v>8.7999999999999995E-2</v>
      </c>
      <c r="AH1188">
        <v>2.9000000000000001E-2</v>
      </c>
      <c r="AI1188">
        <v>0.65800000000000003</v>
      </c>
      <c r="AJ1188">
        <v>1.8049999999999999</v>
      </c>
      <c r="AK1188">
        <v>9.9348172760000004</v>
      </c>
      <c r="AL1188">
        <v>5.6000000000000001E-2</v>
      </c>
      <c r="AM1188">
        <v>0.20300000000000001</v>
      </c>
      <c r="AN1188">
        <v>0.67800000000000005</v>
      </c>
    </row>
    <row r="1189" spans="1:40">
      <c r="A1189">
        <v>3257</v>
      </c>
      <c r="B1189" t="s">
        <v>689</v>
      </c>
      <c r="C1189" t="s">
        <v>687</v>
      </c>
      <c r="D1189" t="s">
        <v>688</v>
      </c>
      <c r="E1189">
        <v>183</v>
      </c>
      <c r="F1189">
        <v>723</v>
      </c>
      <c r="G1189">
        <v>32.119846199999998</v>
      </c>
      <c r="H1189">
        <v>246</v>
      </c>
      <c r="I1189">
        <v>5.0210009E-2</v>
      </c>
      <c r="J1189">
        <v>969</v>
      </c>
      <c r="K1189">
        <v>19298.94097</v>
      </c>
      <c r="L1189">
        <v>0.82399999999999995</v>
      </c>
      <c r="M1189">
        <v>0.57342657299999999</v>
      </c>
      <c r="N1189">
        <v>0</v>
      </c>
      <c r="O1189" t="s">
        <v>613</v>
      </c>
      <c r="P1189">
        <f t="shared" si="164"/>
        <v>9.8391935480000008</v>
      </c>
      <c r="Q1189">
        <f t="shared" si="165"/>
        <v>2.8000000000000001E-2</v>
      </c>
      <c r="R1189">
        <f t="shared" si="166"/>
        <v>1.4E-2</v>
      </c>
      <c r="S1189">
        <f t="shared" si="167"/>
        <v>0.82399999999999995</v>
      </c>
      <c r="T1189">
        <f t="shared" si="168"/>
        <v>2.3262499999999999</v>
      </c>
      <c r="U1189">
        <f t="shared" si="169"/>
        <v>5.7333023259999996</v>
      </c>
      <c r="V1189">
        <f t="shared" si="170"/>
        <v>2.4E-2</v>
      </c>
      <c r="W1189">
        <f t="shared" si="171"/>
        <v>0.14299999999999999</v>
      </c>
      <c r="X1189">
        <f t="shared" si="172"/>
        <v>0.73799999999999999</v>
      </c>
      <c r="Y1189">
        <v>55.765096589999999</v>
      </c>
      <c r="Z1189">
        <v>0</v>
      </c>
      <c r="AA1189">
        <v>454184</v>
      </c>
      <c r="AB1189">
        <v>170596</v>
      </c>
      <c r="AC1189">
        <v>6.5715274000000004E-2</v>
      </c>
      <c r="AD1189">
        <v>0.72549415100000003</v>
      </c>
      <c r="AF1189">
        <v>9.8391935480000008</v>
      </c>
      <c r="AG1189">
        <v>2.8000000000000001E-2</v>
      </c>
      <c r="AH1189">
        <v>1.4E-2</v>
      </c>
      <c r="AI1189">
        <v>0.82399999999999995</v>
      </c>
      <c r="AJ1189">
        <v>2.3262499999999999</v>
      </c>
      <c r="AK1189">
        <v>5.7333023259999996</v>
      </c>
      <c r="AL1189">
        <v>2.4E-2</v>
      </c>
      <c r="AM1189">
        <v>0.14299999999999999</v>
      </c>
      <c r="AN1189">
        <v>0.73799999999999999</v>
      </c>
    </row>
    <row r="1190" spans="1:40">
      <c r="A1190">
        <v>3258</v>
      </c>
      <c r="B1190" t="s">
        <v>689</v>
      </c>
      <c r="C1190" t="s">
        <v>687</v>
      </c>
      <c r="D1190" t="s">
        <v>688</v>
      </c>
      <c r="E1190">
        <v>1</v>
      </c>
      <c r="F1190">
        <v>229</v>
      </c>
      <c r="G1190">
        <v>201.5918054</v>
      </c>
      <c r="H1190">
        <v>2242</v>
      </c>
      <c r="I1190">
        <v>0.31510725499999998</v>
      </c>
      <c r="J1190">
        <v>2471</v>
      </c>
      <c r="K1190">
        <v>7841.7743829999999</v>
      </c>
      <c r="L1190">
        <v>0.92800000000000005</v>
      </c>
      <c r="M1190">
        <v>0.99955416900000005</v>
      </c>
      <c r="N1190">
        <v>1</v>
      </c>
      <c r="O1190" t="s">
        <v>613</v>
      </c>
      <c r="P1190">
        <f t="shared" si="164"/>
        <v>15.43487745</v>
      </c>
      <c r="Q1190">
        <f t="shared" si="165"/>
        <v>5.0000000000000001E-3</v>
      </c>
      <c r="R1190">
        <f t="shared" si="166"/>
        <v>1.6E-2</v>
      </c>
      <c r="S1190">
        <f t="shared" si="167"/>
        <v>0.92800000000000005</v>
      </c>
      <c r="T1190">
        <f t="shared" si="168"/>
        <v>2.686785714</v>
      </c>
      <c r="U1190">
        <f t="shared" si="169"/>
        <v>9.0270943399999997</v>
      </c>
      <c r="V1190">
        <f t="shared" si="170"/>
        <v>4.2999999999999997E-2</v>
      </c>
      <c r="W1190">
        <f t="shared" si="171"/>
        <v>1.4E-2</v>
      </c>
      <c r="X1190">
        <f t="shared" si="172"/>
        <v>0.92900000000000005</v>
      </c>
      <c r="Y1190">
        <v>55.728830619999997</v>
      </c>
      <c r="Z1190">
        <v>0</v>
      </c>
      <c r="AA1190">
        <v>454184</v>
      </c>
      <c r="AB1190">
        <v>170596</v>
      </c>
      <c r="AC1190">
        <v>6.5715274000000004E-2</v>
      </c>
      <c r="AD1190">
        <v>0.72549415100000003</v>
      </c>
      <c r="AF1190">
        <v>15.43487745</v>
      </c>
      <c r="AG1190">
        <v>5.0000000000000001E-3</v>
      </c>
      <c r="AH1190">
        <v>1.6E-2</v>
      </c>
      <c r="AI1190">
        <v>0.92800000000000005</v>
      </c>
      <c r="AJ1190">
        <v>2.686785714</v>
      </c>
      <c r="AK1190">
        <v>9.0270943399999997</v>
      </c>
      <c r="AL1190">
        <v>4.2999999999999997E-2</v>
      </c>
      <c r="AM1190">
        <v>1.4E-2</v>
      </c>
      <c r="AN1190">
        <v>0.92900000000000005</v>
      </c>
    </row>
    <row r="1191" spans="1:40">
      <c r="A1191">
        <v>3259</v>
      </c>
      <c r="B1191" t="s">
        <v>689</v>
      </c>
      <c r="C1191" t="s">
        <v>687</v>
      </c>
      <c r="D1191" t="s">
        <v>688</v>
      </c>
      <c r="E1191">
        <v>121</v>
      </c>
      <c r="F1191">
        <v>394</v>
      </c>
      <c r="G1191">
        <v>41.920633889999998</v>
      </c>
      <c r="H1191">
        <v>147</v>
      </c>
      <c r="I1191">
        <v>6.5528774999999997E-2</v>
      </c>
      <c r="J1191">
        <v>541</v>
      </c>
      <c r="K1191">
        <v>8255.9150539999991</v>
      </c>
      <c r="L1191">
        <v>0.79900000000000004</v>
      </c>
      <c r="M1191">
        <v>0.54850746299999997</v>
      </c>
      <c r="N1191">
        <v>0</v>
      </c>
      <c r="O1191" t="s">
        <v>613</v>
      </c>
      <c r="P1191">
        <f t="shared" si="164"/>
        <v>11.018088240000001</v>
      </c>
      <c r="Q1191">
        <f t="shared" si="165"/>
        <v>3.4000000000000002E-2</v>
      </c>
      <c r="R1191">
        <f t="shared" si="166"/>
        <v>2.5999999999999999E-2</v>
      </c>
      <c r="S1191">
        <f t="shared" si="167"/>
        <v>0.79900000000000004</v>
      </c>
      <c r="T1191">
        <f t="shared" si="168"/>
        <v>2.4125000000000001</v>
      </c>
      <c r="U1191">
        <f t="shared" si="169"/>
        <v>6.645412844</v>
      </c>
      <c r="V1191">
        <f t="shared" si="170"/>
        <v>2.3E-2</v>
      </c>
      <c r="W1191">
        <f t="shared" si="171"/>
        <v>0.17</v>
      </c>
      <c r="X1191">
        <f t="shared" si="172"/>
        <v>0.77300000000000002</v>
      </c>
      <c r="Y1191">
        <v>151.47380949999999</v>
      </c>
      <c r="Z1191">
        <v>0</v>
      </c>
      <c r="AA1191">
        <v>454184</v>
      </c>
      <c r="AB1191">
        <v>170596</v>
      </c>
      <c r="AC1191">
        <v>6.5715274000000004E-2</v>
      </c>
      <c r="AD1191">
        <v>0.72549415100000003</v>
      </c>
      <c r="AF1191">
        <v>11.018088240000001</v>
      </c>
      <c r="AG1191">
        <v>3.4000000000000002E-2</v>
      </c>
      <c r="AH1191">
        <v>2.5999999999999999E-2</v>
      </c>
      <c r="AI1191">
        <v>0.79900000000000004</v>
      </c>
      <c r="AJ1191">
        <v>2.4125000000000001</v>
      </c>
      <c r="AK1191">
        <v>6.645412844</v>
      </c>
      <c r="AL1191">
        <v>2.3E-2</v>
      </c>
      <c r="AM1191">
        <v>0.17</v>
      </c>
      <c r="AN1191">
        <v>0.77300000000000002</v>
      </c>
    </row>
    <row r="1192" spans="1:40">
      <c r="A1192">
        <v>3260</v>
      </c>
      <c r="B1192" t="s">
        <v>689</v>
      </c>
      <c r="C1192" t="s">
        <v>687</v>
      </c>
      <c r="D1192" t="s">
        <v>688</v>
      </c>
      <c r="E1192">
        <v>415</v>
      </c>
      <c r="F1192">
        <v>1525</v>
      </c>
      <c r="G1192">
        <v>37.794708210000003</v>
      </c>
      <c r="H1192">
        <v>45</v>
      </c>
      <c r="I1192">
        <v>5.9082546E-2</v>
      </c>
      <c r="J1192">
        <v>1570</v>
      </c>
      <c r="K1192">
        <v>26572.991620000001</v>
      </c>
      <c r="L1192">
        <v>0.78400000000000003</v>
      </c>
      <c r="M1192">
        <v>9.7826087000000006E-2</v>
      </c>
      <c r="N1192">
        <v>0</v>
      </c>
      <c r="O1192" t="s">
        <v>613</v>
      </c>
      <c r="P1192">
        <f t="shared" si="164"/>
        <v>11.780465120000001</v>
      </c>
      <c r="Q1192">
        <f t="shared" si="165"/>
        <v>0.04</v>
      </c>
      <c r="R1192">
        <f t="shared" si="166"/>
        <v>1.9E-2</v>
      </c>
      <c r="S1192">
        <f t="shared" si="167"/>
        <v>0.78400000000000003</v>
      </c>
      <c r="T1192">
        <f t="shared" si="168"/>
        <v>2.4577777780000001</v>
      </c>
      <c r="U1192">
        <f t="shared" si="169"/>
        <v>5.4802785519999997</v>
      </c>
      <c r="V1192">
        <f t="shared" si="170"/>
        <v>6.2414117647058849E-2</v>
      </c>
      <c r="W1192">
        <f t="shared" si="171"/>
        <v>0.156</v>
      </c>
      <c r="X1192">
        <f t="shared" si="172"/>
        <v>0.78900000000000003</v>
      </c>
      <c r="Y1192">
        <v>75.914758820000003</v>
      </c>
      <c r="Z1192">
        <v>0</v>
      </c>
      <c r="AA1192">
        <v>454184</v>
      </c>
      <c r="AB1192">
        <v>170596</v>
      </c>
      <c r="AC1192">
        <v>6.5715274000000004E-2</v>
      </c>
      <c r="AD1192">
        <v>0.72549415100000003</v>
      </c>
      <c r="AF1192">
        <v>11.780465120000001</v>
      </c>
      <c r="AG1192">
        <v>0.04</v>
      </c>
      <c r="AH1192">
        <v>1.9E-2</v>
      </c>
      <c r="AI1192">
        <v>0.78400000000000003</v>
      </c>
      <c r="AJ1192">
        <v>2.4577777780000001</v>
      </c>
      <c r="AK1192">
        <v>5.4802785519999997</v>
      </c>
      <c r="AL1192">
        <v>0</v>
      </c>
      <c r="AM1192">
        <v>0.156</v>
      </c>
      <c r="AN1192">
        <v>0.78900000000000003</v>
      </c>
    </row>
    <row r="1193" spans="1:40">
      <c r="A1193">
        <v>3261</v>
      </c>
      <c r="B1193" t="s">
        <v>689</v>
      </c>
      <c r="C1193" t="s">
        <v>687</v>
      </c>
      <c r="D1193" t="s">
        <v>688</v>
      </c>
      <c r="E1193">
        <v>93</v>
      </c>
      <c r="F1193">
        <v>281</v>
      </c>
      <c r="G1193">
        <v>14.60284278</v>
      </c>
      <c r="H1193">
        <v>270</v>
      </c>
      <c r="I1193">
        <v>2.2827407000000001E-2</v>
      </c>
      <c r="J1193">
        <v>551</v>
      </c>
      <c r="K1193">
        <v>24137.651730000001</v>
      </c>
      <c r="L1193">
        <v>0.81399999999999995</v>
      </c>
      <c r="M1193">
        <v>0.74380165300000001</v>
      </c>
      <c r="N1193">
        <v>1</v>
      </c>
      <c r="O1193" t="s">
        <v>606</v>
      </c>
      <c r="P1193">
        <f t="shared" si="164"/>
        <v>12.32178571</v>
      </c>
      <c r="Q1193">
        <f t="shared" si="165"/>
        <v>6.3E-2</v>
      </c>
      <c r="R1193">
        <f t="shared" si="166"/>
        <v>1.4E-2</v>
      </c>
      <c r="S1193">
        <f t="shared" si="167"/>
        <v>0.81399999999999995</v>
      </c>
      <c r="T1193">
        <f t="shared" si="168"/>
        <v>2.8149999999999999</v>
      </c>
      <c r="U1193">
        <f t="shared" si="169"/>
        <v>6.9969184289999999</v>
      </c>
      <c r="V1193">
        <f t="shared" si="170"/>
        <v>6.2414117647058849E-2</v>
      </c>
      <c r="W1193">
        <f t="shared" si="171"/>
        <v>0.25600000000000001</v>
      </c>
      <c r="X1193">
        <f t="shared" si="172"/>
        <v>0.71799999999999997</v>
      </c>
      <c r="Y1193">
        <v>97.947692559999993</v>
      </c>
      <c r="Z1193">
        <v>0</v>
      </c>
      <c r="AA1193">
        <v>454184</v>
      </c>
      <c r="AB1193">
        <v>170596</v>
      </c>
      <c r="AC1193">
        <v>6.5715274000000004E-2</v>
      </c>
      <c r="AD1193">
        <v>0.72549415100000003</v>
      </c>
      <c r="AF1193">
        <v>12.32178571</v>
      </c>
      <c r="AG1193">
        <v>6.3E-2</v>
      </c>
      <c r="AH1193">
        <v>1.4E-2</v>
      </c>
      <c r="AI1193">
        <v>0.81399999999999995</v>
      </c>
      <c r="AJ1193">
        <v>2.8149999999999999</v>
      </c>
      <c r="AK1193">
        <v>6.9969184289999999</v>
      </c>
      <c r="AL1193">
        <v>0</v>
      </c>
      <c r="AM1193">
        <v>0.25600000000000001</v>
      </c>
      <c r="AN1193">
        <v>0.71799999999999997</v>
      </c>
    </row>
    <row r="1194" spans="1:40">
      <c r="A1194">
        <v>3262</v>
      </c>
      <c r="B1194" t="s">
        <v>689</v>
      </c>
      <c r="C1194" t="s">
        <v>687</v>
      </c>
      <c r="D1194" t="s">
        <v>688</v>
      </c>
      <c r="E1194">
        <v>174</v>
      </c>
      <c r="F1194">
        <v>525</v>
      </c>
      <c r="G1194">
        <v>20.857687720000001</v>
      </c>
      <c r="H1194">
        <v>135</v>
      </c>
      <c r="I1194">
        <v>3.2604675E-2</v>
      </c>
      <c r="J1194">
        <v>660</v>
      </c>
      <c r="K1194">
        <v>20242.495900000002</v>
      </c>
      <c r="L1194">
        <v>0.73599999999999999</v>
      </c>
      <c r="M1194">
        <v>0.43689320399999998</v>
      </c>
      <c r="N1194">
        <v>1</v>
      </c>
      <c r="O1194" t="s">
        <v>606</v>
      </c>
      <c r="P1194">
        <f t="shared" si="164"/>
        <v>9.4377551020000006</v>
      </c>
      <c r="Q1194">
        <f t="shared" si="165"/>
        <v>7.8E-2</v>
      </c>
      <c r="R1194">
        <f t="shared" si="166"/>
        <v>2.1000000000000001E-2</v>
      </c>
      <c r="S1194">
        <f t="shared" si="167"/>
        <v>0.73599999999999999</v>
      </c>
      <c r="T1194">
        <f t="shared" si="168"/>
        <v>1.98</v>
      </c>
      <c r="U1194">
        <f t="shared" si="169"/>
        <v>5.2305993690000001</v>
      </c>
      <c r="V1194">
        <f t="shared" si="170"/>
        <v>2.7E-2</v>
      </c>
      <c r="W1194">
        <f t="shared" si="171"/>
        <v>0.28399999999999997</v>
      </c>
      <c r="X1194">
        <f t="shared" si="172"/>
        <v>0.66200000000000003</v>
      </c>
      <c r="Y1194">
        <v>98.233795409999999</v>
      </c>
      <c r="Z1194">
        <v>0</v>
      </c>
      <c r="AA1194">
        <v>454184</v>
      </c>
      <c r="AB1194">
        <v>170596</v>
      </c>
      <c r="AC1194">
        <v>6.5715274000000004E-2</v>
      </c>
      <c r="AD1194">
        <v>0.72549415100000003</v>
      </c>
      <c r="AF1194">
        <v>9.4377551020000006</v>
      </c>
      <c r="AG1194">
        <v>7.8E-2</v>
      </c>
      <c r="AH1194">
        <v>2.1000000000000001E-2</v>
      </c>
      <c r="AI1194">
        <v>0.73599999999999999</v>
      </c>
      <c r="AJ1194">
        <v>1.98</v>
      </c>
      <c r="AK1194">
        <v>5.2305993690000001</v>
      </c>
      <c r="AL1194">
        <v>2.7E-2</v>
      </c>
      <c r="AM1194">
        <v>0.28399999999999997</v>
      </c>
      <c r="AN1194">
        <v>0.66200000000000003</v>
      </c>
    </row>
    <row r="1195" spans="1:40">
      <c r="A1195">
        <v>3263</v>
      </c>
      <c r="B1195" t="s">
        <v>689</v>
      </c>
      <c r="C1195" t="s">
        <v>687</v>
      </c>
      <c r="D1195" t="s">
        <v>688</v>
      </c>
      <c r="E1195">
        <v>196</v>
      </c>
      <c r="F1195">
        <v>834</v>
      </c>
      <c r="G1195">
        <v>39.958954810000002</v>
      </c>
      <c r="H1195">
        <v>1110</v>
      </c>
      <c r="I1195">
        <v>6.2459558999999998E-2</v>
      </c>
      <c r="J1195">
        <v>1944</v>
      </c>
      <c r="K1195">
        <v>31124.139060000001</v>
      </c>
      <c r="L1195">
        <v>0.78600000000000003</v>
      </c>
      <c r="M1195">
        <v>0.84992343000000004</v>
      </c>
      <c r="N1195">
        <v>1</v>
      </c>
      <c r="O1195" t="s">
        <v>606</v>
      </c>
      <c r="P1195">
        <f t="shared" si="164"/>
        <v>11.41588235</v>
      </c>
      <c r="Q1195">
        <f t="shared" si="165"/>
        <v>5.2999999999999999E-2</v>
      </c>
      <c r="R1195">
        <f t="shared" si="166"/>
        <v>0.02</v>
      </c>
      <c r="S1195">
        <f t="shared" si="167"/>
        <v>0.78600000000000003</v>
      </c>
      <c r="T1195">
        <f t="shared" si="168"/>
        <v>1.9272222219999999</v>
      </c>
      <c r="U1195">
        <f t="shared" si="169"/>
        <v>5.8244078950000002</v>
      </c>
      <c r="V1195">
        <f t="shared" si="170"/>
        <v>4.3999999999999997E-2</v>
      </c>
      <c r="W1195">
        <f t="shared" si="171"/>
        <v>0.20100000000000001</v>
      </c>
      <c r="X1195">
        <f t="shared" si="172"/>
        <v>0.66800000000000004</v>
      </c>
      <c r="Y1195">
        <v>298.9257265</v>
      </c>
      <c r="Z1195">
        <v>0</v>
      </c>
      <c r="AA1195">
        <v>454184</v>
      </c>
      <c r="AB1195">
        <v>170596</v>
      </c>
      <c r="AC1195">
        <v>6.5715274000000004E-2</v>
      </c>
      <c r="AD1195">
        <v>0.72549415100000003</v>
      </c>
      <c r="AF1195">
        <v>11.41588235</v>
      </c>
      <c r="AG1195">
        <v>5.2999999999999999E-2</v>
      </c>
      <c r="AH1195">
        <v>0.02</v>
      </c>
      <c r="AI1195">
        <v>0.78600000000000003</v>
      </c>
      <c r="AJ1195">
        <v>1.9272222219999999</v>
      </c>
      <c r="AK1195">
        <v>5.8244078950000002</v>
      </c>
      <c r="AL1195">
        <v>4.3999999999999997E-2</v>
      </c>
      <c r="AM1195">
        <v>0.20100000000000001</v>
      </c>
      <c r="AN1195">
        <v>0.66800000000000004</v>
      </c>
    </row>
    <row r="1196" spans="1:40">
      <c r="A1196">
        <v>3264</v>
      </c>
      <c r="B1196" t="s">
        <v>689</v>
      </c>
      <c r="C1196" t="s">
        <v>687</v>
      </c>
      <c r="D1196" t="s">
        <v>688</v>
      </c>
      <c r="E1196">
        <v>249</v>
      </c>
      <c r="F1196">
        <v>674</v>
      </c>
      <c r="G1196">
        <v>36.626817989999999</v>
      </c>
      <c r="H1196">
        <v>842</v>
      </c>
      <c r="I1196">
        <v>5.7252888000000002E-2</v>
      </c>
      <c r="J1196">
        <v>1516</v>
      </c>
      <c r="K1196">
        <v>26479.013599999998</v>
      </c>
      <c r="L1196">
        <v>0.76800000000000002</v>
      </c>
      <c r="M1196">
        <v>0.77176901899999995</v>
      </c>
      <c r="N1196">
        <v>1</v>
      </c>
      <c r="O1196" t="s">
        <v>606</v>
      </c>
      <c r="P1196">
        <f t="shared" si="164"/>
        <v>10.79263158</v>
      </c>
      <c r="Q1196">
        <f t="shared" si="165"/>
        <v>5.6000000000000001E-2</v>
      </c>
      <c r="R1196">
        <f t="shared" si="166"/>
        <v>1.9E-2</v>
      </c>
      <c r="S1196">
        <f t="shared" si="167"/>
        <v>0.76800000000000002</v>
      </c>
      <c r="T1196">
        <f t="shared" si="168"/>
        <v>2.1085714289999999</v>
      </c>
      <c r="U1196">
        <f t="shared" si="169"/>
        <v>5.8035057979999998</v>
      </c>
      <c r="V1196">
        <f t="shared" si="170"/>
        <v>4.8000000000000001E-2</v>
      </c>
      <c r="W1196">
        <f t="shared" si="171"/>
        <v>0.13500000000000001</v>
      </c>
      <c r="X1196">
        <f t="shared" si="172"/>
        <v>0.73399999999999999</v>
      </c>
      <c r="Y1196">
        <v>299.66714739999998</v>
      </c>
      <c r="Z1196">
        <v>0</v>
      </c>
      <c r="AA1196">
        <v>454184</v>
      </c>
      <c r="AB1196">
        <v>170596</v>
      </c>
      <c r="AC1196">
        <v>6.5715274000000004E-2</v>
      </c>
      <c r="AD1196">
        <v>0.72549415100000003</v>
      </c>
      <c r="AF1196">
        <v>10.79263158</v>
      </c>
      <c r="AG1196">
        <v>5.6000000000000001E-2</v>
      </c>
      <c r="AH1196">
        <v>1.9E-2</v>
      </c>
      <c r="AI1196">
        <v>0.76800000000000002</v>
      </c>
      <c r="AJ1196">
        <v>2.1085714289999999</v>
      </c>
      <c r="AK1196">
        <v>5.8035057979999998</v>
      </c>
      <c r="AL1196">
        <v>4.8000000000000001E-2</v>
      </c>
      <c r="AM1196">
        <v>0.13500000000000001</v>
      </c>
      <c r="AN1196">
        <v>0.73399999999999999</v>
      </c>
    </row>
    <row r="1197" spans="1:40">
      <c r="A1197">
        <v>3265</v>
      </c>
      <c r="B1197" t="s">
        <v>689</v>
      </c>
      <c r="C1197" t="s">
        <v>687</v>
      </c>
      <c r="D1197" t="s">
        <v>688</v>
      </c>
      <c r="E1197">
        <v>577</v>
      </c>
      <c r="F1197">
        <v>1955</v>
      </c>
      <c r="G1197">
        <v>47.226226629999999</v>
      </c>
      <c r="H1197">
        <v>256</v>
      </c>
      <c r="I1197">
        <v>7.3817037000000002E-2</v>
      </c>
      <c r="J1197">
        <v>2211</v>
      </c>
      <c r="K1197">
        <v>29952.434959999999</v>
      </c>
      <c r="L1197">
        <v>0.73399999999999999</v>
      </c>
      <c r="M1197">
        <v>0.30732292900000002</v>
      </c>
      <c r="N1197">
        <v>0</v>
      </c>
      <c r="O1197" t="s">
        <v>613</v>
      </c>
      <c r="P1197">
        <f t="shared" si="164"/>
        <v>12.160959999999999</v>
      </c>
      <c r="Q1197">
        <f t="shared" si="165"/>
        <v>3.9E-2</v>
      </c>
      <c r="R1197">
        <f t="shared" si="166"/>
        <v>1.7000000000000001E-2</v>
      </c>
      <c r="S1197">
        <f t="shared" si="167"/>
        <v>0.73399999999999999</v>
      </c>
      <c r="T1197">
        <f t="shared" si="168"/>
        <v>2.7563636360000001</v>
      </c>
      <c r="U1197">
        <f t="shared" si="169"/>
        <v>5.8121706260000003</v>
      </c>
      <c r="V1197">
        <f t="shared" si="170"/>
        <v>3.7999999999999999E-2</v>
      </c>
      <c r="W1197">
        <f t="shared" si="171"/>
        <v>0.108</v>
      </c>
      <c r="X1197">
        <f t="shared" si="172"/>
        <v>0.79100000000000004</v>
      </c>
      <c r="Y1197">
        <v>108.1506983</v>
      </c>
      <c r="Z1197">
        <v>0</v>
      </c>
      <c r="AA1197">
        <v>454184</v>
      </c>
      <c r="AB1197">
        <v>170596</v>
      </c>
      <c r="AC1197">
        <v>6.5715274000000004E-2</v>
      </c>
      <c r="AD1197">
        <v>0.72549415100000003</v>
      </c>
      <c r="AF1197">
        <v>12.160959999999999</v>
      </c>
      <c r="AG1197">
        <v>3.9E-2</v>
      </c>
      <c r="AH1197">
        <v>1.7000000000000001E-2</v>
      </c>
      <c r="AI1197">
        <v>0.73399999999999999</v>
      </c>
      <c r="AJ1197">
        <v>2.7563636360000001</v>
      </c>
      <c r="AK1197">
        <v>5.8121706260000003</v>
      </c>
      <c r="AL1197">
        <v>3.7999999999999999E-2</v>
      </c>
      <c r="AM1197">
        <v>0.108</v>
      </c>
      <c r="AN1197">
        <v>0.79100000000000004</v>
      </c>
    </row>
    <row r="1198" spans="1:40">
      <c r="A1198">
        <v>3266</v>
      </c>
      <c r="B1198" t="s">
        <v>689</v>
      </c>
      <c r="C1198" t="s">
        <v>687</v>
      </c>
      <c r="D1198" t="s">
        <v>688</v>
      </c>
      <c r="E1198">
        <v>195</v>
      </c>
      <c r="F1198">
        <v>794</v>
      </c>
      <c r="G1198">
        <v>20.272180609999999</v>
      </c>
      <c r="H1198">
        <v>114</v>
      </c>
      <c r="I1198">
        <v>3.1688511000000003E-2</v>
      </c>
      <c r="J1198">
        <v>908</v>
      </c>
      <c r="K1198">
        <v>28653.918129999998</v>
      </c>
      <c r="L1198">
        <v>0.748</v>
      </c>
      <c r="M1198">
        <v>0.36893203899999999</v>
      </c>
      <c r="N1198">
        <v>0</v>
      </c>
      <c r="O1198" t="s">
        <v>613</v>
      </c>
      <c r="P1198">
        <f t="shared" si="164"/>
        <v>7.3489090910000003</v>
      </c>
      <c r="Q1198">
        <f t="shared" si="165"/>
        <v>3.6999999999999998E-2</v>
      </c>
      <c r="R1198">
        <f t="shared" si="166"/>
        <v>8.9999999999999993E-3</v>
      </c>
      <c r="S1198">
        <f t="shared" si="167"/>
        <v>0.748</v>
      </c>
      <c r="T1198">
        <f t="shared" si="168"/>
        <v>3.4216666670000002</v>
      </c>
      <c r="U1198">
        <f t="shared" si="169"/>
        <v>5.1757427939999996</v>
      </c>
      <c r="V1198">
        <f t="shared" si="170"/>
        <v>0.03</v>
      </c>
      <c r="W1198">
        <f t="shared" si="171"/>
        <v>0.11899999999999999</v>
      </c>
      <c r="X1198">
        <f t="shared" si="172"/>
        <v>0.82099999999999995</v>
      </c>
      <c r="Y1198">
        <v>112.8359423</v>
      </c>
      <c r="Z1198">
        <v>0</v>
      </c>
      <c r="AA1198">
        <v>454184</v>
      </c>
      <c r="AB1198">
        <v>170596</v>
      </c>
      <c r="AC1198">
        <v>6.5715274000000004E-2</v>
      </c>
      <c r="AD1198">
        <v>0.72549415100000003</v>
      </c>
      <c r="AF1198">
        <v>7.3489090910000003</v>
      </c>
      <c r="AG1198">
        <v>3.6999999999999998E-2</v>
      </c>
      <c r="AH1198">
        <v>8.9999999999999993E-3</v>
      </c>
      <c r="AI1198">
        <v>0.748</v>
      </c>
      <c r="AJ1198">
        <v>3.4216666670000002</v>
      </c>
      <c r="AK1198">
        <v>5.1757427939999996</v>
      </c>
      <c r="AL1198">
        <v>0.03</v>
      </c>
      <c r="AM1198">
        <v>0.11899999999999999</v>
      </c>
      <c r="AN1198">
        <v>0.82099999999999995</v>
      </c>
    </row>
    <row r="1199" spans="1:40">
      <c r="A1199">
        <v>3267</v>
      </c>
      <c r="B1199" t="s">
        <v>689</v>
      </c>
      <c r="C1199" t="s">
        <v>687</v>
      </c>
      <c r="D1199" t="s">
        <v>688</v>
      </c>
      <c r="E1199">
        <v>143</v>
      </c>
      <c r="F1199">
        <v>585</v>
      </c>
      <c r="G1199">
        <v>31.816795290000002</v>
      </c>
      <c r="H1199">
        <v>86</v>
      </c>
      <c r="I1199">
        <v>4.9733153000000002E-2</v>
      </c>
      <c r="J1199">
        <v>671</v>
      </c>
      <c r="K1199">
        <v>13492.00603</v>
      </c>
      <c r="L1199">
        <v>0.80900000000000005</v>
      </c>
      <c r="M1199">
        <v>0.37554585200000001</v>
      </c>
      <c r="N1199">
        <v>0</v>
      </c>
      <c r="O1199" t="s">
        <v>613</v>
      </c>
      <c r="P1199">
        <f t="shared" si="164"/>
        <v>11.223599999999999</v>
      </c>
      <c r="Q1199">
        <f t="shared" si="165"/>
        <v>3.4000000000000002E-2</v>
      </c>
      <c r="R1199">
        <f t="shared" si="166"/>
        <v>1.4999999999999999E-2</v>
      </c>
      <c r="S1199">
        <f t="shared" si="167"/>
        <v>0.80900000000000005</v>
      </c>
      <c r="T1199">
        <f t="shared" si="168"/>
        <v>2.5437500000000002</v>
      </c>
      <c r="U1199">
        <f t="shared" si="169"/>
        <v>5.9872705310000001</v>
      </c>
      <c r="V1199">
        <f t="shared" si="170"/>
        <v>3.2000000000000001E-2</v>
      </c>
      <c r="W1199">
        <f t="shared" si="171"/>
        <v>9.7000000000000003E-2</v>
      </c>
      <c r="X1199">
        <f t="shared" si="172"/>
        <v>0.80600000000000005</v>
      </c>
      <c r="Y1199">
        <v>171.067249</v>
      </c>
      <c r="Z1199">
        <v>0</v>
      </c>
      <c r="AA1199">
        <v>454184</v>
      </c>
      <c r="AB1199">
        <v>170596</v>
      </c>
      <c r="AC1199">
        <v>6.5715274000000004E-2</v>
      </c>
      <c r="AD1199">
        <v>0.72549415100000003</v>
      </c>
      <c r="AF1199">
        <v>11.223599999999999</v>
      </c>
      <c r="AG1199">
        <v>3.4000000000000002E-2</v>
      </c>
      <c r="AH1199">
        <v>1.4999999999999999E-2</v>
      </c>
      <c r="AI1199">
        <v>0.80900000000000005</v>
      </c>
      <c r="AJ1199">
        <v>2.5437500000000002</v>
      </c>
      <c r="AK1199">
        <v>5.9872705310000001</v>
      </c>
      <c r="AL1199">
        <v>3.2000000000000001E-2</v>
      </c>
      <c r="AM1199">
        <v>9.7000000000000003E-2</v>
      </c>
      <c r="AN1199">
        <v>0.80600000000000005</v>
      </c>
    </row>
    <row r="1200" spans="1:40">
      <c r="A1200">
        <v>3268</v>
      </c>
      <c r="B1200" t="s">
        <v>689</v>
      </c>
      <c r="C1200" t="s">
        <v>687</v>
      </c>
      <c r="D1200" t="s">
        <v>688</v>
      </c>
      <c r="E1200">
        <v>309</v>
      </c>
      <c r="F1200">
        <v>957</v>
      </c>
      <c r="G1200">
        <v>30.264933070000001</v>
      </c>
      <c r="H1200">
        <v>15</v>
      </c>
      <c r="I1200">
        <v>4.7305850000000003E-2</v>
      </c>
      <c r="J1200">
        <v>972</v>
      </c>
      <c r="K1200">
        <v>20547.141629999998</v>
      </c>
      <c r="L1200">
        <v>0.71499999999999997</v>
      </c>
      <c r="M1200">
        <v>4.6296296000000001E-2</v>
      </c>
      <c r="N1200">
        <v>0</v>
      </c>
      <c r="O1200" t="s">
        <v>613</v>
      </c>
      <c r="P1200">
        <f t="shared" si="164"/>
        <v>10.48</v>
      </c>
      <c r="Q1200">
        <f t="shared" si="165"/>
        <v>6.2E-2</v>
      </c>
      <c r="R1200">
        <f t="shared" si="166"/>
        <v>2.4E-2</v>
      </c>
      <c r="S1200">
        <f t="shared" si="167"/>
        <v>0.71499999999999997</v>
      </c>
      <c r="T1200">
        <f t="shared" si="168"/>
        <v>1.9357142860000001</v>
      </c>
      <c r="U1200">
        <f t="shared" si="169"/>
        <v>5.6122926829999997</v>
      </c>
      <c r="V1200">
        <f t="shared" si="170"/>
        <v>2.4E-2</v>
      </c>
      <c r="W1200">
        <f t="shared" si="171"/>
        <v>0.22900000000000001</v>
      </c>
      <c r="X1200">
        <f t="shared" si="172"/>
        <v>0.747</v>
      </c>
      <c r="Y1200">
        <v>175.56819189999999</v>
      </c>
      <c r="Z1200">
        <v>0</v>
      </c>
      <c r="AA1200">
        <v>454184</v>
      </c>
      <c r="AB1200">
        <v>170596</v>
      </c>
      <c r="AC1200">
        <v>6.5715274000000004E-2</v>
      </c>
      <c r="AD1200">
        <v>0.72549415100000003</v>
      </c>
      <c r="AF1200">
        <v>10.48</v>
      </c>
      <c r="AG1200">
        <v>6.2E-2</v>
      </c>
      <c r="AH1200">
        <v>2.4E-2</v>
      </c>
      <c r="AI1200">
        <v>0.71499999999999997</v>
      </c>
      <c r="AJ1200">
        <v>1.9357142860000001</v>
      </c>
      <c r="AK1200">
        <v>5.6122926829999997</v>
      </c>
      <c r="AL1200">
        <v>2.4E-2</v>
      </c>
      <c r="AM1200">
        <v>0.22900000000000001</v>
      </c>
      <c r="AN1200">
        <v>0.747</v>
      </c>
    </row>
    <row r="1201" spans="1:40">
      <c r="A1201">
        <v>3269</v>
      </c>
      <c r="B1201" t="s">
        <v>689</v>
      </c>
      <c r="C1201" t="s">
        <v>687</v>
      </c>
      <c r="D1201" t="s">
        <v>688</v>
      </c>
      <c r="E1201">
        <v>30</v>
      </c>
      <c r="F1201">
        <v>159</v>
      </c>
      <c r="G1201">
        <v>64.379832469999997</v>
      </c>
      <c r="H1201">
        <v>1152</v>
      </c>
      <c r="I1201">
        <v>0.100634138</v>
      </c>
      <c r="J1201">
        <v>1311</v>
      </c>
      <c r="K1201">
        <v>13027.38838</v>
      </c>
      <c r="L1201">
        <v>0.82599999999999996</v>
      </c>
      <c r="M1201">
        <v>0.97461928900000006</v>
      </c>
      <c r="N1201">
        <v>1</v>
      </c>
      <c r="O1201" t="s">
        <v>613</v>
      </c>
      <c r="P1201">
        <f t="shared" si="164"/>
        <v>14.209194630000001</v>
      </c>
      <c r="Q1201">
        <f t="shared" si="165"/>
        <v>5.3999999999999999E-2</v>
      </c>
      <c r="R1201">
        <f t="shared" si="166"/>
        <v>1.2999999999999999E-2</v>
      </c>
      <c r="S1201">
        <f t="shared" si="167"/>
        <v>0.82599999999999996</v>
      </c>
      <c r="T1201">
        <f t="shared" si="168"/>
        <v>2.5121428570000002</v>
      </c>
      <c r="U1201">
        <f t="shared" si="169"/>
        <v>7.8025000000000002</v>
      </c>
      <c r="V1201">
        <f t="shared" si="170"/>
        <v>3.6999999999999998E-2</v>
      </c>
      <c r="W1201">
        <f t="shared" si="171"/>
        <v>0.10100000000000001</v>
      </c>
      <c r="X1201">
        <f t="shared" si="172"/>
        <v>0.79300000000000004</v>
      </c>
      <c r="Y1201">
        <v>78.217165890000004</v>
      </c>
      <c r="Z1201">
        <v>0</v>
      </c>
      <c r="AA1201">
        <v>454184</v>
      </c>
      <c r="AB1201">
        <v>170596</v>
      </c>
      <c r="AC1201">
        <v>6.5715274000000004E-2</v>
      </c>
      <c r="AD1201">
        <v>0.72549415100000003</v>
      </c>
      <c r="AF1201">
        <v>14.209194630000001</v>
      </c>
      <c r="AG1201">
        <v>5.3999999999999999E-2</v>
      </c>
      <c r="AH1201">
        <v>1.2999999999999999E-2</v>
      </c>
      <c r="AI1201">
        <v>0.82599999999999996</v>
      </c>
      <c r="AJ1201">
        <v>2.5121428570000002</v>
      </c>
      <c r="AK1201">
        <v>7.8025000000000002</v>
      </c>
      <c r="AL1201">
        <v>3.6999999999999998E-2</v>
      </c>
      <c r="AM1201">
        <v>0.10100000000000001</v>
      </c>
      <c r="AN1201">
        <v>0.79300000000000004</v>
      </c>
    </row>
    <row r="1202" spans="1:40">
      <c r="A1202">
        <v>3270</v>
      </c>
      <c r="B1202" t="s">
        <v>689</v>
      </c>
      <c r="C1202" t="s">
        <v>687</v>
      </c>
      <c r="D1202" t="s">
        <v>688</v>
      </c>
      <c r="E1202">
        <v>378</v>
      </c>
      <c r="F1202">
        <v>1861</v>
      </c>
      <c r="G1202">
        <v>143.67328660000001</v>
      </c>
      <c r="H1202">
        <v>876</v>
      </c>
      <c r="I1202">
        <v>0.224569508</v>
      </c>
      <c r="J1202">
        <v>2737</v>
      </c>
      <c r="K1202">
        <v>12187.76326</v>
      </c>
      <c r="L1202">
        <v>0.81899999999999995</v>
      </c>
      <c r="M1202">
        <v>0.69856459299999996</v>
      </c>
      <c r="N1202">
        <v>0</v>
      </c>
      <c r="O1202" t="s">
        <v>613</v>
      </c>
      <c r="P1202">
        <f t="shared" si="164"/>
        <v>14.393357140000001</v>
      </c>
      <c r="Q1202">
        <f t="shared" si="165"/>
        <v>0.05</v>
      </c>
      <c r="R1202">
        <f t="shared" si="166"/>
        <v>0.03</v>
      </c>
      <c r="S1202">
        <f t="shared" si="167"/>
        <v>0.81899999999999995</v>
      </c>
      <c r="T1202">
        <f t="shared" si="168"/>
        <v>2.6687234040000001</v>
      </c>
      <c r="U1202">
        <f t="shared" si="169"/>
        <v>7.9927432219999996</v>
      </c>
      <c r="V1202">
        <f t="shared" si="170"/>
        <v>4.9000000000000002E-2</v>
      </c>
      <c r="W1202">
        <f t="shared" si="171"/>
        <v>0.157</v>
      </c>
      <c r="X1202">
        <f t="shared" si="172"/>
        <v>0.75900000000000001</v>
      </c>
      <c r="Y1202">
        <v>78.784683659999999</v>
      </c>
      <c r="Z1202">
        <v>0</v>
      </c>
      <c r="AA1202">
        <v>454184</v>
      </c>
      <c r="AB1202">
        <v>170596</v>
      </c>
      <c r="AC1202">
        <v>6.5715274000000004E-2</v>
      </c>
      <c r="AD1202">
        <v>0.72549415100000003</v>
      </c>
      <c r="AF1202">
        <v>14.393357140000001</v>
      </c>
      <c r="AG1202">
        <v>0.05</v>
      </c>
      <c r="AH1202">
        <v>0.03</v>
      </c>
      <c r="AI1202">
        <v>0.81899999999999995</v>
      </c>
      <c r="AJ1202">
        <v>2.6687234040000001</v>
      </c>
      <c r="AK1202">
        <v>7.9927432219999996</v>
      </c>
      <c r="AL1202">
        <v>4.9000000000000002E-2</v>
      </c>
      <c r="AM1202">
        <v>0.157</v>
      </c>
      <c r="AN1202">
        <v>0.75900000000000001</v>
      </c>
    </row>
    <row r="1203" spans="1:40">
      <c r="A1203">
        <v>3271</v>
      </c>
      <c r="B1203" t="s">
        <v>689</v>
      </c>
      <c r="C1203" t="s">
        <v>687</v>
      </c>
      <c r="D1203" t="s">
        <v>688</v>
      </c>
      <c r="E1203">
        <v>54</v>
      </c>
      <c r="F1203">
        <v>222</v>
      </c>
      <c r="G1203">
        <v>13.970779459999999</v>
      </c>
      <c r="H1203">
        <v>61</v>
      </c>
      <c r="I1203">
        <v>2.1838370999999999E-2</v>
      </c>
      <c r="J1203">
        <v>283</v>
      </c>
      <c r="K1203">
        <v>12958.84203</v>
      </c>
      <c r="L1203">
        <v>0.80400000000000005</v>
      </c>
      <c r="M1203">
        <v>0.53043478300000002</v>
      </c>
      <c r="N1203">
        <v>0</v>
      </c>
      <c r="O1203" t="s">
        <v>613</v>
      </c>
      <c r="P1203">
        <f t="shared" si="164"/>
        <v>12.704545449999999</v>
      </c>
      <c r="Q1203">
        <f t="shared" si="165"/>
        <v>2.5999999999999999E-2</v>
      </c>
      <c r="R1203">
        <f t="shared" si="166"/>
        <v>7.0000000000000001E-3</v>
      </c>
      <c r="S1203">
        <f t="shared" si="167"/>
        <v>0.80400000000000005</v>
      </c>
      <c r="T1203">
        <f t="shared" si="168"/>
        <v>1.875</v>
      </c>
      <c r="U1203">
        <f t="shared" si="169"/>
        <v>5.5049152540000001</v>
      </c>
      <c r="V1203">
        <f t="shared" si="170"/>
        <v>6.2414117647058849E-2</v>
      </c>
      <c r="W1203">
        <f t="shared" si="171"/>
        <v>0.214</v>
      </c>
      <c r="X1203">
        <f t="shared" si="172"/>
        <v>0.78600000000000003</v>
      </c>
      <c r="Y1203">
        <v>250.31655889999999</v>
      </c>
      <c r="Z1203">
        <v>0</v>
      </c>
      <c r="AA1203">
        <v>454184</v>
      </c>
      <c r="AB1203">
        <v>170596</v>
      </c>
      <c r="AC1203">
        <v>6.5715274000000004E-2</v>
      </c>
      <c r="AD1203">
        <v>0.72549415100000003</v>
      </c>
      <c r="AF1203">
        <v>12.704545449999999</v>
      </c>
      <c r="AG1203">
        <v>2.5999999999999999E-2</v>
      </c>
      <c r="AH1203">
        <v>7.0000000000000001E-3</v>
      </c>
      <c r="AI1203">
        <v>0.80400000000000005</v>
      </c>
      <c r="AJ1203">
        <v>1.875</v>
      </c>
      <c r="AK1203">
        <v>5.5049152540000001</v>
      </c>
      <c r="AL1203">
        <v>0</v>
      </c>
      <c r="AM1203">
        <v>0.214</v>
      </c>
      <c r="AN1203">
        <v>0.78600000000000003</v>
      </c>
    </row>
    <row r="1204" spans="1:40">
      <c r="A1204">
        <v>3272</v>
      </c>
      <c r="B1204" t="s">
        <v>689</v>
      </c>
      <c r="C1204" t="s">
        <v>687</v>
      </c>
      <c r="D1204" t="s">
        <v>688</v>
      </c>
      <c r="E1204">
        <v>118</v>
      </c>
      <c r="F1204">
        <v>435</v>
      </c>
      <c r="G1204">
        <v>38.856557940000002</v>
      </c>
      <c r="H1204">
        <v>45</v>
      </c>
      <c r="I1204">
        <v>6.0740066000000002E-2</v>
      </c>
      <c r="J1204">
        <v>480</v>
      </c>
      <c r="K1204">
        <v>7902.5268100000003</v>
      </c>
      <c r="L1204">
        <v>0.83499999999999996</v>
      </c>
      <c r="M1204">
        <v>0.27607362000000002</v>
      </c>
      <c r="N1204">
        <v>0</v>
      </c>
      <c r="O1204" t="s">
        <v>620</v>
      </c>
      <c r="P1204">
        <f t="shared" si="164"/>
        <v>13.24205128</v>
      </c>
      <c r="Q1204">
        <f t="shared" si="165"/>
        <v>5.3999999999999999E-2</v>
      </c>
      <c r="R1204">
        <f t="shared" si="166"/>
        <v>4.2999999999999997E-2</v>
      </c>
      <c r="S1204">
        <f t="shared" si="167"/>
        <v>0.83499999999999996</v>
      </c>
      <c r="T1204">
        <f t="shared" si="168"/>
        <v>1.390833333</v>
      </c>
      <c r="U1204">
        <f t="shared" si="169"/>
        <v>7.3556880729999996</v>
      </c>
      <c r="V1204">
        <f t="shared" si="170"/>
        <v>3.7999999999999999E-2</v>
      </c>
      <c r="W1204">
        <f t="shared" si="171"/>
        <v>0.22600000000000001</v>
      </c>
      <c r="X1204">
        <f t="shared" si="172"/>
        <v>0.73599999999999999</v>
      </c>
      <c r="Y1204">
        <v>61.918096579999997</v>
      </c>
      <c r="Z1204">
        <v>0</v>
      </c>
      <c r="AA1204">
        <v>454184</v>
      </c>
      <c r="AB1204">
        <v>170596</v>
      </c>
      <c r="AC1204">
        <v>6.5715274000000004E-2</v>
      </c>
      <c r="AD1204">
        <v>0.72549415100000003</v>
      </c>
      <c r="AF1204">
        <v>13.24205128</v>
      </c>
      <c r="AG1204">
        <v>5.3999999999999999E-2</v>
      </c>
      <c r="AH1204">
        <v>4.2999999999999997E-2</v>
      </c>
      <c r="AI1204">
        <v>0.83499999999999996</v>
      </c>
      <c r="AJ1204">
        <v>1.390833333</v>
      </c>
      <c r="AK1204">
        <v>7.3556880729999996</v>
      </c>
      <c r="AL1204">
        <v>3.7999999999999999E-2</v>
      </c>
      <c r="AM1204">
        <v>0.22600000000000001</v>
      </c>
      <c r="AN1204">
        <v>0.73599999999999999</v>
      </c>
    </row>
    <row r="1205" spans="1:40">
      <c r="A1205">
        <v>3273</v>
      </c>
      <c r="B1205" t="s">
        <v>689</v>
      </c>
      <c r="C1205" t="s">
        <v>687</v>
      </c>
      <c r="D1205" t="s">
        <v>688</v>
      </c>
      <c r="E1205">
        <v>1</v>
      </c>
      <c r="F1205">
        <v>132</v>
      </c>
      <c r="G1205">
        <v>102.084075</v>
      </c>
      <c r="H1205">
        <v>1005</v>
      </c>
      <c r="I1205">
        <v>0.15956514399999999</v>
      </c>
      <c r="J1205">
        <v>1137</v>
      </c>
      <c r="K1205">
        <v>7125.6163560000005</v>
      </c>
      <c r="L1205">
        <v>0.93</v>
      </c>
      <c r="M1205">
        <v>0.99900596399999997</v>
      </c>
      <c r="N1205">
        <v>0</v>
      </c>
      <c r="O1205" t="s">
        <v>620</v>
      </c>
      <c r="P1205">
        <f t="shared" si="164"/>
        <v>16.52907767</v>
      </c>
      <c r="Q1205">
        <f t="shared" si="165"/>
        <v>2.7E-2</v>
      </c>
      <c r="R1205">
        <f t="shared" si="166"/>
        <v>8.0000000000000002E-3</v>
      </c>
      <c r="S1205">
        <f t="shared" si="167"/>
        <v>0.93</v>
      </c>
      <c r="T1205">
        <f t="shared" si="168"/>
        <v>3.5049999999999999</v>
      </c>
      <c r="U1205">
        <f t="shared" si="169"/>
        <v>10.331050299999999</v>
      </c>
      <c r="V1205">
        <f t="shared" si="170"/>
        <v>8.9999999999999993E-3</v>
      </c>
      <c r="W1205">
        <f t="shared" si="171"/>
        <v>3.6999999999999998E-2</v>
      </c>
      <c r="X1205">
        <f t="shared" si="172"/>
        <v>0.95399999999999996</v>
      </c>
      <c r="Y1205">
        <v>61.217037269999999</v>
      </c>
      <c r="Z1205">
        <v>0</v>
      </c>
      <c r="AA1205">
        <v>454184</v>
      </c>
      <c r="AB1205">
        <v>170596</v>
      </c>
      <c r="AC1205">
        <v>6.5715274000000004E-2</v>
      </c>
      <c r="AD1205">
        <v>0.72549415100000003</v>
      </c>
      <c r="AF1205">
        <v>16.52907767</v>
      </c>
      <c r="AG1205">
        <v>2.7E-2</v>
      </c>
      <c r="AH1205">
        <v>8.0000000000000002E-3</v>
      </c>
      <c r="AI1205">
        <v>0.93</v>
      </c>
      <c r="AJ1205">
        <v>3.5049999999999999</v>
      </c>
      <c r="AK1205">
        <v>10.331050299999999</v>
      </c>
      <c r="AL1205">
        <v>8.9999999999999993E-3</v>
      </c>
      <c r="AM1205">
        <v>3.6999999999999998E-2</v>
      </c>
      <c r="AN1205">
        <v>0.95399999999999996</v>
      </c>
    </row>
    <row r="1206" spans="1:40">
      <c r="A1206">
        <v>3274</v>
      </c>
      <c r="B1206" t="s">
        <v>689</v>
      </c>
      <c r="C1206" t="s">
        <v>687</v>
      </c>
      <c r="D1206" t="s">
        <v>688</v>
      </c>
      <c r="E1206">
        <v>9</v>
      </c>
      <c r="F1206">
        <v>21</v>
      </c>
      <c r="G1206">
        <v>58.817578570000002</v>
      </c>
      <c r="H1206">
        <v>852</v>
      </c>
      <c r="I1206">
        <v>9.1935605000000004E-2</v>
      </c>
      <c r="J1206">
        <v>873</v>
      </c>
      <c r="K1206">
        <v>9495.7769630000003</v>
      </c>
      <c r="L1206">
        <v>0.79500000000000004</v>
      </c>
      <c r="M1206">
        <v>0.98954703799999999</v>
      </c>
      <c r="N1206">
        <v>1</v>
      </c>
      <c r="O1206" t="s">
        <v>613</v>
      </c>
      <c r="P1206">
        <f t="shared" si="164"/>
        <v>16.003983049999999</v>
      </c>
      <c r="Q1206">
        <f t="shared" si="165"/>
        <v>7.4999999999999997E-2</v>
      </c>
      <c r="R1206">
        <f t="shared" si="166"/>
        <v>1.2E-2</v>
      </c>
      <c r="S1206">
        <f t="shared" si="167"/>
        <v>0.79500000000000004</v>
      </c>
      <c r="T1206">
        <f t="shared" si="168"/>
        <v>2.71</v>
      </c>
      <c r="U1206">
        <f t="shared" si="169"/>
        <v>9.3820967740000007</v>
      </c>
      <c r="V1206">
        <f t="shared" si="170"/>
        <v>4.2000000000000003E-2</v>
      </c>
      <c r="W1206">
        <f t="shared" si="171"/>
        <v>0.223</v>
      </c>
      <c r="X1206">
        <f t="shared" si="172"/>
        <v>0.71099999999999997</v>
      </c>
      <c r="Y1206">
        <v>72.322009620000003</v>
      </c>
      <c r="Z1206">
        <v>0</v>
      </c>
      <c r="AA1206">
        <v>454184</v>
      </c>
      <c r="AB1206">
        <v>170596</v>
      </c>
      <c r="AC1206">
        <v>6.5715274000000004E-2</v>
      </c>
      <c r="AD1206">
        <v>0.72549415100000003</v>
      </c>
      <c r="AF1206">
        <v>16.003983049999999</v>
      </c>
      <c r="AG1206">
        <v>7.4999999999999997E-2</v>
      </c>
      <c r="AH1206">
        <v>1.2E-2</v>
      </c>
      <c r="AI1206">
        <v>0.79500000000000004</v>
      </c>
      <c r="AJ1206">
        <v>2.71</v>
      </c>
      <c r="AK1206">
        <v>9.3820967740000007</v>
      </c>
      <c r="AL1206">
        <v>4.2000000000000003E-2</v>
      </c>
      <c r="AM1206">
        <v>0.223</v>
      </c>
      <c r="AN1206">
        <v>0.71099999999999997</v>
      </c>
    </row>
    <row r="1207" spans="1:40">
      <c r="A1207">
        <v>3275</v>
      </c>
      <c r="B1207" t="s">
        <v>689</v>
      </c>
      <c r="C1207" t="s">
        <v>687</v>
      </c>
      <c r="D1207" t="s">
        <v>688</v>
      </c>
      <c r="E1207">
        <v>233</v>
      </c>
      <c r="F1207">
        <v>539</v>
      </c>
      <c r="G1207">
        <v>140.5670811</v>
      </c>
      <c r="H1207">
        <v>1323</v>
      </c>
      <c r="I1207">
        <v>0.219727953</v>
      </c>
      <c r="J1207">
        <v>1862</v>
      </c>
      <c r="K1207">
        <v>8474.1152619999993</v>
      </c>
      <c r="L1207">
        <v>0.84599999999999997</v>
      </c>
      <c r="M1207">
        <v>0.85025706899999998</v>
      </c>
      <c r="N1207">
        <v>1</v>
      </c>
      <c r="O1207" t="s">
        <v>613</v>
      </c>
      <c r="P1207">
        <f t="shared" si="164"/>
        <v>12.87055046</v>
      </c>
      <c r="Q1207">
        <f t="shared" si="165"/>
        <v>5.5E-2</v>
      </c>
      <c r="R1207">
        <f t="shared" si="166"/>
        <v>0.03</v>
      </c>
      <c r="S1207">
        <f t="shared" si="167"/>
        <v>0.84599999999999997</v>
      </c>
      <c r="T1207">
        <f t="shared" si="168"/>
        <v>2.3488888889999999</v>
      </c>
      <c r="U1207">
        <f t="shared" si="169"/>
        <v>8.4399900300000006</v>
      </c>
      <c r="V1207">
        <f t="shared" si="170"/>
        <v>3.5999999999999997E-2</v>
      </c>
      <c r="W1207">
        <f t="shared" si="171"/>
        <v>9.1999999999999998E-2</v>
      </c>
      <c r="X1207">
        <f t="shared" si="172"/>
        <v>0.872</v>
      </c>
      <c r="Y1207">
        <v>72.416142339999993</v>
      </c>
      <c r="Z1207">
        <v>0</v>
      </c>
      <c r="AA1207">
        <v>454184</v>
      </c>
      <c r="AB1207">
        <v>170596</v>
      </c>
      <c r="AC1207">
        <v>6.5715274000000004E-2</v>
      </c>
      <c r="AD1207">
        <v>0.72549415100000003</v>
      </c>
      <c r="AF1207">
        <v>12.87055046</v>
      </c>
      <c r="AG1207">
        <v>5.5E-2</v>
      </c>
      <c r="AH1207">
        <v>0.03</v>
      </c>
      <c r="AI1207">
        <v>0.84599999999999997</v>
      </c>
      <c r="AJ1207">
        <v>2.3488888889999999</v>
      </c>
      <c r="AK1207">
        <v>8.4399900300000006</v>
      </c>
      <c r="AL1207">
        <v>3.5999999999999997E-2</v>
      </c>
      <c r="AM1207">
        <v>9.1999999999999998E-2</v>
      </c>
      <c r="AN1207">
        <v>0.872</v>
      </c>
    </row>
    <row r="1208" spans="1:40">
      <c r="A1208">
        <v>3276</v>
      </c>
      <c r="B1208" t="s">
        <v>689</v>
      </c>
      <c r="C1208" t="s">
        <v>687</v>
      </c>
      <c r="D1208" t="s">
        <v>688</v>
      </c>
      <c r="E1208">
        <v>0</v>
      </c>
      <c r="F1208">
        <v>118</v>
      </c>
      <c r="G1208">
        <v>357.54942240000003</v>
      </c>
      <c r="H1208">
        <v>2039</v>
      </c>
      <c r="I1208">
        <v>0.55890209400000002</v>
      </c>
      <c r="J1208">
        <v>2157</v>
      </c>
      <c r="K1208">
        <v>3859.3521529999998</v>
      </c>
      <c r="L1208">
        <v>0.92600000000000005</v>
      </c>
      <c r="M1208" s="515">
        <v>1</v>
      </c>
      <c r="N1208">
        <v>0</v>
      </c>
      <c r="O1208" t="s">
        <v>620</v>
      </c>
      <c r="P1208">
        <f t="shared" si="164"/>
        <v>11.872908499999999</v>
      </c>
      <c r="Q1208">
        <f t="shared" si="165"/>
        <v>2.1999999999999999E-2</v>
      </c>
      <c r="R1208">
        <f t="shared" si="166"/>
        <v>1.4E-2</v>
      </c>
      <c r="S1208">
        <f t="shared" si="167"/>
        <v>0.92600000000000005</v>
      </c>
      <c r="T1208">
        <f t="shared" si="168"/>
        <v>3.4006249999999998</v>
      </c>
      <c r="U1208">
        <f t="shared" si="169"/>
        <v>9.4021931589999994</v>
      </c>
      <c r="V1208">
        <f t="shared" si="170"/>
        <v>0.03</v>
      </c>
      <c r="W1208">
        <f t="shared" si="171"/>
        <v>3.6999999999999998E-2</v>
      </c>
      <c r="X1208">
        <f t="shared" si="172"/>
        <v>0.93300000000000005</v>
      </c>
      <c r="Y1208">
        <v>71.83867497</v>
      </c>
      <c r="Z1208">
        <v>0</v>
      </c>
      <c r="AA1208">
        <v>454184</v>
      </c>
      <c r="AB1208">
        <v>170596</v>
      </c>
      <c r="AC1208">
        <v>6.5715274000000004E-2</v>
      </c>
      <c r="AD1208">
        <v>0.72549415100000003</v>
      </c>
      <c r="AF1208">
        <v>11.872908499999999</v>
      </c>
      <c r="AG1208">
        <v>2.1999999999999999E-2</v>
      </c>
      <c r="AH1208">
        <v>1.4E-2</v>
      </c>
      <c r="AI1208">
        <v>0.92600000000000005</v>
      </c>
      <c r="AJ1208">
        <v>3.4006249999999998</v>
      </c>
      <c r="AK1208">
        <v>9.4021931589999994</v>
      </c>
      <c r="AL1208">
        <v>0.03</v>
      </c>
      <c r="AM1208">
        <v>3.6999999999999998E-2</v>
      </c>
      <c r="AN1208">
        <v>0.93300000000000005</v>
      </c>
    </row>
    <row r="1209" spans="1:40">
      <c r="A1209">
        <v>3277</v>
      </c>
      <c r="B1209" t="s">
        <v>689</v>
      </c>
      <c r="C1209" t="s">
        <v>687</v>
      </c>
      <c r="D1209" t="s">
        <v>688</v>
      </c>
      <c r="E1209">
        <v>286</v>
      </c>
      <c r="F1209">
        <v>1015</v>
      </c>
      <c r="G1209">
        <v>37.37871269</v>
      </c>
      <c r="H1209">
        <v>74</v>
      </c>
      <c r="I1209">
        <v>5.8430088999999998E-2</v>
      </c>
      <c r="J1209">
        <v>1089</v>
      </c>
      <c r="K1209">
        <v>18637.657729999999</v>
      </c>
      <c r="L1209">
        <v>0.72</v>
      </c>
      <c r="M1209">
        <v>0.205555556</v>
      </c>
      <c r="N1209">
        <v>0</v>
      </c>
      <c r="O1209" t="s">
        <v>613</v>
      </c>
      <c r="P1209">
        <f t="shared" si="164"/>
        <v>10.657444440000001</v>
      </c>
      <c r="Q1209">
        <f t="shared" si="165"/>
        <v>4.5999999999999999E-2</v>
      </c>
      <c r="R1209">
        <f t="shared" si="166"/>
        <v>2.7E-2</v>
      </c>
      <c r="S1209">
        <f t="shared" si="167"/>
        <v>0.72</v>
      </c>
      <c r="T1209">
        <f t="shared" si="168"/>
        <v>1.8525</v>
      </c>
      <c r="U1209">
        <f t="shared" si="169"/>
        <v>5.9710931169999997</v>
      </c>
      <c r="V1209">
        <f t="shared" si="170"/>
        <v>2.5999999999999999E-2</v>
      </c>
      <c r="W1209">
        <f t="shared" si="171"/>
        <v>0.13200000000000001</v>
      </c>
      <c r="X1209">
        <f t="shared" si="172"/>
        <v>0.78900000000000003</v>
      </c>
      <c r="Y1209">
        <v>151.69560849999999</v>
      </c>
      <c r="Z1209">
        <v>0</v>
      </c>
      <c r="AA1209">
        <v>454184</v>
      </c>
      <c r="AB1209">
        <v>170596</v>
      </c>
      <c r="AC1209">
        <v>6.5715274000000004E-2</v>
      </c>
      <c r="AD1209">
        <v>0.72549415100000003</v>
      </c>
      <c r="AF1209">
        <v>10.657444440000001</v>
      </c>
      <c r="AG1209">
        <v>4.5999999999999999E-2</v>
      </c>
      <c r="AH1209">
        <v>2.7E-2</v>
      </c>
      <c r="AI1209">
        <v>0.72</v>
      </c>
      <c r="AJ1209">
        <v>1.8525</v>
      </c>
      <c r="AK1209">
        <v>5.9710931169999997</v>
      </c>
      <c r="AL1209">
        <v>2.5999999999999999E-2</v>
      </c>
      <c r="AM1209">
        <v>0.13200000000000001</v>
      </c>
      <c r="AN1209">
        <v>0.78900000000000003</v>
      </c>
    </row>
    <row r="1210" spans="1:40">
      <c r="A1210">
        <v>3278</v>
      </c>
      <c r="B1210" t="s">
        <v>689</v>
      </c>
      <c r="C1210" t="s">
        <v>687</v>
      </c>
      <c r="D1210" t="s">
        <v>688</v>
      </c>
      <c r="E1210">
        <v>73</v>
      </c>
      <c r="F1210">
        <v>295</v>
      </c>
      <c r="G1210">
        <v>19.358742230000001</v>
      </c>
      <c r="H1210">
        <v>199</v>
      </c>
      <c r="I1210">
        <v>3.0254717E-2</v>
      </c>
      <c r="J1210">
        <v>494</v>
      </c>
      <c r="K1210">
        <v>16328.03242</v>
      </c>
      <c r="L1210">
        <v>0.77500000000000002</v>
      </c>
      <c r="M1210">
        <v>0.73161764699999998</v>
      </c>
      <c r="N1210">
        <v>1</v>
      </c>
      <c r="O1210" t="s">
        <v>613</v>
      </c>
      <c r="P1210">
        <f t="shared" si="164"/>
        <v>12.950312500000001</v>
      </c>
      <c r="Q1210">
        <f t="shared" si="165"/>
        <v>2.8000000000000001E-2</v>
      </c>
      <c r="R1210">
        <f t="shared" si="166"/>
        <v>2.1000000000000001E-2</v>
      </c>
      <c r="S1210">
        <f t="shared" si="167"/>
        <v>0.77500000000000002</v>
      </c>
      <c r="T1210">
        <f t="shared" si="168"/>
        <v>1.5833333329999999</v>
      </c>
      <c r="U1210">
        <f t="shared" si="169"/>
        <v>7.7326923079999998</v>
      </c>
      <c r="V1210">
        <f t="shared" si="170"/>
        <v>0.105</v>
      </c>
      <c r="W1210">
        <f t="shared" si="171"/>
        <v>5.2999999999999999E-2</v>
      </c>
      <c r="X1210">
        <f t="shared" si="172"/>
        <v>0.84199999999999997</v>
      </c>
      <c r="Y1210">
        <v>154.69307459999999</v>
      </c>
      <c r="Z1210">
        <v>0</v>
      </c>
      <c r="AA1210">
        <v>454184</v>
      </c>
      <c r="AB1210">
        <v>170596</v>
      </c>
      <c r="AC1210">
        <v>6.5715274000000004E-2</v>
      </c>
      <c r="AD1210">
        <v>0.72549415100000003</v>
      </c>
      <c r="AF1210">
        <v>12.950312500000001</v>
      </c>
      <c r="AG1210">
        <v>2.8000000000000001E-2</v>
      </c>
      <c r="AH1210">
        <v>2.1000000000000001E-2</v>
      </c>
      <c r="AI1210">
        <v>0.77500000000000002</v>
      </c>
      <c r="AJ1210">
        <v>1.5833333329999999</v>
      </c>
      <c r="AK1210">
        <v>7.7326923079999998</v>
      </c>
      <c r="AL1210">
        <v>0.105</v>
      </c>
      <c r="AM1210">
        <v>5.2999999999999999E-2</v>
      </c>
      <c r="AN1210">
        <v>0.84199999999999997</v>
      </c>
    </row>
    <row r="1211" spans="1:40">
      <c r="A1211">
        <v>3279</v>
      </c>
      <c r="B1211" t="s">
        <v>689</v>
      </c>
      <c r="C1211" t="s">
        <v>687</v>
      </c>
      <c r="D1211" t="s">
        <v>688</v>
      </c>
      <c r="E1211">
        <v>0</v>
      </c>
      <c r="F1211">
        <v>0</v>
      </c>
      <c r="G1211">
        <v>349.94829629999998</v>
      </c>
      <c r="H1211">
        <v>0</v>
      </c>
      <c r="I1211">
        <v>0.54701279700000005</v>
      </c>
      <c r="J1211">
        <v>0</v>
      </c>
      <c r="K1211">
        <v>0</v>
      </c>
      <c r="L1211"/>
      <c r="M1211">
        <v>0</v>
      </c>
      <c r="N1211">
        <v>0</v>
      </c>
      <c r="O1211" t="s">
        <v>625</v>
      </c>
      <c r="P1211">
        <f t="shared" si="164"/>
        <v>11.579052053544256</v>
      </c>
      <c r="Q1211">
        <f t="shared" si="165"/>
        <v>6.0302483069977368E-2</v>
      </c>
      <c r="R1211">
        <f t="shared" si="166"/>
        <v>3.1352808988764011E-2</v>
      </c>
      <c r="S1211">
        <f t="shared" si="167"/>
        <v>0.74105973451327412</v>
      </c>
      <c r="T1211">
        <f t="shared" si="168"/>
        <v>2.2353522564471904</v>
      </c>
      <c r="U1211">
        <f t="shared" si="169"/>
        <v>6.7520359499358396</v>
      </c>
      <c r="V1211">
        <f t="shared" si="170"/>
        <v>6.2414117647058849E-2</v>
      </c>
      <c r="W1211">
        <f t="shared" si="171"/>
        <v>0.17334782608695659</v>
      </c>
      <c r="X1211">
        <f t="shared" si="172"/>
        <v>0.71361061946902715</v>
      </c>
      <c r="Y1211">
        <v>38.177757730000003</v>
      </c>
      <c r="Z1211">
        <v>0</v>
      </c>
      <c r="AA1211">
        <v>454184</v>
      </c>
      <c r="AB1211">
        <v>170596</v>
      </c>
      <c r="AC1211">
        <v>6.5715274000000004E-2</v>
      </c>
      <c r="AD1211">
        <v>0.72549415100000003</v>
      </c>
    </row>
    <row r="1212" spans="1:40">
      <c r="A1212">
        <v>3280</v>
      </c>
      <c r="B1212" t="s">
        <v>702</v>
      </c>
      <c r="C1212" t="s">
        <v>696</v>
      </c>
      <c r="D1212" t="s">
        <v>697</v>
      </c>
      <c r="E1212">
        <v>396</v>
      </c>
      <c r="F1212">
        <v>1175</v>
      </c>
      <c r="G1212">
        <v>66.028694299999998</v>
      </c>
      <c r="H1212">
        <v>421</v>
      </c>
      <c r="I1212">
        <v>0.103211292</v>
      </c>
      <c r="J1212">
        <v>1596</v>
      </c>
      <c r="K1212">
        <v>15463.424290000001</v>
      </c>
      <c r="L1212">
        <v>0.78700000000000003</v>
      </c>
      <c r="M1212">
        <v>0.51529987799999999</v>
      </c>
      <c r="N1212">
        <v>1</v>
      </c>
      <c r="O1212" t="s">
        <v>613</v>
      </c>
      <c r="P1212">
        <f t="shared" si="164"/>
        <v>10.5337069</v>
      </c>
      <c r="Q1212">
        <f t="shared" si="165"/>
        <v>5.1999999999999998E-2</v>
      </c>
      <c r="R1212">
        <f t="shared" si="166"/>
        <v>2.4E-2</v>
      </c>
      <c r="S1212">
        <f t="shared" si="167"/>
        <v>0.78700000000000003</v>
      </c>
      <c r="T1212">
        <f t="shared" si="168"/>
        <v>2.4096153849999999</v>
      </c>
      <c r="U1212">
        <f t="shared" si="169"/>
        <v>6.2146432889999996</v>
      </c>
      <c r="V1212">
        <f t="shared" si="170"/>
        <v>8.7999999999999995E-2</v>
      </c>
      <c r="W1212">
        <f t="shared" si="171"/>
        <v>0.16400000000000001</v>
      </c>
      <c r="X1212">
        <f t="shared" si="172"/>
        <v>0.67800000000000005</v>
      </c>
      <c r="Y1212">
        <v>192.99716939999999</v>
      </c>
      <c r="Z1212">
        <v>0</v>
      </c>
      <c r="AA1212">
        <v>90778</v>
      </c>
      <c r="AB1212">
        <v>31662</v>
      </c>
      <c r="AC1212">
        <v>3.1753482E-2</v>
      </c>
      <c r="AD1212">
        <v>0.82960131100000001</v>
      </c>
      <c r="AF1212">
        <v>10.5337069</v>
      </c>
      <c r="AG1212">
        <v>5.1999999999999998E-2</v>
      </c>
      <c r="AH1212">
        <v>2.4E-2</v>
      </c>
      <c r="AI1212">
        <v>0.78700000000000003</v>
      </c>
      <c r="AJ1212">
        <v>2.4096153849999999</v>
      </c>
      <c r="AK1212">
        <v>6.2146432889999996</v>
      </c>
      <c r="AL1212">
        <v>8.7999999999999995E-2</v>
      </c>
      <c r="AM1212">
        <v>0.16400000000000001</v>
      </c>
      <c r="AN1212">
        <v>0.67800000000000005</v>
      </c>
    </row>
    <row r="1213" spans="1:40">
      <c r="A1213">
        <v>3281</v>
      </c>
      <c r="B1213" t="s">
        <v>702</v>
      </c>
      <c r="C1213" t="s">
        <v>696</v>
      </c>
      <c r="D1213" t="s">
        <v>697</v>
      </c>
      <c r="E1213">
        <v>449</v>
      </c>
      <c r="F1213">
        <v>1318</v>
      </c>
      <c r="G1213">
        <v>133.49268050000001</v>
      </c>
      <c r="H1213">
        <v>3413</v>
      </c>
      <c r="I1213">
        <v>0.208662504</v>
      </c>
      <c r="J1213">
        <v>4731</v>
      </c>
      <c r="K1213">
        <v>22672.976259999999</v>
      </c>
      <c r="L1213">
        <v>0.84899999999999998</v>
      </c>
      <c r="M1213">
        <v>0.88373899499999997</v>
      </c>
      <c r="N1213">
        <v>0</v>
      </c>
      <c r="O1213" t="s">
        <v>613</v>
      </c>
      <c r="P1213">
        <f t="shared" si="164"/>
        <v>15.704150329999999</v>
      </c>
      <c r="Q1213">
        <f t="shared" si="165"/>
        <v>2.5000000000000001E-2</v>
      </c>
      <c r="R1213">
        <f t="shared" si="166"/>
        <v>2.1000000000000001E-2</v>
      </c>
      <c r="S1213">
        <f t="shared" si="167"/>
        <v>0.84899999999999998</v>
      </c>
      <c r="T1213">
        <f t="shared" si="168"/>
        <v>2.2545454550000001</v>
      </c>
      <c r="U1213">
        <f t="shared" si="169"/>
        <v>10.743624090000001</v>
      </c>
      <c r="V1213">
        <f t="shared" si="170"/>
        <v>3.1E-2</v>
      </c>
      <c r="W1213">
        <f t="shared" si="171"/>
        <v>0.05</v>
      </c>
      <c r="X1213">
        <f t="shared" si="172"/>
        <v>0.874</v>
      </c>
      <c r="Y1213">
        <v>33.153406220000001</v>
      </c>
      <c r="Z1213">
        <v>0</v>
      </c>
      <c r="AA1213">
        <v>90778</v>
      </c>
      <c r="AB1213">
        <v>31662</v>
      </c>
      <c r="AC1213">
        <v>3.1753482E-2</v>
      </c>
      <c r="AD1213">
        <v>0.82960131100000001</v>
      </c>
      <c r="AF1213">
        <v>15.704150329999999</v>
      </c>
      <c r="AG1213">
        <v>2.5000000000000001E-2</v>
      </c>
      <c r="AH1213">
        <v>2.1000000000000001E-2</v>
      </c>
      <c r="AI1213">
        <v>0.84899999999999998</v>
      </c>
      <c r="AJ1213">
        <v>2.2545454550000001</v>
      </c>
      <c r="AK1213">
        <v>10.743624090000001</v>
      </c>
      <c r="AL1213">
        <v>3.1E-2</v>
      </c>
      <c r="AM1213">
        <v>0.05</v>
      </c>
      <c r="AN1213">
        <v>0.874</v>
      </c>
    </row>
    <row r="1214" spans="1:40">
      <c r="A1214">
        <v>3282</v>
      </c>
      <c r="B1214" t="s">
        <v>702</v>
      </c>
      <c r="C1214" t="s">
        <v>696</v>
      </c>
      <c r="D1214" t="s">
        <v>697</v>
      </c>
      <c r="E1214">
        <v>16</v>
      </c>
      <c r="F1214">
        <v>55</v>
      </c>
      <c r="G1214">
        <v>233.9753499</v>
      </c>
      <c r="H1214">
        <v>2980</v>
      </c>
      <c r="I1214">
        <v>0.36572811100000002</v>
      </c>
      <c r="J1214">
        <v>3035</v>
      </c>
      <c r="K1214">
        <v>8298.5144120000004</v>
      </c>
      <c r="L1214">
        <v>0.92900000000000005</v>
      </c>
      <c r="M1214">
        <v>0.99465954599999995</v>
      </c>
      <c r="N1214">
        <v>0</v>
      </c>
      <c r="O1214" t="s">
        <v>620</v>
      </c>
      <c r="P1214">
        <f t="shared" si="164"/>
        <v>14.46850716</v>
      </c>
      <c r="Q1214">
        <f t="shared" si="165"/>
        <v>1E-3</v>
      </c>
      <c r="R1214">
        <f t="shared" si="166"/>
        <v>3.3000000000000002E-2</v>
      </c>
      <c r="S1214">
        <f t="shared" si="167"/>
        <v>0.92900000000000005</v>
      </c>
      <c r="T1214">
        <f t="shared" si="168"/>
        <v>2.9805000000000001</v>
      </c>
      <c r="U1214">
        <f t="shared" si="169"/>
        <v>10.178160099999999</v>
      </c>
      <c r="V1214">
        <f t="shared" si="170"/>
        <v>6.7000000000000004E-2</v>
      </c>
      <c r="W1214">
        <f t="shared" si="171"/>
        <v>4.0000000000000001E-3</v>
      </c>
      <c r="X1214">
        <f t="shared" si="172"/>
        <v>0.93</v>
      </c>
      <c r="Y1214">
        <v>38.797885950000001</v>
      </c>
      <c r="Z1214">
        <v>0</v>
      </c>
      <c r="AA1214">
        <v>90778</v>
      </c>
      <c r="AB1214">
        <v>31662</v>
      </c>
      <c r="AC1214">
        <v>3.1753482E-2</v>
      </c>
      <c r="AD1214">
        <v>0.82960131100000001</v>
      </c>
      <c r="AF1214">
        <v>14.46850716</v>
      </c>
      <c r="AG1214">
        <v>1E-3</v>
      </c>
      <c r="AH1214">
        <v>3.3000000000000002E-2</v>
      </c>
      <c r="AI1214">
        <v>0.92900000000000005</v>
      </c>
      <c r="AJ1214">
        <v>2.9805000000000001</v>
      </c>
      <c r="AK1214">
        <v>10.178160099999999</v>
      </c>
      <c r="AL1214">
        <v>6.7000000000000004E-2</v>
      </c>
      <c r="AM1214">
        <v>4.0000000000000001E-3</v>
      </c>
      <c r="AN1214">
        <v>0.93</v>
      </c>
    </row>
    <row r="1215" spans="1:40">
      <c r="A1215">
        <v>3283</v>
      </c>
      <c r="B1215" t="s">
        <v>702</v>
      </c>
      <c r="C1215" t="s">
        <v>696</v>
      </c>
      <c r="D1215" t="s">
        <v>697</v>
      </c>
      <c r="E1215">
        <v>548</v>
      </c>
      <c r="F1215">
        <v>1816</v>
      </c>
      <c r="G1215">
        <v>87.532613389999995</v>
      </c>
      <c r="H1215">
        <v>118</v>
      </c>
      <c r="I1215">
        <v>0.13682176800000001</v>
      </c>
      <c r="J1215">
        <v>1934</v>
      </c>
      <c r="K1215">
        <v>14135.177669999999</v>
      </c>
      <c r="L1215">
        <v>0.79</v>
      </c>
      <c r="M1215">
        <v>0.17717717699999999</v>
      </c>
      <c r="N1215">
        <v>0</v>
      </c>
      <c r="O1215" t="s">
        <v>620</v>
      </c>
      <c r="P1215">
        <f t="shared" si="164"/>
        <v>11.977663550000001</v>
      </c>
      <c r="Q1215">
        <f t="shared" si="165"/>
        <v>3.4000000000000002E-2</v>
      </c>
      <c r="R1215">
        <f t="shared" si="166"/>
        <v>3.1E-2</v>
      </c>
      <c r="S1215">
        <f t="shared" si="167"/>
        <v>0.79</v>
      </c>
      <c r="T1215">
        <f t="shared" si="168"/>
        <v>2.4091304349999998</v>
      </c>
      <c r="U1215">
        <f t="shared" si="169"/>
        <v>6.8233576640000004</v>
      </c>
      <c r="V1215">
        <f t="shared" si="170"/>
        <v>6.2E-2</v>
      </c>
      <c r="W1215">
        <f t="shared" si="171"/>
        <v>0.123</v>
      </c>
      <c r="X1215">
        <f t="shared" si="172"/>
        <v>0.73299999999999998</v>
      </c>
      <c r="Y1215">
        <v>38.508956779999998</v>
      </c>
      <c r="Z1215">
        <v>0</v>
      </c>
      <c r="AA1215">
        <v>90778</v>
      </c>
      <c r="AB1215">
        <v>31662</v>
      </c>
      <c r="AC1215">
        <v>3.1753482E-2</v>
      </c>
      <c r="AD1215">
        <v>0.82960131100000001</v>
      </c>
      <c r="AF1215">
        <v>11.977663550000001</v>
      </c>
      <c r="AG1215">
        <v>3.4000000000000002E-2</v>
      </c>
      <c r="AH1215">
        <v>3.1E-2</v>
      </c>
      <c r="AI1215">
        <v>0.79</v>
      </c>
      <c r="AJ1215">
        <v>2.4091304349999998</v>
      </c>
      <c r="AK1215">
        <v>6.8233576640000004</v>
      </c>
      <c r="AL1215">
        <v>6.2E-2</v>
      </c>
      <c r="AM1215">
        <v>0.123</v>
      </c>
      <c r="AN1215">
        <v>0.73299999999999998</v>
      </c>
    </row>
    <row r="1216" spans="1:40">
      <c r="A1216">
        <v>3284</v>
      </c>
      <c r="B1216" t="s">
        <v>702</v>
      </c>
      <c r="C1216" t="s">
        <v>696</v>
      </c>
      <c r="D1216" t="s">
        <v>697</v>
      </c>
      <c r="E1216">
        <v>0</v>
      </c>
      <c r="F1216">
        <v>0</v>
      </c>
      <c r="G1216">
        <v>102.0122782</v>
      </c>
      <c r="H1216">
        <v>1626</v>
      </c>
      <c r="I1216">
        <v>0.15946238099999999</v>
      </c>
      <c r="J1216">
        <v>1626</v>
      </c>
      <c r="K1216">
        <v>10196.76233</v>
      </c>
      <c r="L1216">
        <v>0.88900000000000001</v>
      </c>
      <c r="M1216" s="515">
        <v>1</v>
      </c>
      <c r="N1216">
        <v>0</v>
      </c>
      <c r="O1216" t="s">
        <v>620</v>
      </c>
      <c r="P1216">
        <f t="shared" si="164"/>
        <v>14.663320000000001</v>
      </c>
      <c r="Q1216">
        <f t="shared" si="165"/>
        <v>4.0000000000000001E-3</v>
      </c>
      <c r="R1216">
        <f t="shared" si="166"/>
        <v>1.0999999999999999E-2</v>
      </c>
      <c r="S1216">
        <f t="shared" si="167"/>
        <v>0.88900000000000001</v>
      </c>
      <c r="T1216">
        <f t="shared" si="168"/>
        <v>2.0099999999999998</v>
      </c>
      <c r="U1216">
        <f t="shared" si="169"/>
        <v>8.8445269579999994</v>
      </c>
      <c r="V1216">
        <f t="shared" si="170"/>
        <v>1.9E-2</v>
      </c>
      <c r="W1216">
        <f t="shared" si="171"/>
        <v>8.0000000000000002E-3</v>
      </c>
      <c r="X1216">
        <f t="shared" si="172"/>
        <v>0.94</v>
      </c>
      <c r="Y1216">
        <v>50.409915640000001</v>
      </c>
      <c r="Z1216">
        <v>0</v>
      </c>
      <c r="AA1216">
        <v>90778</v>
      </c>
      <c r="AB1216">
        <v>31662</v>
      </c>
      <c r="AC1216">
        <v>3.1753482E-2</v>
      </c>
      <c r="AD1216">
        <v>0.82960131100000001</v>
      </c>
      <c r="AF1216">
        <v>14.663320000000001</v>
      </c>
      <c r="AG1216">
        <v>4.0000000000000001E-3</v>
      </c>
      <c r="AH1216">
        <v>1.0999999999999999E-2</v>
      </c>
      <c r="AI1216">
        <v>0.88900000000000001</v>
      </c>
      <c r="AJ1216">
        <v>2.0099999999999998</v>
      </c>
      <c r="AK1216">
        <v>8.8445269579999994</v>
      </c>
      <c r="AL1216">
        <v>1.9E-2</v>
      </c>
      <c r="AM1216">
        <v>8.0000000000000002E-3</v>
      </c>
      <c r="AN1216">
        <v>0.94</v>
      </c>
    </row>
    <row r="1217" spans="1:40">
      <c r="A1217">
        <v>3285</v>
      </c>
      <c r="B1217" t="s">
        <v>702</v>
      </c>
      <c r="C1217" t="s">
        <v>696</v>
      </c>
      <c r="D1217" t="s">
        <v>697</v>
      </c>
      <c r="E1217">
        <v>2</v>
      </c>
      <c r="F1217">
        <v>7</v>
      </c>
      <c r="G1217">
        <v>89.762460820000001</v>
      </c>
      <c r="H1217">
        <v>2012</v>
      </c>
      <c r="I1217">
        <v>0.140308354</v>
      </c>
      <c r="J1217">
        <v>2019</v>
      </c>
      <c r="K1217">
        <v>14389.734769999999</v>
      </c>
      <c r="L1217">
        <v>0.88400000000000001</v>
      </c>
      <c r="M1217">
        <v>0.99900695100000003</v>
      </c>
      <c r="N1217">
        <v>0</v>
      </c>
      <c r="O1217" t="s">
        <v>613</v>
      </c>
      <c r="P1217">
        <f t="shared" si="164"/>
        <v>15.042332160000001</v>
      </c>
      <c r="Q1217">
        <f t="shared" si="165"/>
        <v>1.7000000000000001E-2</v>
      </c>
      <c r="R1217">
        <f t="shared" si="166"/>
        <v>1.2E-2</v>
      </c>
      <c r="S1217">
        <f t="shared" si="167"/>
        <v>0.88400000000000001</v>
      </c>
      <c r="T1217">
        <f t="shared" si="168"/>
        <v>2.996428571</v>
      </c>
      <c r="U1217">
        <f t="shared" si="169"/>
        <v>9.6317126549999994</v>
      </c>
      <c r="V1217">
        <f t="shared" si="170"/>
        <v>2.5000000000000001E-2</v>
      </c>
      <c r="W1217">
        <f t="shared" si="171"/>
        <v>6.0999999999999999E-2</v>
      </c>
      <c r="X1217">
        <f t="shared" si="172"/>
        <v>0.90100000000000002</v>
      </c>
      <c r="Y1217">
        <v>58.10361657</v>
      </c>
      <c r="Z1217">
        <v>0</v>
      </c>
      <c r="AA1217">
        <v>90778</v>
      </c>
      <c r="AB1217">
        <v>31662</v>
      </c>
      <c r="AC1217">
        <v>3.1753482E-2</v>
      </c>
      <c r="AD1217">
        <v>0.82960131100000001</v>
      </c>
      <c r="AF1217">
        <v>15.042332160000001</v>
      </c>
      <c r="AG1217">
        <v>1.7000000000000001E-2</v>
      </c>
      <c r="AH1217">
        <v>1.2E-2</v>
      </c>
      <c r="AI1217">
        <v>0.88400000000000001</v>
      </c>
      <c r="AJ1217">
        <v>2.996428571</v>
      </c>
      <c r="AK1217">
        <v>9.6317126549999994</v>
      </c>
      <c r="AL1217">
        <v>2.5000000000000001E-2</v>
      </c>
      <c r="AM1217">
        <v>6.0999999999999999E-2</v>
      </c>
      <c r="AN1217">
        <v>0.90100000000000002</v>
      </c>
    </row>
    <row r="1218" spans="1:40">
      <c r="A1218">
        <v>3286</v>
      </c>
      <c r="B1218" t="s">
        <v>702</v>
      </c>
      <c r="C1218" t="s">
        <v>696</v>
      </c>
      <c r="D1218" t="s">
        <v>697</v>
      </c>
      <c r="E1218">
        <v>0</v>
      </c>
      <c r="F1218">
        <v>0</v>
      </c>
      <c r="G1218">
        <v>36.321848699999997</v>
      </c>
      <c r="H1218">
        <v>692</v>
      </c>
      <c r="I1218">
        <v>5.6780939000000002E-2</v>
      </c>
      <c r="J1218">
        <v>692</v>
      </c>
      <c r="K1218">
        <v>12187.18838</v>
      </c>
      <c r="L1218">
        <v>0.88200000000000001</v>
      </c>
      <c r="M1218" s="515">
        <v>1</v>
      </c>
      <c r="N1218">
        <v>0</v>
      </c>
      <c r="O1218" t="s">
        <v>620</v>
      </c>
      <c r="P1218">
        <f t="shared" si="164"/>
        <v>13.007999999999999</v>
      </c>
      <c r="Q1218">
        <f t="shared" si="165"/>
        <v>8.9999999999999993E-3</v>
      </c>
      <c r="R1218">
        <f t="shared" si="166"/>
        <v>8.0000000000000002E-3</v>
      </c>
      <c r="S1218">
        <f t="shared" si="167"/>
        <v>0.88200000000000001</v>
      </c>
      <c r="T1218">
        <f t="shared" si="168"/>
        <v>3.72</v>
      </c>
      <c r="U1218">
        <f t="shared" si="169"/>
        <v>7.772494279</v>
      </c>
      <c r="V1218">
        <f t="shared" si="170"/>
        <v>1.9E-2</v>
      </c>
      <c r="W1218">
        <f t="shared" si="171"/>
        <v>3.6999999999999998E-2</v>
      </c>
      <c r="X1218">
        <f t="shared" si="172"/>
        <v>0.88800000000000001</v>
      </c>
      <c r="Y1218">
        <v>58.194437319999999</v>
      </c>
      <c r="Z1218">
        <v>0</v>
      </c>
      <c r="AA1218">
        <v>90778</v>
      </c>
      <c r="AB1218">
        <v>31662</v>
      </c>
      <c r="AC1218">
        <v>3.1753482E-2</v>
      </c>
      <c r="AD1218">
        <v>0.82960131100000001</v>
      </c>
      <c r="AF1218">
        <v>13.007999999999999</v>
      </c>
      <c r="AG1218">
        <v>8.9999999999999993E-3</v>
      </c>
      <c r="AH1218">
        <v>8.0000000000000002E-3</v>
      </c>
      <c r="AI1218">
        <v>0.88200000000000001</v>
      </c>
      <c r="AJ1218">
        <v>3.72</v>
      </c>
      <c r="AK1218">
        <v>7.772494279</v>
      </c>
      <c r="AL1218">
        <v>1.9E-2</v>
      </c>
      <c r="AM1218">
        <v>3.6999999999999998E-2</v>
      </c>
      <c r="AN1218">
        <v>0.88800000000000001</v>
      </c>
    </row>
    <row r="1219" spans="1:40">
      <c r="A1219">
        <v>3287</v>
      </c>
      <c r="B1219" t="s">
        <v>702</v>
      </c>
      <c r="C1219" t="s">
        <v>696</v>
      </c>
      <c r="D1219" t="s">
        <v>697</v>
      </c>
      <c r="E1219">
        <v>82</v>
      </c>
      <c r="F1219">
        <v>258</v>
      </c>
      <c r="G1219">
        <v>52.49824125</v>
      </c>
      <c r="H1219">
        <v>2245</v>
      </c>
      <c r="I1219">
        <v>8.2061410000000001E-2</v>
      </c>
      <c r="J1219">
        <v>2503</v>
      </c>
      <c r="K1219">
        <v>30501.547559999999</v>
      </c>
      <c r="L1219">
        <v>0.89100000000000001</v>
      </c>
      <c r="M1219">
        <v>0.96476149499999997</v>
      </c>
      <c r="N1219">
        <v>0</v>
      </c>
      <c r="O1219" t="s">
        <v>613</v>
      </c>
      <c r="P1219">
        <f t="shared" si="164"/>
        <v>13.57095238</v>
      </c>
      <c r="Q1219">
        <f t="shared" si="165"/>
        <v>0.01</v>
      </c>
      <c r="R1219">
        <f t="shared" si="166"/>
        <v>1.7999999999999999E-2</v>
      </c>
      <c r="S1219">
        <f t="shared" si="167"/>
        <v>0.89100000000000001</v>
      </c>
      <c r="T1219">
        <f t="shared" si="168"/>
        <v>2.4506250000000001</v>
      </c>
      <c r="U1219">
        <f t="shared" si="169"/>
        <v>8.7980235600000007</v>
      </c>
      <c r="V1219">
        <f t="shared" si="170"/>
        <v>2.8000000000000001E-2</v>
      </c>
      <c r="W1219">
        <f t="shared" si="171"/>
        <v>3.3000000000000002E-2</v>
      </c>
      <c r="X1219">
        <f t="shared" si="172"/>
        <v>0.90800000000000003</v>
      </c>
      <c r="Y1219">
        <v>58.230844769999997</v>
      </c>
      <c r="Z1219">
        <v>0</v>
      </c>
      <c r="AA1219">
        <v>90778</v>
      </c>
      <c r="AB1219">
        <v>31662</v>
      </c>
      <c r="AC1219">
        <v>3.1753482E-2</v>
      </c>
      <c r="AD1219">
        <v>0.82960131100000001</v>
      </c>
      <c r="AF1219">
        <v>13.57095238</v>
      </c>
      <c r="AG1219">
        <v>0.01</v>
      </c>
      <c r="AH1219">
        <v>1.7999999999999999E-2</v>
      </c>
      <c r="AI1219">
        <v>0.89100000000000001</v>
      </c>
      <c r="AJ1219">
        <v>2.4506250000000001</v>
      </c>
      <c r="AK1219">
        <v>8.7980235600000007</v>
      </c>
      <c r="AL1219">
        <v>2.8000000000000001E-2</v>
      </c>
      <c r="AM1219">
        <v>3.3000000000000002E-2</v>
      </c>
      <c r="AN1219">
        <v>0.90800000000000003</v>
      </c>
    </row>
    <row r="1220" spans="1:40">
      <c r="A1220">
        <v>3288</v>
      </c>
      <c r="B1220" t="s">
        <v>702</v>
      </c>
      <c r="C1220" t="s">
        <v>696</v>
      </c>
      <c r="D1220" t="s">
        <v>697</v>
      </c>
      <c r="E1220">
        <v>314</v>
      </c>
      <c r="F1220">
        <v>1044</v>
      </c>
      <c r="G1220">
        <v>98.199887009999998</v>
      </c>
      <c r="H1220">
        <v>762</v>
      </c>
      <c r="I1220">
        <v>0.15349848099999999</v>
      </c>
      <c r="J1220">
        <v>1806</v>
      </c>
      <c r="K1220">
        <v>11765.588739999999</v>
      </c>
      <c r="L1220">
        <v>0.90200000000000002</v>
      </c>
      <c r="M1220">
        <v>0.70817843899999999</v>
      </c>
      <c r="N1220">
        <v>0</v>
      </c>
      <c r="O1220" t="s">
        <v>620</v>
      </c>
      <c r="P1220">
        <f t="shared" si="164"/>
        <v>12.36988571</v>
      </c>
      <c r="Q1220">
        <f t="shared" si="165"/>
        <v>2.5000000000000001E-2</v>
      </c>
      <c r="R1220">
        <f t="shared" si="166"/>
        <v>1.2E-2</v>
      </c>
      <c r="S1220">
        <f t="shared" si="167"/>
        <v>0.90200000000000002</v>
      </c>
      <c r="T1220">
        <f t="shared" si="168"/>
        <v>2.6858333330000002</v>
      </c>
      <c r="U1220">
        <f t="shared" si="169"/>
        <v>7.4561458329999999</v>
      </c>
      <c r="V1220">
        <f t="shared" si="170"/>
        <v>2.5000000000000001E-2</v>
      </c>
      <c r="W1220">
        <f t="shared" si="171"/>
        <v>0.09</v>
      </c>
      <c r="X1220">
        <f t="shared" si="172"/>
        <v>0.875</v>
      </c>
      <c r="Y1220">
        <v>58.456947509999999</v>
      </c>
      <c r="Z1220">
        <v>0</v>
      </c>
      <c r="AA1220">
        <v>90778</v>
      </c>
      <c r="AB1220">
        <v>31662</v>
      </c>
      <c r="AC1220">
        <v>3.1753482E-2</v>
      </c>
      <c r="AD1220">
        <v>0.82960131100000001</v>
      </c>
      <c r="AF1220">
        <v>12.36988571</v>
      </c>
      <c r="AG1220">
        <v>2.5000000000000001E-2</v>
      </c>
      <c r="AH1220">
        <v>1.2E-2</v>
      </c>
      <c r="AI1220">
        <v>0.90200000000000002</v>
      </c>
      <c r="AJ1220">
        <v>2.6858333330000002</v>
      </c>
      <c r="AK1220">
        <v>7.4561458329999999</v>
      </c>
      <c r="AL1220">
        <v>2.5000000000000001E-2</v>
      </c>
      <c r="AM1220">
        <v>0.09</v>
      </c>
      <c r="AN1220">
        <v>0.875</v>
      </c>
    </row>
    <row r="1221" spans="1:40">
      <c r="A1221">
        <v>3289</v>
      </c>
      <c r="B1221" t="s">
        <v>702</v>
      </c>
      <c r="C1221" t="s">
        <v>696</v>
      </c>
      <c r="D1221" t="s">
        <v>697</v>
      </c>
      <c r="E1221">
        <v>203</v>
      </c>
      <c r="F1221">
        <v>425</v>
      </c>
      <c r="G1221">
        <v>21.361504239999999</v>
      </c>
      <c r="H1221">
        <v>862</v>
      </c>
      <c r="I1221">
        <v>3.3392419999999999E-2</v>
      </c>
      <c r="J1221">
        <v>1287</v>
      </c>
      <c r="K1221">
        <v>38541.681020000004</v>
      </c>
      <c r="L1221">
        <v>0.79100000000000004</v>
      </c>
      <c r="M1221">
        <v>0.80938967100000003</v>
      </c>
      <c r="N1221">
        <v>1</v>
      </c>
      <c r="O1221" t="s">
        <v>606</v>
      </c>
      <c r="P1221">
        <f t="shared" si="164"/>
        <v>14.050559440000001</v>
      </c>
      <c r="Q1221">
        <f t="shared" si="165"/>
        <v>3.3000000000000002E-2</v>
      </c>
      <c r="R1221">
        <f t="shared" si="166"/>
        <v>1.9E-2</v>
      </c>
      <c r="S1221">
        <f t="shared" si="167"/>
        <v>0.79100000000000004</v>
      </c>
      <c r="T1221">
        <f t="shared" si="168"/>
        <v>2.4413333330000002</v>
      </c>
      <c r="U1221">
        <f t="shared" si="169"/>
        <v>6.4430639730000001</v>
      </c>
      <c r="V1221">
        <f t="shared" si="170"/>
        <v>4.3999999999999997E-2</v>
      </c>
      <c r="W1221">
        <f t="shared" si="171"/>
        <v>9.4E-2</v>
      </c>
      <c r="X1221">
        <f t="shared" si="172"/>
        <v>0.79400000000000004</v>
      </c>
      <c r="Y1221">
        <v>260.1811343</v>
      </c>
      <c r="Z1221">
        <v>0</v>
      </c>
      <c r="AA1221">
        <v>90778</v>
      </c>
      <c r="AB1221">
        <v>31662</v>
      </c>
      <c r="AC1221">
        <v>3.1753482E-2</v>
      </c>
      <c r="AD1221">
        <v>0.82960131100000001</v>
      </c>
      <c r="AF1221">
        <v>14.050559440000001</v>
      </c>
      <c r="AG1221">
        <v>3.3000000000000002E-2</v>
      </c>
      <c r="AH1221">
        <v>1.9E-2</v>
      </c>
      <c r="AI1221">
        <v>0.79100000000000004</v>
      </c>
      <c r="AJ1221">
        <v>2.4413333330000002</v>
      </c>
      <c r="AK1221">
        <v>6.4430639730000001</v>
      </c>
      <c r="AL1221">
        <v>4.3999999999999997E-2</v>
      </c>
      <c r="AM1221">
        <v>9.4E-2</v>
      </c>
      <c r="AN1221">
        <v>0.79400000000000004</v>
      </c>
    </row>
    <row r="1222" spans="1:40">
      <c r="A1222">
        <v>3290</v>
      </c>
      <c r="B1222" t="s">
        <v>702</v>
      </c>
      <c r="C1222" t="s">
        <v>696</v>
      </c>
      <c r="D1222" t="s">
        <v>697</v>
      </c>
      <c r="E1222">
        <v>125</v>
      </c>
      <c r="F1222">
        <v>232</v>
      </c>
      <c r="G1222">
        <v>17.772232039999999</v>
      </c>
      <c r="H1222">
        <v>126</v>
      </c>
      <c r="I1222">
        <v>2.7779361999999998E-2</v>
      </c>
      <c r="J1222">
        <v>358</v>
      </c>
      <c r="K1222">
        <v>12887.265009999999</v>
      </c>
      <c r="L1222">
        <v>0.81499999999999995</v>
      </c>
      <c r="M1222">
        <v>0.50199203199999998</v>
      </c>
      <c r="N1222">
        <v>0</v>
      </c>
      <c r="O1222" t="s">
        <v>613</v>
      </c>
      <c r="P1222">
        <f t="shared" si="164"/>
        <v>10.680344829999999</v>
      </c>
      <c r="Q1222">
        <f t="shared" si="165"/>
        <v>2.7E-2</v>
      </c>
      <c r="R1222">
        <f t="shared" si="166"/>
        <v>3.3000000000000002E-2</v>
      </c>
      <c r="S1222">
        <f t="shared" si="167"/>
        <v>0.81499999999999995</v>
      </c>
      <c r="T1222">
        <f t="shared" si="168"/>
        <v>1.5708333329999999</v>
      </c>
      <c r="U1222">
        <f t="shared" si="169"/>
        <v>5.9873310809999998</v>
      </c>
      <c r="V1222">
        <f t="shared" si="170"/>
        <v>0.108</v>
      </c>
      <c r="W1222">
        <f t="shared" si="171"/>
        <v>0.108</v>
      </c>
      <c r="X1222">
        <f t="shared" si="172"/>
        <v>0.78400000000000003</v>
      </c>
      <c r="Y1222">
        <v>63.379862230000001</v>
      </c>
      <c r="Z1222">
        <v>0</v>
      </c>
      <c r="AA1222">
        <v>90778</v>
      </c>
      <c r="AB1222">
        <v>31662</v>
      </c>
      <c r="AC1222">
        <v>3.1753482E-2</v>
      </c>
      <c r="AD1222">
        <v>0.82960131100000001</v>
      </c>
      <c r="AF1222">
        <v>10.680344829999999</v>
      </c>
      <c r="AG1222">
        <v>2.7E-2</v>
      </c>
      <c r="AH1222">
        <v>3.3000000000000002E-2</v>
      </c>
      <c r="AI1222">
        <v>0.81499999999999995</v>
      </c>
      <c r="AJ1222">
        <v>1.5708333329999999</v>
      </c>
      <c r="AK1222">
        <v>5.9873310809999998</v>
      </c>
      <c r="AL1222">
        <v>0.108</v>
      </c>
      <c r="AM1222">
        <v>0.108</v>
      </c>
      <c r="AN1222">
        <v>0.78400000000000003</v>
      </c>
    </row>
    <row r="1223" spans="1:40">
      <c r="A1223">
        <v>3291</v>
      </c>
      <c r="B1223" t="s">
        <v>702</v>
      </c>
      <c r="C1223" t="s">
        <v>696</v>
      </c>
      <c r="D1223" t="s">
        <v>697</v>
      </c>
      <c r="E1223">
        <v>334</v>
      </c>
      <c r="F1223">
        <v>778</v>
      </c>
      <c r="G1223">
        <v>65.664092510000003</v>
      </c>
      <c r="H1223">
        <v>931</v>
      </c>
      <c r="I1223">
        <v>0.102645453</v>
      </c>
      <c r="J1223">
        <v>1709</v>
      </c>
      <c r="K1223">
        <v>16649.544140000002</v>
      </c>
      <c r="L1223">
        <v>0.85399999999999998</v>
      </c>
      <c r="M1223">
        <v>0.73596837900000001</v>
      </c>
      <c r="N1223">
        <v>0</v>
      </c>
      <c r="O1223" t="s">
        <v>613</v>
      </c>
      <c r="P1223">
        <f t="shared" si="164"/>
        <v>13.100460829999999</v>
      </c>
      <c r="Q1223">
        <f t="shared" si="165"/>
        <v>2.1999999999999999E-2</v>
      </c>
      <c r="R1223">
        <f t="shared" si="166"/>
        <v>1.4999999999999999E-2</v>
      </c>
      <c r="S1223">
        <f t="shared" si="167"/>
        <v>0.85399999999999998</v>
      </c>
      <c r="T1223">
        <f t="shared" si="168"/>
        <v>2.46</v>
      </c>
      <c r="U1223">
        <f t="shared" si="169"/>
        <v>6.7967551180000001</v>
      </c>
      <c r="V1223">
        <f t="shared" si="170"/>
        <v>5.6000000000000001E-2</v>
      </c>
      <c r="W1223">
        <f t="shared" si="171"/>
        <v>8.1000000000000003E-2</v>
      </c>
      <c r="X1223">
        <f t="shared" si="172"/>
        <v>0.80400000000000005</v>
      </c>
      <c r="Y1223">
        <v>63.267413079999997</v>
      </c>
      <c r="Z1223">
        <v>0</v>
      </c>
      <c r="AA1223">
        <v>90778</v>
      </c>
      <c r="AB1223">
        <v>31662</v>
      </c>
      <c r="AC1223">
        <v>3.1753482E-2</v>
      </c>
      <c r="AD1223">
        <v>0.82960131100000001</v>
      </c>
      <c r="AF1223">
        <v>13.100460829999999</v>
      </c>
      <c r="AG1223">
        <v>2.1999999999999999E-2</v>
      </c>
      <c r="AH1223">
        <v>1.4999999999999999E-2</v>
      </c>
      <c r="AI1223">
        <v>0.85399999999999998</v>
      </c>
      <c r="AJ1223">
        <v>2.46</v>
      </c>
      <c r="AK1223">
        <v>6.7967551180000001</v>
      </c>
      <c r="AL1223">
        <v>5.6000000000000001E-2</v>
      </c>
      <c r="AM1223">
        <v>8.1000000000000003E-2</v>
      </c>
      <c r="AN1223">
        <v>0.80400000000000005</v>
      </c>
    </row>
    <row r="1224" spans="1:40">
      <c r="A1224">
        <v>3292</v>
      </c>
      <c r="B1224" t="s">
        <v>702</v>
      </c>
      <c r="C1224" t="s">
        <v>696</v>
      </c>
      <c r="D1224" t="s">
        <v>697</v>
      </c>
      <c r="E1224">
        <v>0</v>
      </c>
      <c r="F1224">
        <v>0</v>
      </c>
      <c r="G1224">
        <v>163.9481931</v>
      </c>
      <c r="H1224">
        <v>3109</v>
      </c>
      <c r="I1224">
        <v>0.25627224100000001</v>
      </c>
      <c r="J1224">
        <v>3109</v>
      </c>
      <c r="K1224">
        <v>12131.62997</v>
      </c>
      <c r="L1224">
        <v>0.879</v>
      </c>
      <c r="M1224" s="515">
        <v>1</v>
      </c>
      <c r="N1224">
        <v>0</v>
      </c>
      <c r="O1224" t="s">
        <v>613</v>
      </c>
      <c r="P1224">
        <f t="shared" si="164"/>
        <v>13.412626729999999</v>
      </c>
      <c r="Q1224">
        <f t="shared" si="165"/>
        <v>5.0000000000000001E-3</v>
      </c>
      <c r="R1224">
        <f t="shared" si="166"/>
        <v>2.1000000000000001E-2</v>
      </c>
      <c r="S1224">
        <f t="shared" si="167"/>
        <v>0.879</v>
      </c>
      <c r="T1224">
        <f t="shared" si="168"/>
        <v>2.3067948720000002</v>
      </c>
      <c r="U1224">
        <f t="shared" si="169"/>
        <v>7.0474572650000002</v>
      </c>
      <c r="V1224">
        <f t="shared" si="170"/>
        <v>5.6000000000000001E-2</v>
      </c>
      <c r="W1224">
        <f t="shared" si="171"/>
        <v>2.5000000000000001E-2</v>
      </c>
      <c r="X1224">
        <f t="shared" si="172"/>
        <v>0.9</v>
      </c>
      <c r="Y1224">
        <v>65.182622739999999</v>
      </c>
      <c r="Z1224">
        <v>0</v>
      </c>
      <c r="AA1224">
        <v>90778</v>
      </c>
      <c r="AB1224">
        <v>31662</v>
      </c>
      <c r="AC1224">
        <v>3.1753482E-2</v>
      </c>
      <c r="AD1224">
        <v>0.82960131100000001</v>
      </c>
      <c r="AF1224">
        <v>13.412626729999999</v>
      </c>
      <c r="AG1224">
        <v>5.0000000000000001E-3</v>
      </c>
      <c r="AH1224">
        <v>2.1000000000000001E-2</v>
      </c>
      <c r="AI1224">
        <v>0.879</v>
      </c>
      <c r="AJ1224">
        <v>2.3067948720000002</v>
      </c>
      <c r="AK1224">
        <v>7.0474572650000002</v>
      </c>
      <c r="AL1224">
        <v>5.6000000000000001E-2</v>
      </c>
      <c r="AM1224">
        <v>2.5000000000000001E-2</v>
      </c>
      <c r="AN1224">
        <v>0.9</v>
      </c>
    </row>
    <row r="1225" spans="1:40">
      <c r="A1225">
        <v>3293</v>
      </c>
      <c r="B1225" t="s">
        <v>702</v>
      </c>
      <c r="C1225" t="s">
        <v>696</v>
      </c>
      <c r="D1225" t="s">
        <v>697</v>
      </c>
      <c r="E1225">
        <v>0</v>
      </c>
      <c r="F1225">
        <v>0</v>
      </c>
      <c r="G1225">
        <v>82.758608820000006</v>
      </c>
      <c r="H1225">
        <v>1148</v>
      </c>
      <c r="I1225">
        <v>0.129362281</v>
      </c>
      <c r="J1225">
        <v>1148</v>
      </c>
      <c r="K1225">
        <v>8874.3023940000003</v>
      </c>
      <c r="L1225">
        <v>0.90300000000000002</v>
      </c>
      <c r="M1225" s="515">
        <v>1</v>
      </c>
      <c r="N1225">
        <v>0</v>
      </c>
      <c r="O1225" t="s">
        <v>620</v>
      </c>
      <c r="P1225">
        <f t="shared" si="164"/>
        <v>14.56315508</v>
      </c>
      <c r="Q1225">
        <f t="shared" si="165"/>
        <v>8.9999999999999993E-3</v>
      </c>
      <c r="R1225">
        <f t="shared" si="166"/>
        <v>1.4999999999999999E-2</v>
      </c>
      <c r="S1225">
        <f t="shared" si="167"/>
        <v>0.90300000000000002</v>
      </c>
      <c r="T1225">
        <f t="shared" si="168"/>
        <v>2.1005263159999998</v>
      </c>
      <c r="U1225">
        <f t="shared" si="169"/>
        <v>7.5865198239999998</v>
      </c>
      <c r="V1225">
        <f t="shared" si="170"/>
        <v>0.01</v>
      </c>
      <c r="W1225">
        <f t="shared" si="171"/>
        <v>4.9000000000000002E-2</v>
      </c>
      <c r="X1225">
        <f t="shared" si="172"/>
        <v>0.91700000000000004</v>
      </c>
      <c r="Y1225">
        <v>41.764494470000002</v>
      </c>
      <c r="Z1225">
        <v>0</v>
      </c>
      <c r="AA1225">
        <v>90778</v>
      </c>
      <c r="AB1225">
        <v>31662</v>
      </c>
      <c r="AC1225">
        <v>3.1753482E-2</v>
      </c>
      <c r="AD1225">
        <v>0.82960131100000001</v>
      </c>
      <c r="AF1225">
        <v>14.56315508</v>
      </c>
      <c r="AG1225">
        <v>8.9999999999999993E-3</v>
      </c>
      <c r="AH1225">
        <v>1.4999999999999999E-2</v>
      </c>
      <c r="AI1225">
        <v>0.90300000000000002</v>
      </c>
      <c r="AJ1225">
        <v>2.1005263159999998</v>
      </c>
      <c r="AK1225">
        <v>7.5865198239999998</v>
      </c>
      <c r="AL1225">
        <v>0.01</v>
      </c>
      <c r="AM1225">
        <v>4.9000000000000002E-2</v>
      </c>
      <c r="AN1225">
        <v>0.91700000000000004</v>
      </c>
    </row>
    <row r="1226" spans="1:40">
      <c r="A1226">
        <v>3294</v>
      </c>
      <c r="B1226" t="s">
        <v>702</v>
      </c>
      <c r="C1226" t="s">
        <v>696</v>
      </c>
      <c r="D1226" t="s">
        <v>697</v>
      </c>
      <c r="E1226">
        <v>1</v>
      </c>
      <c r="F1226">
        <v>1</v>
      </c>
      <c r="G1226">
        <v>42.615060550000003</v>
      </c>
      <c r="H1226">
        <v>238</v>
      </c>
      <c r="I1226">
        <v>6.6613497999999993E-2</v>
      </c>
      <c r="J1226">
        <v>239</v>
      </c>
      <c r="K1226">
        <v>3587.8614269999998</v>
      </c>
      <c r="L1226">
        <v>0.82099999999999995</v>
      </c>
      <c r="M1226">
        <v>0.99581589999999998</v>
      </c>
      <c r="N1226">
        <v>0</v>
      </c>
      <c r="O1226" t="s">
        <v>613</v>
      </c>
      <c r="P1226">
        <f t="shared" si="164"/>
        <v>13.581875</v>
      </c>
      <c r="Q1226">
        <f t="shared" si="165"/>
        <v>5.3999999999999999E-2</v>
      </c>
      <c r="R1226">
        <f t="shared" si="166"/>
        <v>2.4E-2</v>
      </c>
      <c r="S1226">
        <f t="shared" si="167"/>
        <v>0.82099999999999995</v>
      </c>
      <c r="T1226">
        <f t="shared" si="168"/>
        <v>2.2799999999999998</v>
      </c>
      <c r="U1226">
        <f t="shared" si="169"/>
        <v>6.8175438599999998</v>
      </c>
      <c r="V1226">
        <f t="shared" si="170"/>
        <v>7.0999999999999994E-2</v>
      </c>
      <c r="W1226">
        <f t="shared" si="171"/>
        <v>0.214</v>
      </c>
      <c r="X1226">
        <f t="shared" si="172"/>
        <v>0.57099999999999995</v>
      </c>
      <c r="Y1226">
        <v>98.128405979999997</v>
      </c>
      <c r="Z1226">
        <v>0</v>
      </c>
      <c r="AA1226">
        <v>90778</v>
      </c>
      <c r="AB1226">
        <v>31662</v>
      </c>
      <c r="AC1226">
        <v>3.1753482E-2</v>
      </c>
      <c r="AD1226">
        <v>0.82960131100000001</v>
      </c>
      <c r="AF1226">
        <v>13.581875</v>
      </c>
      <c r="AG1226">
        <v>5.3999999999999999E-2</v>
      </c>
      <c r="AH1226">
        <v>2.4E-2</v>
      </c>
      <c r="AI1226">
        <v>0.82099999999999995</v>
      </c>
      <c r="AJ1226">
        <v>2.2799999999999998</v>
      </c>
      <c r="AK1226">
        <v>6.8175438599999998</v>
      </c>
      <c r="AL1226">
        <v>7.0999999999999994E-2</v>
      </c>
      <c r="AM1226">
        <v>0.214</v>
      </c>
      <c r="AN1226">
        <v>0.57099999999999995</v>
      </c>
    </row>
    <row r="1227" spans="1:40">
      <c r="A1227">
        <v>3295</v>
      </c>
      <c r="B1227" t="s">
        <v>702</v>
      </c>
      <c r="C1227" t="s">
        <v>696</v>
      </c>
      <c r="D1227" t="s">
        <v>697</v>
      </c>
      <c r="E1227">
        <v>147</v>
      </c>
      <c r="F1227">
        <v>590</v>
      </c>
      <c r="G1227">
        <v>26.305942959999999</v>
      </c>
      <c r="H1227">
        <v>69</v>
      </c>
      <c r="I1227">
        <v>4.1116374999999997E-2</v>
      </c>
      <c r="J1227">
        <v>659</v>
      </c>
      <c r="K1227">
        <v>16027.677540000001</v>
      </c>
      <c r="L1227">
        <v>0.81200000000000006</v>
      </c>
      <c r="M1227">
        <v>0.31944444399999999</v>
      </c>
      <c r="N1227">
        <v>0</v>
      </c>
      <c r="O1227" t="s">
        <v>620</v>
      </c>
      <c r="P1227">
        <f t="shared" si="164"/>
        <v>16.248200000000001</v>
      </c>
      <c r="Q1227">
        <f t="shared" si="165"/>
        <v>4.5999999999999999E-2</v>
      </c>
      <c r="R1227">
        <f t="shared" si="166"/>
        <v>6.0000000000000001E-3</v>
      </c>
      <c r="S1227">
        <f t="shared" si="167"/>
        <v>0.81200000000000006</v>
      </c>
      <c r="T1227">
        <f t="shared" si="168"/>
        <v>3.415</v>
      </c>
      <c r="U1227">
        <f t="shared" si="169"/>
        <v>8.0892910449999995</v>
      </c>
      <c r="V1227">
        <f t="shared" si="170"/>
        <v>4.2301204819277106E-2</v>
      </c>
      <c r="W1227">
        <f t="shared" si="171"/>
        <v>0.16700000000000001</v>
      </c>
      <c r="X1227">
        <f t="shared" si="172"/>
        <v>0.83299999999999996</v>
      </c>
      <c r="Y1227">
        <v>182.8243296</v>
      </c>
      <c r="Z1227">
        <v>0</v>
      </c>
      <c r="AA1227">
        <v>90778</v>
      </c>
      <c r="AB1227">
        <v>31662</v>
      </c>
      <c r="AC1227">
        <v>3.1753482E-2</v>
      </c>
      <c r="AD1227">
        <v>0.82960131100000001</v>
      </c>
      <c r="AF1227">
        <v>16.248200000000001</v>
      </c>
      <c r="AG1227">
        <v>4.5999999999999999E-2</v>
      </c>
      <c r="AH1227">
        <v>6.0000000000000001E-3</v>
      </c>
      <c r="AI1227">
        <v>0.81200000000000006</v>
      </c>
      <c r="AJ1227">
        <v>3.415</v>
      </c>
      <c r="AK1227">
        <v>8.0892910449999995</v>
      </c>
      <c r="AL1227">
        <v>0</v>
      </c>
      <c r="AM1227">
        <v>0.16700000000000001</v>
      </c>
      <c r="AN1227">
        <v>0.83299999999999996</v>
      </c>
    </row>
    <row r="1228" spans="1:40">
      <c r="A1228">
        <v>3296</v>
      </c>
      <c r="B1228" t="s">
        <v>702</v>
      </c>
      <c r="C1228" t="s">
        <v>696</v>
      </c>
      <c r="D1228" t="s">
        <v>697</v>
      </c>
      <c r="E1228">
        <v>31</v>
      </c>
      <c r="F1228">
        <v>39</v>
      </c>
      <c r="G1228">
        <v>24.462100499999998</v>
      </c>
      <c r="H1228">
        <v>1504</v>
      </c>
      <c r="I1228">
        <v>3.8238091000000002E-2</v>
      </c>
      <c r="J1228">
        <v>1543</v>
      </c>
      <c r="K1228">
        <v>40352.432869999997</v>
      </c>
      <c r="L1228">
        <v>0.81299999999999994</v>
      </c>
      <c r="M1228">
        <v>0.97980456000000005</v>
      </c>
      <c r="N1228">
        <v>1</v>
      </c>
      <c r="O1228" t="s">
        <v>613</v>
      </c>
      <c r="P1228">
        <f t="shared" ref="P1228:P1291" si="173">IF(OR(IFERROR(AF1228=0,TRUE),ISERROR(AF1228)),AVERAGEIFS(AF:AF,$B:$B,$B1228,AF:AF,"&gt;0"),AF1228)</f>
        <v>12.744431369999999</v>
      </c>
      <c r="Q1228">
        <f t="shared" ref="Q1228:Q1291" si="174">IF(OR(IFERROR(AG1228=0,TRUE),ISERROR(AG1228)),AVERAGEIFS(AG:AG,$B:$B,$B1228,AG:AG,"&gt;0"),AG1228)</f>
        <v>4.2999999999999997E-2</v>
      </c>
      <c r="R1228">
        <f t="shared" ref="R1228:R1291" si="175">IF(OR(IFERROR(AH1228=0,TRUE),ISERROR(AH1228)),AVERAGEIFS(AH:AH,$B:$B,$B1228,AH:AH,"&gt;0"),AH1228)</f>
        <v>0.02</v>
      </c>
      <c r="S1228">
        <f t="shared" ref="S1228:S1291" si="176">IF(OR(IFERROR(AI1228=0,TRUE),ISERROR(AI1228)),AVERAGEIFS(AI:AI,$B:$B,$B1228,AI:AI,"&gt;0"),AI1228)</f>
        <v>0.81299999999999994</v>
      </c>
      <c r="T1228">
        <f t="shared" ref="T1228:T1291" si="177">IF(OR(IFERROR(AJ1228=0,TRUE),ISERROR(AJ1228)),AVERAGEIFS(AJ:AJ,$B:$B,$B1228,AJ:AJ,"&gt;0"),AJ1228)</f>
        <v>1.833846154</v>
      </c>
      <c r="U1228">
        <f t="shared" ref="U1228:U1291" si="178">IF(OR(IFERROR(AK1228=0,TRUE),ISERROR(AK1228)),AVERAGEIFS(AK:AK,$B:$B,$B1228,AK:AK,"&gt;0"),AK1228)</f>
        <v>7.9834448819999997</v>
      </c>
      <c r="V1228">
        <f t="shared" ref="V1228:V1291" si="179">IF(OR(IFERROR(AL1228=0,TRUE),ISERROR(AL1228)),AVERAGEIFS(AL:AL,$B:$B,$B1228,AL:AL,"&gt;0"),AL1228)</f>
        <v>3.9E-2</v>
      </c>
      <c r="W1228">
        <f t="shared" ref="W1228:W1291" si="180">IF(OR(IFERROR(AM1228=0,TRUE),ISERROR(AM1228)),AVERAGEIFS(AM:AM,$B:$B,$B1228,AM:AM,"&gt;0"),AM1228)</f>
        <v>9.1999999999999998E-2</v>
      </c>
      <c r="X1228">
        <f t="shared" ref="X1228:X1291" si="181">IF(OR(IFERROR(AN1228=0,TRUE),ISERROR(AN1228)),AVERAGEIFS(AN:AN,$B:$B,$B1228,AN:AN,"&gt;0"),AN1228)</f>
        <v>0.83899999999999997</v>
      </c>
      <c r="Y1228">
        <v>169.89972399999999</v>
      </c>
      <c r="Z1228">
        <v>0</v>
      </c>
      <c r="AA1228">
        <v>90778</v>
      </c>
      <c r="AB1228">
        <v>31662</v>
      </c>
      <c r="AC1228">
        <v>3.1753482E-2</v>
      </c>
      <c r="AD1228">
        <v>0.82960131100000001</v>
      </c>
      <c r="AF1228">
        <v>12.744431369999999</v>
      </c>
      <c r="AG1228">
        <v>4.2999999999999997E-2</v>
      </c>
      <c r="AH1228">
        <v>0.02</v>
      </c>
      <c r="AI1228">
        <v>0.81299999999999994</v>
      </c>
      <c r="AJ1228">
        <v>1.833846154</v>
      </c>
      <c r="AK1228">
        <v>7.9834448819999997</v>
      </c>
      <c r="AL1228">
        <v>3.9E-2</v>
      </c>
      <c r="AM1228">
        <v>9.1999999999999998E-2</v>
      </c>
      <c r="AN1228">
        <v>0.83899999999999997</v>
      </c>
    </row>
    <row r="1229" spans="1:40">
      <c r="A1229">
        <v>3297</v>
      </c>
      <c r="B1229" t="s">
        <v>702</v>
      </c>
      <c r="C1229" t="s">
        <v>696</v>
      </c>
      <c r="D1229" t="s">
        <v>697</v>
      </c>
      <c r="E1229">
        <v>424</v>
      </c>
      <c r="F1229">
        <v>940</v>
      </c>
      <c r="G1229">
        <v>37.30404875</v>
      </c>
      <c r="H1229">
        <v>1652</v>
      </c>
      <c r="I1229">
        <v>5.8310940999999998E-2</v>
      </c>
      <c r="J1229">
        <v>2592</v>
      </c>
      <c r="K1229">
        <v>44451.349190000001</v>
      </c>
      <c r="L1229">
        <v>0.748</v>
      </c>
      <c r="M1229">
        <v>0.79576107900000004</v>
      </c>
      <c r="N1229">
        <v>1</v>
      </c>
      <c r="O1229" t="s">
        <v>606</v>
      </c>
      <c r="P1229">
        <f t="shared" si="173"/>
        <v>12.380618889999999</v>
      </c>
      <c r="Q1229">
        <f t="shared" si="174"/>
        <v>5.3999999999999999E-2</v>
      </c>
      <c r="R1229">
        <f t="shared" si="175"/>
        <v>1.9E-2</v>
      </c>
      <c r="S1229">
        <f t="shared" si="176"/>
        <v>0.748</v>
      </c>
      <c r="T1229">
        <f t="shared" si="177"/>
        <v>1.8080952379999999</v>
      </c>
      <c r="U1229">
        <f t="shared" si="178"/>
        <v>7.1423791589999999</v>
      </c>
      <c r="V1229">
        <f t="shared" si="179"/>
        <v>5.3999999999999999E-2</v>
      </c>
      <c r="W1229">
        <f t="shared" si="180"/>
        <v>0.14099999999999999</v>
      </c>
      <c r="X1229">
        <f t="shared" si="181"/>
        <v>0.72099999999999997</v>
      </c>
      <c r="Y1229">
        <v>170.43049429999999</v>
      </c>
      <c r="Z1229">
        <v>0</v>
      </c>
      <c r="AA1229">
        <v>90778</v>
      </c>
      <c r="AB1229">
        <v>31662</v>
      </c>
      <c r="AC1229">
        <v>3.1753482E-2</v>
      </c>
      <c r="AD1229">
        <v>0.82960131100000001</v>
      </c>
      <c r="AF1229">
        <v>12.380618889999999</v>
      </c>
      <c r="AG1229">
        <v>5.3999999999999999E-2</v>
      </c>
      <c r="AH1229">
        <v>1.9E-2</v>
      </c>
      <c r="AI1229">
        <v>0.748</v>
      </c>
      <c r="AJ1229">
        <v>1.8080952379999999</v>
      </c>
      <c r="AK1229">
        <v>7.1423791589999999</v>
      </c>
      <c r="AL1229">
        <v>5.3999999999999999E-2</v>
      </c>
      <c r="AM1229">
        <v>0.14099999999999999</v>
      </c>
      <c r="AN1229">
        <v>0.72099999999999997</v>
      </c>
    </row>
    <row r="1230" spans="1:40">
      <c r="A1230">
        <v>3298</v>
      </c>
      <c r="B1230" t="s">
        <v>702</v>
      </c>
      <c r="C1230" t="s">
        <v>696</v>
      </c>
      <c r="D1230" t="s">
        <v>697</v>
      </c>
      <c r="E1230">
        <v>223</v>
      </c>
      <c r="F1230">
        <v>223</v>
      </c>
      <c r="G1230">
        <v>64.231620969999994</v>
      </c>
      <c r="H1230">
        <v>3175</v>
      </c>
      <c r="I1230">
        <v>0.100402319</v>
      </c>
      <c r="J1230">
        <v>3398</v>
      </c>
      <c r="K1230">
        <v>33843.839800000002</v>
      </c>
      <c r="L1230">
        <v>0.78600000000000003</v>
      </c>
      <c r="M1230">
        <v>0.93437316100000001</v>
      </c>
      <c r="N1230">
        <v>1</v>
      </c>
      <c r="O1230" t="s">
        <v>606</v>
      </c>
      <c r="P1230">
        <f t="shared" si="173"/>
        <v>13.18376258</v>
      </c>
      <c r="Q1230">
        <f t="shared" si="174"/>
        <v>4.4999999999999998E-2</v>
      </c>
      <c r="R1230">
        <f t="shared" si="175"/>
        <v>1.6E-2</v>
      </c>
      <c r="S1230">
        <f t="shared" si="176"/>
        <v>0.78600000000000003</v>
      </c>
      <c r="T1230">
        <f t="shared" si="177"/>
        <v>2.4261538460000001</v>
      </c>
      <c r="U1230">
        <f t="shared" si="178"/>
        <v>8.107824505</v>
      </c>
      <c r="V1230">
        <f t="shared" si="179"/>
        <v>1.7999999999999999E-2</v>
      </c>
      <c r="W1230">
        <f t="shared" si="180"/>
        <v>0.113</v>
      </c>
      <c r="X1230">
        <f t="shared" si="181"/>
        <v>0.81100000000000005</v>
      </c>
      <c r="Y1230">
        <v>216.46631310000001</v>
      </c>
      <c r="Z1230">
        <v>0</v>
      </c>
      <c r="AA1230">
        <v>90778</v>
      </c>
      <c r="AB1230">
        <v>31662</v>
      </c>
      <c r="AC1230">
        <v>3.1753482E-2</v>
      </c>
      <c r="AD1230">
        <v>0.82960131100000001</v>
      </c>
      <c r="AF1230">
        <v>13.18376258</v>
      </c>
      <c r="AG1230">
        <v>4.4999999999999998E-2</v>
      </c>
      <c r="AH1230">
        <v>1.6E-2</v>
      </c>
      <c r="AI1230">
        <v>0.78600000000000003</v>
      </c>
      <c r="AJ1230">
        <v>2.4261538460000001</v>
      </c>
      <c r="AK1230">
        <v>8.107824505</v>
      </c>
      <c r="AL1230">
        <v>1.7999999999999999E-2</v>
      </c>
      <c r="AM1230">
        <v>0.113</v>
      </c>
      <c r="AN1230">
        <v>0.81100000000000005</v>
      </c>
    </row>
    <row r="1231" spans="1:40">
      <c r="A1231">
        <v>3299</v>
      </c>
      <c r="B1231" t="s">
        <v>702</v>
      </c>
      <c r="C1231" t="s">
        <v>696</v>
      </c>
      <c r="D1231" t="s">
        <v>697</v>
      </c>
      <c r="E1231">
        <v>117</v>
      </c>
      <c r="F1231">
        <v>333</v>
      </c>
      <c r="G1231">
        <v>28.185731000000001</v>
      </c>
      <c r="H1231">
        <v>0</v>
      </c>
      <c r="I1231">
        <v>4.4059735000000003E-2</v>
      </c>
      <c r="J1231">
        <v>333</v>
      </c>
      <c r="K1231">
        <v>7557.9210810000004</v>
      </c>
      <c r="L1231">
        <v>0.81299999999999994</v>
      </c>
      <c r="M1231">
        <v>0</v>
      </c>
      <c r="N1231">
        <v>0</v>
      </c>
      <c r="O1231" t="s">
        <v>620</v>
      </c>
      <c r="P1231">
        <f t="shared" si="173"/>
        <v>13.5595</v>
      </c>
      <c r="Q1231">
        <f t="shared" si="174"/>
        <v>0.04</v>
      </c>
      <c r="R1231">
        <f t="shared" si="175"/>
        <v>0.01</v>
      </c>
      <c r="S1231">
        <f t="shared" si="176"/>
        <v>0.81299999999999994</v>
      </c>
      <c r="T1231">
        <f t="shared" si="177"/>
        <v>0.84</v>
      </c>
      <c r="U1231">
        <f t="shared" si="178"/>
        <v>5.669727891</v>
      </c>
      <c r="V1231">
        <f t="shared" si="179"/>
        <v>4.2301204819277106E-2</v>
      </c>
      <c r="W1231">
        <f t="shared" si="180"/>
        <v>0.28599999999999998</v>
      </c>
      <c r="X1231">
        <f t="shared" si="181"/>
        <v>0.71399999999999997</v>
      </c>
      <c r="Y1231">
        <v>262.629592</v>
      </c>
      <c r="Z1231">
        <v>0</v>
      </c>
      <c r="AA1231">
        <v>90778</v>
      </c>
      <c r="AB1231">
        <v>31662</v>
      </c>
      <c r="AC1231">
        <v>3.1753482E-2</v>
      </c>
      <c r="AD1231">
        <v>0.82960131100000001</v>
      </c>
      <c r="AF1231">
        <v>13.5595</v>
      </c>
      <c r="AG1231">
        <v>0.04</v>
      </c>
      <c r="AH1231">
        <v>0.01</v>
      </c>
      <c r="AI1231">
        <v>0.81299999999999994</v>
      </c>
      <c r="AJ1231">
        <v>0.84</v>
      </c>
      <c r="AK1231">
        <v>5.669727891</v>
      </c>
      <c r="AL1231">
        <v>0</v>
      </c>
      <c r="AM1231">
        <v>0.28599999999999998</v>
      </c>
      <c r="AN1231">
        <v>0.71399999999999997</v>
      </c>
    </row>
    <row r="1232" spans="1:40">
      <c r="A1232">
        <v>3300</v>
      </c>
      <c r="B1232" t="s">
        <v>701</v>
      </c>
      <c r="C1232" t="s">
        <v>696</v>
      </c>
      <c r="D1232" t="s">
        <v>697</v>
      </c>
      <c r="E1232">
        <v>228</v>
      </c>
      <c r="F1232">
        <v>766</v>
      </c>
      <c r="G1232">
        <v>48.879884990000001</v>
      </c>
      <c r="H1232">
        <v>3</v>
      </c>
      <c r="I1232">
        <v>7.6409042999999996E-2</v>
      </c>
      <c r="J1232">
        <v>769</v>
      </c>
      <c r="K1232">
        <v>10064.253779999999</v>
      </c>
      <c r="L1232">
        <v>0.78700000000000003</v>
      </c>
      <c r="M1232">
        <v>1.2987013E-2</v>
      </c>
      <c r="N1232">
        <v>1</v>
      </c>
      <c r="O1232" t="s">
        <v>613</v>
      </c>
      <c r="P1232">
        <f t="shared" si="173"/>
        <v>13.41346154</v>
      </c>
      <c r="Q1232">
        <f t="shared" si="174"/>
        <v>5.0999999999999997E-2</v>
      </c>
      <c r="R1232">
        <f t="shared" si="175"/>
        <v>1.4E-2</v>
      </c>
      <c r="S1232">
        <f t="shared" si="176"/>
        <v>0.78700000000000003</v>
      </c>
      <c r="T1232">
        <f t="shared" si="177"/>
        <v>3.3050000000000002</v>
      </c>
      <c r="U1232">
        <f t="shared" si="178"/>
        <v>6.3131221719999999</v>
      </c>
      <c r="V1232">
        <f t="shared" si="179"/>
        <v>5.3999999999999999E-2</v>
      </c>
      <c r="W1232">
        <f t="shared" si="180"/>
        <v>0.189</v>
      </c>
      <c r="X1232">
        <f t="shared" si="181"/>
        <v>0.70299999999999996</v>
      </c>
      <c r="Y1232">
        <v>111.82403360000001</v>
      </c>
      <c r="Z1232">
        <v>0</v>
      </c>
      <c r="AA1232">
        <v>22589</v>
      </c>
      <c r="AB1232">
        <v>7233</v>
      </c>
      <c r="AC1232">
        <v>3.8721845999999997E-2</v>
      </c>
      <c r="AD1232">
        <v>0.78947076400000005</v>
      </c>
      <c r="AF1232">
        <v>13.41346154</v>
      </c>
      <c r="AG1232">
        <v>5.0999999999999997E-2</v>
      </c>
      <c r="AH1232">
        <v>1.4E-2</v>
      </c>
      <c r="AI1232">
        <v>0.78700000000000003</v>
      </c>
      <c r="AJ1232">
        <v>3.3050000000000002</v>
      </c>
      <c r="AK1232">
        <v>6.3131221719999999</v>
      </c>
      <c r="AL1232">
        <v>5.3999999999999999E-2</v>
      </c>
      <c r="AM1232">
        <v>0.189</v>
      </c>
      <c r="AN1232">
        <v>0.70299999999999996</v>
      </c>
    </row>
    <row r="1233" spans="1:40">
      <c r="A1233">
        <v>3301</v>
      </c>
      <c r="B1233" t="s">
        <v>702</v>
      </c>
      <c r="C1233" t="s">
        <v>696</v>
      </c>
      <c r="D1233" t="s">
        <v>697</v>
      </c>
      <c r="E1233">
        <v>236</v>
      </c>
      <c r="F1233">
        <v>1282</v>
      </c>
      <c r="G1233">
        <v>30.033877360000002</v>
      </c>
      <c r="H1233">
        <v>531</v>
      </c>
      <c r="I1233">
        <v>4.6943024999999999E-2</v>
      </c>
      <c r="J1233">
        <v>1813</v>
      </c>
      <c r="K1233">
        <v>38621.286119999997</v>
      </c>
      <c r="L1233">
        <v>0.78400000000000003</v>
      </c>
      <c r="M1233">
        <v>0.69230769199999997</v>
      </c>
      <c r="N1233">
        <v>1</v>
      </c>
      <c r="O1233" t="s">
        <v>613</v>
      </c>
      <c r="P1233">
        <f t="shared" si="173"/>
        <v>11.990789469999999</v>
      </c>
      <c r="Q1233">
        <f t="shared" si="174"/>
        <v>4.2999999999999997E-2</v>
      </c>
      <c r="R1233">
        <f t="shared" si="175"/>
        <v>1.2999999999999999E-2</v>
      </c>
      <c r="S1233">
        <f t="shared" si="176"/>
        <v>0.78400000000000003</v>
      </c>
      <c r="T1233">
        <f t="shared" si="177"/>
        <v>1.9890000000000001</v>
      </c>
      <c r="U1233">
        <f t="shared" si="178"/>
        <v>6.0521652169999998</v>
      </c>
      <c r="V1233">
        <f t="shared" si="179"/>
        <v>1.7999999999999999E-2</v>
      </c>
      <c r="W1233">
        <f t="shared" si="180"/>
        <v>0.20899999999999999</v>
      </c>
      <c r="X1233">
        <f t="shared" si="181"/>
        <v>0.69899999999999995</v>
      </c>
      <c r="Y1233">
        <v>161.75495230000001</v>
      </c>
      <c r="Z1233">
        <v>0</v>
      </c>
      <c r="AA1233">
        <v>90778</v>
      </c>
      <c r="AB1233">
        <v>31662</v>
      </c>
      <c r="AC1233">
        <v>3.1753482E-2</v>
      </c>
      <c r="AD1233">
        <v>0.82960131100000001</v>
      </c>
      <c r="AF1233">
        <v>11.990789469999999</v>
      </c>
      <c r="AG1233">
        <v>4.2999999999999997E-2</v>
      </c>
      <c r="AH1233">
        <v>1.2999999999999999E-2</v>
      </c>
      <c r="AI1233">
        <v>0.78400000000000003</v>
      </c>
      <c r="AJ1233">
        <v>1.9890000000000001</v>
      </c>
      <c r="AK1233">
        <v>6.0521652169999998</v>
      </c>
      <c r="AL1233">
        <v>1.7999999999999999E-2</v>
      </c>
      <c r="AM1233">
        <v>0.20899999999999999</v>
      </c>
      <c r="AN1233">
        <v>0.69899999999999995</v>
      </c>
    </row>
    <row r="1234" spans="1:40">
      <c r="A1234">
        <v>3302</v>
      </c>
      <c r="B1234" t="s">
        <v>702</v>
      </c>
      <c r="C1234" t="s">
        <v>696</v>
      </c>
      <c r="D1234" t="s">
        <v>697</v>
      </c>
      <c r="E1234">
        <v>81</v>
      </c>
      <c r="F1234">
        <v>81</v>
      </c>
      <c r="G1234">
        <v>26.587060350000002</v>
      </c>
      <c r="H1234">
        <v>953</v>
      </c>
      <c r="I1234">
        <v>4.1557391999999999E-2</v>
      </c>
      <c r="J1234">
        <v>1034</v>
      </c>
      <c r="K1234">
        <v>24881.253379999998</v>
      </c>
      <c r="L1234">
        <v>0.85099999999999998</v>
      </c>
      <c r="M1234">
        <v>0.92166344300000003</v>
      </c>
      <c r="N1234">
        <v>1</v>
      </c>
      <c r="O1234" t="s">
        <v>613</v>
      </c>
      <c r="P1234">
        <f t="shared" si="173"/>
        <v>11.925658909999999</v>
      </c>
      <c r="Q1234">
        <f t="shared" si="174"/>
        <v>2.1000000000000001E-2</v>
      </c>
      <c r="R1234">
        <f t="shared" si="175"/>
        <v>8.9999999999999993E-3</v>
      </c>
      <c r="S1234">
        <f t="shared" si="176"/>
        <v>0.85099999999999998</v>
      </c>
      <c r="T1234">
        <f t="shared" si="177"/>
        <v>2.0747058819999999</v>
      </c>
      <c r="U1234">
        <f t="shared" si="178"/>
        <v>6.1849903289999997</v>
      </c>
      <c r="V1234">
        <f t="shared" si="179"/>
        <v>2.5999999999999999E-2</v>
      </c>
      <c r="W1234">
        <f t="shared" si="180"/>
        <v>0.104</v>
      </c>
      <c r="X1234">
        <f t="shared" si="181"/>
        <v>0.83799999999999997</v>
      </c>
      <c r="Y1234">
        <v>263.39394629999998</v>
      </c>
      <c r="Z1234">
        <v>0</v>
      </c>
      <c r="AA1234">
        <v>90778</v>
      </c>
      <c r="AB1234">
        <v>31662</v>
      </c>
      <c r="AC1234">
        <v>3.1753482E-2</v>
      </c>
      <c r="AD1234">
        <v>0.82960131100000001</v>
      </c>
      <c r="AF1234">
        <v>11.925658909999999</v>
      </c>
      <c r="AG1234">
        <v>2.1000000000000001E-2</v>
      </c>
      <c r="AH1234">
        <v>8.9999999999999993E-3</v>
      </c>
      <c r="AI1234">
        <v>0.85099999999999998</v>
      </c>
      <c r="AJ1234">
        <v>2.0747058819999999</v>
      </c>
      <c r="AK1234">
        <v>6.1849903289999997</v>
      </c>
      <c r="AL1234">
        <v>2.5999999999999999E-2</v>
      </c>
      <c r="AM1234">
        <v>0.104</v>
      </c>
      <c r="AN1234">
        <v>0.83799999999999997</v>
      </c>
    </row>
    <row r="1235" spans="1:40">
      <c r="A1235">
        <v>3303</v>
      </c>
      <c r="B1235" t="s">
        <v>702</v>
      </c>
      <c r="C1235" t="s">
        <v>696</v>
      </c>
      <c r="D1235" t="s">
        <v>697</v>
      </c>
      <c r="E1235">
        <v>164</v>
      </c>
      <c r="F1235">
        <v>465</v>
      </c>
      <c r="G1235">
        <v>30.96858654</v>
      </c>
      <c r="H1235">
        <v>0</v>
      </c>
      <c r="I1235">
        <v>4.8406801999999999E-2</v>
      </c>
      <c r="J1235">
        <v>465</v>
      </c>
      <c r="K1235">
        <v>9606.0880039999993</v>
      </c>
      <c r="L1235">
        <v>0.81299999999999994</v>
      </c>
      <c r="M1235">
        <v>0</v>
      </c>
      <c r="N1235">
        <v>0</v>
      </c>
      <c r="O1235" t="s">
        <v>620</v>
      </c>
      <c r="P1235">
        <f t="shared" si="173"/>
        <v>9.3505405410000009</v>
      </c>
      <c r="Q1235">
        <f t="shared" si="174"/>
        <v>3.3000000000000002E-2</v>
      </c>
      <c r="R1235">
        <f t="shared" si="175"/>
        <v>2.4E-2</v>
      </c>
      <c r="S1235">
        <f t="shared" si="176"/>
        <v>0.81299999999999994</v>
      </c>
      <c r="T1235">
        <f t="shared" si="177"/>
        <v>3.1066666669999998</v>
      </c>
      <c r="U1235">
        <f t="shared" si="178"/>
        <v>6.0982000000000003</v>
      </c>
      <c r="V1235">
        <f t="shared" si="179"/>
        <v>2.1999999999999999E-2</v>
      </c>
      <c r="W1235">
        <f t="shared" si="180"/>
        <v>2.1999999999999999E-2</v>
      </c>
      <c r="X1235">
        <f t="shared" si="181"/>
        <v>0.82199999999999995</v>
      </c>
      <c r="Y1235">
        <v>127.5958162</v>
      </c>
      <c r="Z1235">
        <v>0</v>
      </c>
      <c r="AA1235">
        <v>90778</v>
      </c>
      <c r="AB1235">
        <v>31662</v>
      </c>
      <c r="AC1235">
        <v>3.1753482E-2</v>
      </c>
      <c r="AD1235">
        <v>0.82960131100000001</v>
      </c>
      <c r="AF1235">
        <v>9.3505405410000009</v>
      </c>
      <c r="AG1235">
        <v>3.3000000000000002E-2</v>
      </c>
      <c r="AH1235">
        <v>2.4E-2</v>
      </c>
      <c r="AI1235">
        <v>0.81299999999999994</v>
      </c>
      <c r="AJ1235">
        <v>3.1066666669999998</v>
      </c>
      <c r="AK1235">
        <v>6.0982000000000003</v>
      </c>
      <c r="AL1235">
        <v>2.1999999999999999E-2</v>
      </c>
      <c r="AM1235">
        <v>2.1999999999999999E-2</v>
      </c>
      <c r="AN1235">
        <v>0.82199999999999995</v>
      </c>
    </row>
    <row r="1236" spans="1:40">
      <c r="A1236">
        <v>3304</v>
      </c>
      <c r="B1236" t="s">
        <v>702</v>
      </c>
      <c r="C1236" t="s">
        <v>696</v>
      </c>
      <c r="D1236" t="s">
        <v>697</v>
      </c>
      <c r="E1236">
        <v>195</v>
      </c>
      <c r="F1236">
        <v>593</v>
      </c>
      <c r="G1236">
        <v>40.370025060000003</v>
      </c>
      <c r="H1236">
        <v>639</v>
      </c>
      <c r="I1236">
        <v>6.3100018999999993E-2</v>
      </c>
      <c r="J1236">
        <v>1232</v>
      </c>
      <c r="K1236">
        <v>19524.558300000001</v>
      </c>
      <c r="L1236">
        <v>0.86799999999999999</v>
      </c>
      <c r="M1236">
        <v>0.76618704999999998</v>
      </c>
      <c r="N1236">
        <v>0</v>
      </c>
      <c r="O1236" t="s">
        <v>620</v>
      </c>
      <c r="P1236">
        <f t="shared" si="173"/>
        <v>11.280535710000001</v>
      </c>
      <c r="Q1236">
        <f t="shared" si="174"/>
        <v>7.0000000000000001E-3</v>
      </c>
      <c r="R1236">
        <f t="shared" si="175"/>
        <v>1.2E-2</v>
      </c>
      <c r="S1236">
        <f t="shared" si="176"/>
        <v>0.86799999999999999</v>
      </c>
      <c r="T1236">
        <f t="shared" si="177"/>
        <v>1.8468421049999999</v>
      </c>
      <c r="U1236">
        <f t="shared" si="178"/>
        <v>6.1268924</v>
      </c>
      <c r="V1236">
        <f t="shared" si="179"/>
        <v>3.1E-2</v>
      </c>
      <c r="W1236">
        <f t="shared" si="180"/>
        <v>7.5999999999999998E-2</v>
      </c>
      <c r="X1236">
        <f t="shared" si="181"/>
        <v>0.85499999999999998</v>
      </c>
      <c r="Y1236">
        <v>182.09235939999999</v>
      </c>
      <c r="Z1236">
        <v>0</v>
      </c>
      <c r="AA1236">
        <v>90778</v>
      </c>
      <c r="AB1236">
        <v>31662</v>
      </c>
      <c r="AC1236">
        <v>3.1753482E-2</v>
      </c>
      <c r="AD1236">
        <v>0.82960131100000001</v>
      </c>
      <c r="AF1236">
        <v>11.280535710000001</v>
      </c>
      <c r="AG1236">
        <v>7.0000000000000001E-3</v>
      </c>
      <c r="AH1236">
        <v>1.2E-2</v>
      </c>
      <c r="AI1236">
        <v>0.86799999999999999</v>
      </c>
      <c r="AJ1236">
        <v>1.8468421049999999</v>
      </c>
      <c r="AK1236">
        <v>6.1268924</v>
      </c>
      <c r="AL1236">
        <v>3.1E-2</v>
      </c>
      <c r="AM1236">
        <v>7.5999999999999998E-2</v>
      </c>
      <c r="AN1236">
        <v>0.85499999999999998</v>
      </c>
    </row>
    <row r="1237" spans="1:40">
      <c r="A1237">
        <v>3305</v>
      </c>
      <c r="B1237" t="s">
        <v>702</v>
      </c>
      <c r="C1237" t="s">
        <v>696</v>
      </c>
      <c r="D1237" t="s">
        <v>697</v>
      </c>
      <c r="E1237">
        <v>628</v>
      </c>
      <c r="F1237">
        <v>1604</v>
      </c>
      <c r="G1237">
        <v>54.775475470000003</v>
      </c>
      <c r="H1237">
        <v>362</v>
      </c>
      <c r="I1237">
        <v>8.5617777000000006E-2</v>
      </c>
      <c r="J1237">
        <v>1966</v>
      </c>
      <c r="K1237">
        <v>22962.520970000001</v>
      </c>
      <c r="L1237">
        <v>0.77500000000000002</v>
      </c>
      <c r="M1237">
        <v>0.36565656600000002</v>
      </c>
      <c r="N1237">
        <v>1</v>
      </c>
      <c r="O1237" t="s">
        <v>613</v>
      </c>
      <c r="P1237">
        <f t="shared" si="173"/>
        <v>12.174586469999999</v>
      </c>
      <c r="Q1237">
        <f t="shared" si="174"/>
        <v>0.05</v>
      </c>
      <c r="R1237">
        <f t="shared" si="175"/>
        <v>1.9E-2</v>
      </c>
      <c r="S1237">
        <f t="shared" si="176"/>
        <v>0.77500000000000002</v>
      </c>
      <c r="T1237">
        <f t="shared" si="177"/>
        <v>1.872083333</v>
      </c>
      <c r="U1237">
        <f t="shared" si="178"/>
        <v>6.261170678</v>
      </c>
      <c r="V1237">
        <f t="shared" si="179"/>
        <v>5.5E-2</v>
      </c>
      <c r="W1237">
        <f t="shared" si="180"/>
        <v>0.16500000000000001</v>
      </c>
      <c r="X1237">
        <f t="shared" si="181"/>
        <v>0.73099999999999998</v>
      </c>
      <c r="Y1237">
        <v>88.731766620000002</v>
      </c>
      <c r="Z1237">
        <v>0</v>
      </c>
      <c r="AA1237">
        <v>90778</v>
      </c>
      <c r="AB1237">
        <v>31662</v>
      </c>
      <c r="AC1237">
        <v>3.1753482E-2</v>
      </c>
      <c r="AD1237">
        <v>0.82960131100000001</v>
      </c>
      <c r="AF1237">
        <v>12.174586469999999</v>
      </c>
      <c r="AG1237">
        <v>0.05</v>
      </c>
      <c r="AH1237">
        <v>1.9E-2</v>
      </c>
      <c r="AI1237">
        <v>0.77500000000000002</v>
      </c>
      <c r="AJ1237">
        <v>1.872083333</v>
      </c>
      <c r="AK1237">
        <v>6.261170678</v>
      </c>
      <c r="AL1237">
        <v>5.5E-2</v>
      </c>
      <c r="AM1237">
        <v>0.16500000000000001</v>
      </c>
      <c r="AN1237">
        <v>0.73099999999999998</v>
      </c>
    </row>
    <row r="1238" spans="1:40">
      <c r="A1238">
        <v>3306</v>
      </c>
      <c r="B1238" t="s">
        <v>701</v>
      </c>
      <c r="C1238" t="s">
        <v>696</v>
      </c>
      <c r="D1238" t="s">
        <v>697</v>
      </c>
      <c r="E1238">
        <v>145</v>
      </c>
      <c r="F1238">
        <v>441</v>
      </c>
      <c r="G1238">
        <v>26.932072860000002</v>
      </c>
      <c r="H1238">
        <v>41</v>
      </c>
      <c r="I1238">
        <v>4.2100975999999998E-2</v>
      </c>
      <c r="J1238">
        <v>482</v>
      </c>
      <c r="K1238">
        <v>11448.6657</v>
      </c>
      <c r="L1238">
        <v>0.79200000000000004</v>
      </c>
      <c r="M1238">
        <v>0.22043010800000001</v>
      </c>
      <c r="N1238">
        <v>0</v>
      </c>
      <c r="O1238" t="s">
        <v>613</v>
      </c>
      <c r="P1238">
        <f t="shared" si="173"/>
        <v>11.874473679999999</v>
      </c>
      <c r="Q1238">
        <f t="shared" si="174"/>
        <v>5.3999999999999999E-2</v>
      </c>
      <c r="R1238">
        <f t="shared" si="175"/>
        <v>0.03</v>
      </c>
      <c r="S1238">
        <f t="shared" si="176"/>
        <v>0.79200000000000004</v>
      </c>
      <c r="T1238">
        <f t="shared" si="177"/>
        <v>2.1309999999999998</v>
      </c>
      <c r="U1238">
        <f t="shared" si="178"/>
        <v>6.33203125</v>
      </c>
      <c r="V1238">
        <f t="shared" si="179"/>
        <v>6.4000000000000001E-2</v>
      </c>
      <c r="W1238">
        <f t="shared" si="180"/>
        <v>0.106</v>
      </c>
      <c r="X1238">
        <f t="shared" si="181"/>
        <v>0.80900000000000005</v>
      </c>
      <c r="Y1238">
        <v>105.0582215</v>
      </c>
      <c r="Z1238">
        <v>0</v>
      </c>
      <c r="AA1238">
        <v>22589</v>
      </c>
      <c r="AB1238">
        <v>7233</v>
      </c>
      <c r="AC1238">
        <v>3.8721845999999997E-2</v>
      </c>
      <c r="AD1238">
        <v>0.78947076400000005</v>
      </c>
      <c r="AF1238">
        <v>11.874473679999999</v>
      </c>
      <c r="AG1238">
        <v>5.3999999999999999E-2</v>
      </c>
      <c r="AH1238">
        <v>0.03</v>
      </c>
      <c r="AI1238">
        <v>0.79200000000000004</v>
      </c>
      <c r="AJ1238">
        <v>2.1309999999999998</v>
      </c>
      <c r="AK1238">
        <v>6.33203125</v>
      </c>
      <c r="AL1238">
        <v>6.4000000000000001E-2</v>
      </c>
      <c r="AM1238">
        <v>0.106</v>
      </c>
      <c r="AN1238">
        <v>0.80900000000000005</v>
      </c>
    </row>
    <row r="1239" spans="1:40">
      <c r="A1239">
        <v>3307</v>
      </c>
      <c r="B1239" t="s">
        <v>695</v>
      </c>
      <c r="C1239" t="s">
        <v>696</v>
      </c>
      <c r="D1239" t="s">
        <v>697</v>
      </c>
      <c r="E1239">
        <v>452</v>
      </c>
      <c r="F1239">
        <v>1046</v>
      </c>
      <c r="G1239">
        <v>113.9057617</v>
      </c>
      <c r="H1239">
        <v>0</v>
      </c>
      <c r="I1239">
        <v>0.178050342</v>
      </c>
      <c r="J1239">
        <v>1046</v>
      </c>
      <c r="K1239">
        <v>5874.7429979999997</v>
      </c>
      <c r="L1239">
        <v>0.78400000000000003</v>
      </c>
      <c r="M1239">
        <v>0</v>
      </c>
      <c r="N1239">
        <v>1</v>
      </c>
      <c r="O1239" t="s">
        <v>620</v>
      </c>
      <c r="P1239">
        <f t="shared" si="173"/>
        <v>13.54123596</v>
      </c>
      <c r="Q1239">
        <f t="shared" si="174"/>
        <v>3.9E-2</v>
      </c>
      <c r="R1239">
        <f t="shared" si="175"/>
        <v>2.1999999999999999E-2</v>
      </c>
      <c r="S1239">
        <f t="shared" si="176"/>
        <v>0.78400000000000003</v>
      </c>
      <c r="T1239">
        <f t="shared" si="177"/>
        <v>2.0413333329999999</v>
      </c>
      <c r="U1239">
        <f t="shared" si="178"/>
        <v>7.49494186</v>
      </c>
      <c r="V1239">
        <f t="shared" si="179"/>
        <v>5.1999999999999998E-2</v>
      </c>
      <c r="W1239">
        <f t="shared" si="180"/>
        <v>0.10299999999999999</v>
      </c>
      <c r="X1239">
        <f t="shared" si="181"/>
        <v>0.76700000000000002</v>
      </c>
      <c r="Y1239">
        <v>38.1058041</v>
      </c>
      <c r="Z1239">
        <v>0</v>
      </c>
      <c r="AA1239">
        <v>62139</v>
      </c>
      <c r="AB1239">
        <v>22178</v>
      </c>
      <c r="AC1239">
        <v>2.5956119999999999E-2</v>
      </c>
      <c r="AD1239">
        <v>0.81129361</v>
      </c>
      <c r="AF1239">
        <v>13.54123596</v>
      </c>
      <c r="AG1239">
        <v>3.9E-2</v>
      </c>
      <c r="AH1239">
        <v>2.1999999999999999E-2</v>
      </c>
      <c r="AI1239">
        <v>0.78400000000000003</v>
      </c>
      <c r="AJ1239">
        <v>2.0413333329999999</v>
      </c>
      <c r="AK1239">
        <v>7.49494186</v>
      </c>
      <c r="AL1239">
        <v>5.1999999999999998E-2</v>
      </c>
      <c r="AM1239">
        <v>0.10299999999999999</v>
      </c>
      <c r="AN1239">
        <v>0.76700000000000002</v>
      </c>
    </row>
    <row r="1240" spans="1:40">
      <c r="A1240">
        <v>3308</v>
      </c>
      <c r="B1240" t="s">
        <v>695</v>
      </c>
      <c r="C1240" t="s">
        <v>696</v>
      </c>
      <c r="D1240" t="s">
        <v>697</v>
      </c>
      <c r="E1240">
        <v>1204</v>
      </c>
      <c r="F1240">
        <v>3559</v>
      </c>
      <c r="G1240">
        <v>666.59266100000002</v>
      </c>
      <c r="H1240">
        <v>4</v>
      </c>
      <c r="I1240" s="515">
        <v>1.04197517312743</v>
      </c>
      <c r="J1240">
        <v>3563</v>
      </c>
      <c r="K1240">
        <v>3419.4672690000002</v>
      </c>
      <c r="L1240">
        <v>0.89100000000000001</v>
      </c>
      <c r="M1240">
        <v>3.3112580000000001E-3</v>
      </c>
      <c r="N1240">
        <v>0</v>
      </c>
      <c r="O1240" t="s">
        <v>625</v>
      </c>
      <c r="P1240">
        <f t="shared" si="173"/>
        <v>17.765295699999999</v>
      </c>
      <c r="Q1240">
        <f t="shared" si="174"/>
        <v>3.4000000000000002E-2</v>
      </c>
      <c r="R1240">
        <f t="shared" si="175"/>
        <v>2.3E-2</v>
      </c>
      <c r="S1240">
        <f t="shared" si="176"/>
        <v>0.89100000000000001</v>
      </c>
      <c r="T1240">
        <f t="shared" si="177"/>
        <v>2.6890909089999999</v>
      </c>
      <c r="U1240">
        <f t="shared" si="178"/>
        <v>10.74662805</v>
      </c>
      <c r="V1240">
        <f t="shared" si="179"/>
        <v>1.6E-2</v>
      </c>
      <c r="W1240">
        <f t="shared" si="180"/>
        <v>0.129</v>
      </c>
      <c r="X1240">
        <f t="shared" si="181"/>
        <v>0.85499999999999998</v>
      </c>
      <c r="Y1240">
        <v>3.851583669</v>
      </c>
      <c r="Z1240">
        <v>0</v>
      </c>
      <c r="AA1240">
        <v>62139</v>
      </c>
      <c r="AB1240">
        <v>22178</v>
      </c>
      <c r="AC1240">
        <v>2.5956119999999999E-2</v>
      </c>
      <c r="AD1240">
        <v>0.81129361</v>
      </c>
      <c r="AF1240">
        <v>17.765295699999999</v>
      </c>
      <c r="AG1240">
        <v>3.4000000000000002E-2</v>
      </c>
      <c r="AH1240">
        <v>2.3E-2</v>
      </c>
      <c r="AI1240">
        <v>0.89100000000000001</v>
      </c>
      <c r="AJ1240">
        <v>2.6890909089999999</v>
      </c>
      <c r="AK1240">
        <v>10.74662805</v>
      </c>
      <c r="AL1240">
        <v>1.6E-2</v>
      </c>
      <c r="AM1240">
        <v>0.129</v>
      </c>
      <c r="AN1240">
        <v>0.85499999999999998</v>
      </c>
    </row>
    <row r="1241" spans="1:40">
      <c r="A1241">
        <v>3309</v>
      </c>
      <c r="B1241" t="s">
        <v>695</v>
      </c>
      <c r="C1241" t="s">
        <v>696</v>
      </c>
      <c r="D1241" t="s">
        <v>697</v>
      </c>
      <c r="E1241">
        <v>115</v>
      </c>
      <c r="F1241">
        <v>308</v>
      </c>
      <c r="G1241">
        <v>21.245338749999998</v>
      </c>
      <c r="H1241">
        <v>0</v>
      </c>
      <c r="I1241">
        <v>3.3212670999999999E-2</v>
      </c>
      <c r="J1241">
        <v>308</v>
      </c>
      <c r="K1241">
        <v>9273.5691150000002</v>
      </c>
      <c r="L1241">
        <v>0.79200000000000004</v>
      </c>
      <c r="M1241">
        <v>0</v>
      </c>
      <c r="N1241">
        <v>1</v>
      </c>
      <c r="O1241" t="s">
        <v>620</v>
      </c>
      <c r="P1241">
        <f t="shared" si="173"/>
        <v>15.59333333</v>
      </c>
      <c r="Q1241">
        <f t="shared" si="174"/>
        <v>5.7000000000000002E-2</v>
      </c>
      <c r="R1241">
        <f t="shared" si="175"/>
        <v>1.9E-2</v>
      </c>
      <c r="S1241">
        <f t="shared" si="176"/>
        <v>0.79200000000000004</v>
      </c>
      <c r="T1241">
        <f t="shared" si="177"/>
        <v>0.71</v>
      </c>
      <c r="U1241">
        <f t="shared" si="178"/>
        <v>7.558717949</v>
      </c>
      <c r="V1241">
        <f t="shared" si="179"/>
        <v>0.1</v>
      </c>
      <c r="W1241">
        <f t="shared" si="180"/>
        <v>0.3</v>
      </c>
      <c r="X1241">
        <f t="shared" si="181"/>
        <v>0.6</v>
      </c>
      <c r="Y1241">
        <v>110.4344938</v>
      </c>
      <c r="Z1241">
        <v>0</v>
      </c>
      <c r="AA1241">
        <v>62139</v>
      </c>
      <c r="AB1241">
        <v>22178</v>
      </c>
      <c r="AC1241">
        <v>2.5956119999999999E-2</v>
      </c>
      <c r="AD1241">
        <v>0.81129361</v>
      </c>
      <c r="AF1241">
        <v>15.59333333</v>
      </c>
      <c r="AG1241">
        <v>5.7000000000000002E-2</v>
      </c>
      <c r="AH1241">
        <v>1.9E-2</v>
      </c>
      <c r="AI1241">
        <v>0.79200000000000004</v>
      </c>
      <c r="AJ1241">
        <v>0.71</v>
      </c>
      <c r="AK1241">
        <v>7.558717949</v>
      </c>
      <c r="AL1241">
        <v>0.1</v>
      </c>
      <c r="AM1241">
        <v>0.3</v>
      </c>
      <c r="AN1241">
        <v>0.6</v>
      </c>
    </row>
    <row r="1242" spans="1:40">
      <c r="A1242">
        <v>3310</v>
      </c>
      <c r="B1242" t="s">
        <v>695</v>
      </c>
      <c r="C1242" t="s">
        <v>696</v>
      </c>
      <c r="D1242" t="s">
        <v>697</v>
      </c>
      <c r="E1242">
        <v>437</v>
      </c>
      <c r="F1242">
        <v>1192</v>
      </c>
      <c r="G1242">
        <v>120.6023801</v>
      </c>
      <c r="H1242">
        <v>304</v>
      </c>
      <c r="I1242">
        <v>0.18851764800000001</v>
      </c>
      <c r="J1242">
        <v>1496</v>
      </c>
      <c r="K1242">
        <v>7935.5965649999998</v>
      </c>
      <c r="L1242">
        <v>0.82499999999999996</v>
      </c>
      <c r="M1242">
        <v>0.41025641000000002</v>
      </c>
      <c r="N1242">
        <v>0</v>
      </c>
      <c r="O1242" t="s">
        <v>620</v>
      </c>
      <c r="P1242">
        <f t="shared" si="173"/>
        <v>13.74083832</v>
      </c>
      <c r="Q1242">
        <f t="shared" si="174"/>
        <v>3.6999999999999998E-2</v>
      </c>
      <c r="R1242">
        <f t="shared" si="175"/>
        <v>2.3E-2</v>
      </c>
      <c r="S1242">
        <f t="shared" si="176"/>
        <v>0.82499999999999996</v>
      </c>
      <c r="T1242">
        <f t="shared" si="177"/>
        <v>2.3879999999999999</v>
      </c>
      <c r="U1242">
        <f t="shared" si="178"/>
        <v>7.493118741</v>
      </c>
      <c r="V1242">
        <f t="shared" si="179"/>
        <v>4.2999999999999997E-2</v>
      </c>
      <c r="W1242">
        <f t="shared" si="180"/>
        <v>0.111</v>
      </c>
      <c r="X1242">
        <f t="shared" si="181"/>
        <v>0.80700000000000005</v>
      </c>
      <c r="Y1242">
        <v>15.983224440000001</v>
      </c>
      <c r="Z1242">
        <v>0</v>
      </c>
      <c r="AA1242">
        <v>62139</v>
      </c>
      <c r="AB1242">
        <v>22178</v>
      </c>
      <c r="AC1242">
        <v>2.5956119999999999E-2</v>
      </c>
      <c r="AD1242">
        <v>0.81129361</v>
      </c>
      <c r="AF1242">
        <v>13.74083832</v>
      </c>
      <c r="AG1242">
        <v>3.6999999999999998E-2</v>
      </c>
      <c r="AH1242">
        <v>2.3E-2</v>
      </c>
      <c r="AI1242">
        <v>0.82499999999999996</v>
      </c>
      <c r="AJ1242">
        <v>2.3879999999999999</v>
      </c>
      <c r="AK1242">
        <v>7.493118741</v>
      </c>
      <c r="AL1242">
        <v>4.2999999999999997E-2</v>
      </c>
      <c r="AM1242">
        <v>0.111</v>
      </c>
      <c r="AN1242">
        <v>0.80700000000000005</v>
      </c>
    </row>
    <row r="1243" spans="1:40">
      <c r="A1243">
        <v>3311</v>
      </c>
      <c r="B1243" t="s">
        <v>701</v>
      </c>
      <c r="C1243" t="s">
        <v>696</v>
      </c>
      <c r="D1243" t="s">
        <v>697</v>
      </c>
      <c r="E1243">
        <v>286</v>
      </c>
      <c r="F1243">
        <v>883</v>
      </c>
      <c r="G1243">
        <v>23.981963709999999</v>
      </c>
      <c r="H1243">
        <v>104</v>
      </c>
      <c r="I1243">
        <v>3.7486186999999997E-2</v>
      </c>
      <c r="J1243">
        <v>987</v>
      </c>
      <c r="K1243">
        <v>26329.69846</v>
      </c>
      <c r="L1243">
        <v>0.71199999999999997</v>
      </c>
      <c r="M1243">
        <v>0.26666666700000002</v>
      </c>
      <c r="N1243">
        <v>0</v>
      </c>
      <c r="O1243" t="s">
        <v>613</v>
      </c>
      <c r="P1243">
        <f t="shared" si="173"/>
        <v>12.366666670000001</v>
      </c>
      <c r="Q1243">
        <f t="shared" si="174"/>
        <v>5.3999999999999999E-2</v>
      </c>
      <c r="R1243">
        <f t="shared" si="175"/>
        <v>2.9000000000000001E-2</v>
      </c>
      <c r="S1243">
        <f t="shared" si="176"/>
        <v>0.71199999999999997</v>
      </c>
      <c r="T1243">
        <f t="shared" si="177"/>
        <v>1.68</v>
      </c>
      <c r="U1243">
        <f t="shared" si="178"/>
        <v>6.5957681939999997</v>
      </c>
      <c r="V1243">
        <f t="shared" si="179"/>
        <v>5.1999999999999998E-2</v>
      </c>
      <c r="W1243">
        <f t="shared" si="180"/>
        <v>0.20799999999999999</v>
      </c>
      <c r="X1243">
        <f t="shared" si="181"/>
        <v>0.74</v>
      </c>
      <c r="Y1243">
        <v>78.132130989999993</v>
      </c>
      <c r="Z1243">
        <v>0</v>
      </c>
      <c r="AA1243">
        <v>22589</v>
      </c>
      <c r="AB1243">
        <v>7233</v>
      </c>
      <c r="AC1243">
        <v>3.8721845999999997E-2</v>
      </c>
      <c r="AD1243">
        <v>0.78947076400000005</v>
      </c>
      <c r="AF1243">
        <v>12.366666670000001</v>
      </c>
      <c r="AG1243">
        <v>5.3999999999999999E-2</v>
      </c>
      <c r="AH1243">
        <v>2.9000000000000001E-2</v>
      </c>
      <c r="AI1243">
        <v>0.71199999999999997</v>
      </c>
      <c r="AJ1243">
        <v>1.68</v>
      </c>
      <c r="AK1243">
        <v>6.5957681939999997</v>
      </c>
      <c r="AL1243">
        <v>5.1999999999999998E-2</v>
      </c>
      <c r="AM1243">
        <v>0.20799999999999999</v>
      </c>
      <c r="AN1243">
        <v>0.74</v>
      </c>
    </row>
    <row r="1244" spans="1:40">
      <c r="A1244">
        <v>3312</v>
      </c>
      <c r="B1244" t="s">
        <v>701</v>
      </c>
      <c r="C1244" t="s">
        <v>696</v>
      </c>
      <c r="D1244" t="s">
        <v>697</v>
      </c>
      <c r="E1244">
        <v>159</v>
      </c>
      <c r="F1244">
        <v>540</v>
      </c>
      <c r="G1244">
        <v>62.601351729999998</v>
      </c>
      <c r="H1244">
        <v>171</v>
      </c>
      <c r="I1244">
        <v>9.7853778000000002E-2</v>
      </c>
      <c r="J1244">
        <v>711</v>
      </c>
      <c r="K1244">
        <v>7265.9432729999999</v>
      </c>
      <c r="L1244">
        <v>0.88</v>
      </c>
      <c r="M1244">
        <v>0.51818181799999996</v>
      </c>
      <c r="N1244">
        <v>0</v>
      </c>
      <c r="O1244" t="s">
        <v>620</v>
      </c>
      <c r="P1244">
        <f t="shared" si="173"/>
        <v>12.787244899999999</v>
      </c>
      <c r="Q1244">
        <f t="shared" si="174"/>
        <v>2.7E-2</v>
      </c>
      <c r="R1244">
        <f t="shared" si="175"/>
        <v>1.2999999999999999E-2</v>
      </c>
      <c r="S1244">
        <f t="shared" si="176"/>
        <v>0.88</v>
      </c>
      <c r="T1244">
        <f t="shared" si="177"/>
        <v>2.0071428569999998</v>
      </c>
      <c r="U1244">
        <f t="shared" si="178"/>
        <v>7.9066230940000004</v>
      </c>
      <c r="V1244">
        <f t="shared" si="179"/>
        <v>8.9999999999999993E-3</v>
      </c>
      <c r="W1244">
        <f t="shared" si="180"/>
        <v>9.6000000000000002E-2</v>
      </c>
      <c r="X1244">
        <f t="shared" si="181"/>
        <v>0.86</v>
      </c>
      <c r="Y1244">
        <v>73.006749810000002</v>
      </c>
      <c r="Z1244">
        <v>0</v>
      </c>
      <c r="AA1244">
        <v>22589</v>
      </c>
      <c r="AB1244">
        <v>7233</v>
      </c>
      <c r="AC1244">
        <v>3.8721845999999997E-2</v>
      </c>
      <c r="AD1244">
        <v>0.78947076400000005</v>
      </c>
      <c r="AF1244">
        <v>12.787244899999999</v>
      </c>
      <c r="AG1244">
        <v>2.7E-2</v>
      </c>
      <c r="AH1244">
        <v>1.2999999999999999E-2</v>
      </c>
      <c r="AI1244">
        <v>0.88</v>
      </c>
      <c r="AJ1244">
        <v>2.0071428569999998</v>
      </c>
      <c r="AK1244">
        <v>7.9066230940000004</v>
      </c>
      <c r="AL1244">
        <v>8.9999999999999993E-3</v>
      </c>
      <c r="AM1244">
        <v>9.6000000000000002E-2</v>
      </c>
      <c r="AN1244">
        <v>0.86</v>
      </c>
    </row>
    <row r="1245" spans="1:40">
      <c r="A1245">
        <v>3313</v>
      </c>
      <c r="B1245" t="s">
        <v>695</v>
      </c>
      <c r="C1245" t="s">
        <v>696</v>
      </c>
      <c r="D1245" t="s">
        <v>697</v>
      </c>
      <c r="E1245">
        <v>0</v>
      </c>
      <c r="F1245">
        <v>223</v>
      </c>
      <c r="G1245">
        <v>201.7433825</v>
      </c>
      <c r="H1245">
        <v>1315</v>
      </c>
      <c r="I1245">
        <v>0.31533752100000001</v>
      </c>
      <c r="J1245">
        <v>1538</v>
      </c>
      <c r="K1245">
        <v>4877.3136640000002</v>
      </c>
      <c r="L1245">
        <v>0.85299999999999998</v>
      </c>
      <c r="M1245" s="515">
        <v>1</v>
      </c>
      <c r="N1245">
        <v>0</v>
      </c>
      <c r="O1245" t="s">
        <v>620</v>
      </c>
      <c r="P1245">
        <f t="shared" si="173"/>
        <v>13.81183673</v>
      </c>
      <c r="Q1245">
        <f t="shared" si="174"/>
        <v>8.0000000000000002E-3</v>
      </c>
      <c r="R1245">
        <f t="shared" si="175"/>
        <v>4.4999999999999998E-2</v>
      </c>
      <c r="S1245">
        <f t="shared" si="176"/>
        <v>0.85299999999999998</v>
      </c>
      <c r="T1245">
        <f t="shared" si="177"/>
        <v>2.4457692309999999</v>
      </c>
      <c r="U1245">
        <f t="shared" si="178"/>
        <v>9.2019303800000003</v>
      </c>
      <c r="V1245">
        <f t="shared" si="179"/>
        <v>0.111</v>
      </c>
      <c r="W1245">
        <f t="shared" si="180"/>
        <v>2.5000000000000001E-2</v>
      </c>
      <c r="X1245">
        <f t="shared" si="181"/>
        <v>0.80700000000000005</v>
      </c>
      <c r="Y1245">
        <v>50.917917449999997</v>
      </c>
      <c r="Z1245">
        <v>0</v>
      </c>
      <c r="AA1245">
        <v>62139</v>
      </c>
      <c r="AB1245">
        <v>22178</v>
      </c>
      <c r="AC1245">
        <v>2.5956119999999999E-2</v>
      </c>
      <c r="AD1245">
        <v>0.81129361</v>
      </c>
      <c r="AF1245">
        <v>13.81183673</v>
      </c>
      <c r="AG1245">
        <v>8.0000000000000002E-3</v>
      </c>
      <c r="AH1245">
        <v>4.4999999999999998E-2</v>
      </c>
      <c r="AI1245">
        <v>0.85299999999999998</v>
      </c>
      <c r="AJ1245">
        <v>2.4457692309999999</v>
      </c>
      <c r="AK1245">
        <v>9.2019303800000003</v>
      </c>
      <c r="AL1245">
        <v>0.111</v>
      </c>
      <c r="AM1245">
        <v>2.5000000000000001E-2</v>
      </c>
      <c r="AN1245">
        <v>0.80700000000000005</v>
      </c>
    </row>
    <row r="1246" spans="1:40">
      <c r="A1246">
        <v>3314</v>
      </c>
      <c r="B1246" t="s">
        <v>705</v>
      </c>
      <c r="C1246" t="s">
        <v>696</v>
      </c>
      <c r="D1246" t="s">
        <v>697</v>
      </c>
      <c r="E1246">
        <v>149</v>
      </c>
      <c r="F1246">
        <v>417</v>
      </c>
      <c r="G1246">
        <v>29.373476230000001</v>
      </c>
      <c r="H1246">
        <v>139</v>
      </c>
      <c r="I1246">
        <v>4.5911846999999999E-2</v>
      </c>
      <c r="J1246">
        <v>556</v>
      </c>
      <c r="K1246">
        <v>12110.164070000001</v>
      </c>
      <c r="L1246">
        <v>0.76600000000000001</v>
      </c>
      <c r="M1246">
        <v>0.48263888900000002</v>
      </c>
      <c r="N1246">
        <v>0</v>
      </c>
      <c r="O1246" t="s">
        <v>613</v>
      </c>
      <c r="P1246">
        <f t="shared" si="173"/>
        <v>8.7544897959999997</v>
      </c>
      <c r="Q1246">
        <f t="shared" si="174"/>
        <v>1.4999999999999999E-2</v>
      </c>
      <c r="R1246">
        <f t="shared" si="175"/>
        <v>3.4000000000000002E-2</v>
      </c>
      <c r="S1246">
        <f t="shared" si="176"/>
        <v>0.76600000000000001</v>
      </c>
      <c r="T1246">
        <f t="shared" si="177"/>
        <v>2.5278571429999999</v>
      </c>
      <c r="U1246">
        <f t="shared" si="178"/>
        <v>5.8559539469999997</v>
      </c>
      <c r="V1246">
        <f t="shared" si="179"/>
        <v>5.6000000000000001E-2</v>
      </c>
      <c r="W1246">
        <f t="shared" si="180"/>
        <v>3.6999999999999998E-2</v>
      </c>
      <c r="X1246">
        <f t="shared" si="181"/>
        <v>0.90700000000000003</v>
      </c>
      <c r="Y1246">
        <v>108.7757579</v>
      </c>
      <c r="Z1246">
        <v>0</v>
      </c>
      <c r="AA1246">
        <v>152832</v>
      </c>
      <c r="AB1246">
        <v>45686</v>
      </c>
      <c r="AC1246">
        <v>2.1596295000000001E-2</v>
      </c>
      <c r="AD1246">
        <v>0.84212384500000004</v>
      </c>
      <c r="AF1246">
        <v>8.7544897959999997</v>
      </c>
      <c r="AG1246">
        <v>1.4999999999999999E-2</v>
      </c>
      <c r="AH1246">
        <v>3.4000000000000002E-2</v>
      </c>
      <c r="AI1246">
        <v>0.76600000000000001</v>
      </c>
      <c r="AJ1246">
        <v>2.5278571429999999</v>
      </c>
      <c r="AK1246">
        <v>5.8559539469999997</v>
      </c>
      <c r="AL1246">
        <v>5.6000000000000001E-2</v>
      </c>
      <c r="AM1246">
        <v>3.6999999999999998E-2</v>
      </c>
      <c r="AN1246">
        <v>0.90700000000000003</v>
      </c>
    </row>
    <row r="1247" spans="1:40">
      <c r="A1247">
        <v>3315</v>
      </c>
      <c r="B1247" t="s">
        <v>708</v>
      </c>
      <c r="C1247" t="s">
        <v>696</v>
      </c>
      <c r="D1247" t="s">
        <v>697</v>
      </c>
      <c r="E1247">
        <v>37</v>
      </c>
      <c r="F1247">
        <v>127</v>
      </c>
      <c r="G1247">
        <v>9.8450195820000008</v>
      </c>
      <c r="H1247">
        <v>81</v>
      </c>
      <c r="I1247">
        <v>1.5391515999999999E-2</v>
      </c>
      <c r="J1247">
        <v>208</v>
      </c>
      <c r="K1247">
        <v>13513.938459999999</v>
      </c>
      <c r="L1247">
        <v>0.878</v>
      </c>
      <c r="M1247">
        <v>0.68644067799999997</v>
      </c>
      <c r="N1247">
        <v>0</v>
      </c>
      <c r="O1247" t="s">
        <v>620</v>
      </c>
      <c r="P1247">
        <f t="shared" si="173"/>
        <v>11.43148148</v>
      </c>
      <c r="Q1247">
        <f t="shared" si="174"/>
        <v>4.2999999999999997E-2</v>
      </c>
      <c r="R1247">
        <f t="shared" si="175"/>
        <v>1.2E-2</v>
      </c>
      <c r="S1247">
        <f t="shared" si="176"/>
        <v>0.878</v>
      </c>
      <c r="T1247">
        <f t="shared" si="177"/>
        <v>3.52</v>
      </c>
      <c r="U1247">
        <f t="shared" si="178"/>
        <v>6.7476086960000004</v>
      </c>
      <c r="V1247">
        <f t="shared" si="179"/>
        <v>4.5999999999999999E-2</v>
      </c>
      <c r="W1247">
        <f t="shared" si="180"/>
        <v>0.114</v>
      </c>
      <c r="X1247">
        <f t="shared" si="181"/>
        <v>0.77100000000000002</v>
      </c>
      <c r="Y1247">
        <v>113.6506454</v>
      </c>
      <c r="Z1247">
        <v>0</v>
      </c>
      <c r="AA1247">
        <v>14998</v>
      </c>
      <c r="AB1247">
        <v>4485</v>
      </c>
      <c r="AC1247">
        <v>2.8516413000000001E-2</v>
      </c>
      <c r="AD1247">
        <v>0.81835686799999996</v>
      </c>
      <c r="AF1247">
        <v>11.43148148</v>
      </c>
      <c r="AG1247">
        <v>4.2999999999999997E-2</v>
      </c>
      <c r="AH1247">
        <v>1.2E-2</v>
      </c>
      <c r="AI1247">
        <v>0.878</v>
      </c>
      <c r="AJ1247">
        <v>3.52</v>
      </c>
      <c r="AK1247">
        <v>6.7476086960000004</v>
      </c>
      <c r="AL1247">
        <v>0</v>
      </c>
      <c r="AM1247">
        <v>0.114</v>
      </c>
      <c r="AN1247">
        <v>0.77100000000000002</v>
      </c>
    </row>
    <row r="1248" spans="1:40">
      <c r="A1248">
        <v>3316</v>
      </c>
      <c r="B1248" t="s">
        <v>708</v>
      </c>
      <c r="C1248" t="s">
        <v>696</v>
      </c>
      <c r="D1248" t="s">
        <v>697</v>
      </c>
      <c r="E1248">
        <v>167</v>
      </c>
      <c r="F1248">
        <v>567</v>
      </c>
      <c r="G1248">
        <v>21.401393540000001</v>
      </c>
      <c r="H1248">
        <v>5</v>
      </c>
      <c r="I1248">
        <v>3.3449916000000003E-2</v>
      </c>
      <c r="J1248">
        <v>572</v>
      </c>
      <c r="K1248">
        <v>17100.192419999999</v>
      </c>
      <c r="L1248">
        <v>0.79</v>
      </c>
      <c r="M1248">
        <v>2.9069767E-2</v>
      </c>
      <c r="N1248">
        <v>0</v>
      </c>
      <c r="O1248" t="s">
        <v>620</v>
      </c>
      <c r="P1248">
        <f t="shared" si="173"/>
        <v>13.02949153</v>
      </c>
      <c r="Q1248">
        <f t="shared" si="174"/>
        <v>4.2000000000000003E-2</v>
      </c>
      <c r="R1248">
        <f t="shared" si="175"/>
        <v>1.7999999999999999E-2</v>
      </c>
      <c r="S1248">
        <f t="shared" si="176"/>
        <v>0.79</v>
      </c>
      <c r="T1248">
        <f t="shared" si="177"/>
        <v>1.5237499999999999</v>
      </c>
      <c r="U1248">
        <f t="shared" si="178"/>
        <v>6.4459999999999997</v>
      </c>
      <c r="V1248">
        <f t="shared" si="179"/>
        <v>2.5999999999999999E-2</v>
      </c>
      <c r="W1248">
        <f t="shared" si="180"/>
        <v>0.19700000000000001</v>
      </c>
      <c r="X1248">
        <f t="shared" si="181"/>
        <v>0.77600000000000002</v>
      </c>
      <c r="Y1248">
        <v>80.781573449999996</v>
      </c>
      <c r="Z1248">
        <v>0</v>
      </c>
      <c r="AA1248">
        <v>14998</v>
      </c>
      <c r="AB1248">
        <v>4485</v>
      </c>
      <c r="AC1248">
        <v>2.8516413000000001E-2</v>
      </c>
      <c r="AD1248">
        <v>0.81835686799999996</v>
      </c>
      <c r="AF1248">
        <v>13.02949153</v>
      </c>
      <c r="AG1248">
        <v>4.2000000000000003E-2</v>
      </c>
      <c r="AH1248">
        <v>1.7999999999999999E-2</v>
      </c>
      <c r="AI1248">
        <v>0.79</v>
      </c>
      <c r="AJ1248">
        <v>1.5237499999999999</v>
      </c>
      <c r="AK1248">
        <v>6.4459999999999997</v>
      </c>
      <c r="AL1248">
        <v>2.5999999999999999E-2</v>
      </c>
      <c r="AM1248">
        <v>0.19700000000000001</v>
      </c>
      <c r="AN1248">
        <v>0.77600000000000002</v>
      </c>
    </row>
    <row r="1249" spans="1:40">
      <c r="A1249">
        <v>3317</v>
      </c>
      <c r="B1249" t="s">
        <v>705</v>
      </c>
      <c r="C1249" t="s">
        <v>696</v>
      </c>
      <c r="D1249" t="s">
        <v>697</v>
      </c>
      <c r="E1249">
        <v>313</v>
      </c>
      <c r="F1249">
        <v>712</v>
      </c>
      <c r="G1249">
        <v>30.186353969999999</v>
      </c>
      <c r="H1249">
        <v>625</v>
      </c>
      <c r="I1249">
        <v>4.7182568000000001E-2</v>
      </c>
      <c r="J1249">
        <v>1337</v>
      </c>
      <c r="K1249">
        <v>28336.736570000001</v>
      </c>
      <c r="L1249">
        <v>0.77700000000000002</v>
      </c>
      <c r="M1249">
        <v>0.66631130100000002</v>
      </c>
      <c r="N1249">
        <v>1</v>
      </c>
      <c r="O1249" t="s">
        <v>613</v>
      </c>
      <c r="P1249">
        <f t="shared" si="173"/>
        <v>9.1812605040000008</v>
      </c>
      <c r="Q1249">
        <f t="shared" si="174"/>
        <v>0.03</v>
      </c>
      <c r="R1249">
        <f t="shared" si="175"/>
        <v>2.7E-2</v>
      </c>
      <c r="S1249">
        <f t="shared" si="176"/>
        <v>0.77700000000000002</v>
      </c>
      <c r="T1249">
        <f t="shared" si="177"/>
        <v>2.2717647059999999</v>
      </c>
      <c r="U1249">
        <f t="shared" si="178"/>
        <v>5.7326907220000001</v>
      </c>
      <c r="V1249">
        <f t="shared" si="179"/>
        <v>3.3000000000000002E-2</v>
      </c>
      <c r="W1249">
        <f t="shared" si="180"/>
        <v>0.13200000000000001</v>
      </c>
      <c r="X1249">
        <f t="shared" si="181"/>
        <v>0.78800000000000003</v>
      </c>
      <c r="Y1249">
        <v>202.79963230000001</v>
      </c>
      <c r="Z1249">
        <v>0</v>
      </c>
      <c r="AA1249">
        <v>152832</v>
      </c>
      <c r="AB1249">
        <v>45686</v>
      </c>
      <c r="AC1249">
        <v>2.1596295000000001E-2</v>
      </c>
      <c r="AD1249">
        <v>0.84212384500000004</v>
      </c>
      <c r="AF1249">
        <v>9.1812605040000008</v>
      </c>
      <c r="AG1249">
        <v>0.03</v>
      </c>
      <c r="AH1249">
        <v>2.7E-2</v>
      </c>
      <c r="AI1249">
        <v>0.77700000000000002</v>
      </c>
      <c r="AJ1249">
        <v>2.2717647059999999</v>
      </c>
      <c r="AK1249">
        <v>5.7326907220000001</v>
      </c>
      <c r="AL1249">
        <v>3.3000000000000002E-2</v>
      </c>
      <c r="AM1249">
        <v>0.13200000000000001</v>
      </c>
      <c r="AN1249">
        <v>0.78800000000000003</v>
      </c>
    </row>
    <row r="1250" spans="1:40">
      <c r="A1250">
        <v>3318</v>
      </c>
      <c r="B1250" t="s">
        <v>705</v>
      </c>
      <c r="C1250" t="s">
        <v>696</v>
      </c>
      <c r="D1250" t="s">
        <v>697</v>
      </c>
      <c r="E1250">
        <v>63</v>
      </c>
      <c r="F1250">
        <v>153</v>
      </c>
      <c r="G1250">
        <v>11.61810433</v>
      </c>
      <c r="H1250">
        <v>110</v>
      </c>
      <c r="I1250">
        <v>1.8159478999999999E-2</v>
      </c>
      <c r="J1250">
        <v>263</v>
      </c>
      <c r="K1250">
        <v>14482.79436</v>
      </c>
      <c r="L1250">
        <v>0.82399999999999995</v>
      </c>
      <c r="M1250">
        <v>0.63583814999999999</v>
      </c>
      <c r="N1250">
        <v>1</v>
      </c>
      <c r="O1250" t="s">
        <v>613</v>
      </c>
      <c r="P1250">
        <f t="shared" si="173"/>
        <v>10.25902439</v>
      </c>
      <c r="Q1250">
        <f t="shared" si="174"/>
        <v>4.9000000000000002E-2</v>
      </c>
      <c r="R1250">
        <f t="shared" si="175"/>
        <v>2.1000000000000001E-2</v>
      </c>
      <c r="S1250">
        <f t="shared" si="176"/>
        <v>0.82399999999999995</v>
      </c>
      <c r="T1250">
        <f t="shared" si="177"/>
        <v>2.0066666670000002</v>
      </c>
      <c r="U1250">
        <f t="shared" si="178"/>
        <v>6.2626146790000004</v>
      </c>
      <c r="V1250">
        <f t="shared" si="179"/>
        <v>3.5999999999999997E-2</v>
      </c>
      <c r="W1250">
        <f t="shared" si="180"/>
        <v>0.14499999999999999</v>
      </c>
      <c r="X1250">
        <f t="shared" si="181"/>
        <v>0.745</v>
      </c>
      <c r="Y1250">
        <v>202.15932960000001</v>
      </c>
      <c r="Z1250">
        <v>0</v>
      </c>
      <c r="AA1250">
        <v>152832</v>
      </c>
      <c r="AB1250">
        <v>45686</v>
      </c>
      <c r="AC1250">
        <v>2.1596295000000001E-2</v>
      </c>
      <c r="AD1250">
        <v>0.84212384500000004</v>
      </c>
      <c r="AF1250">
        <v>10.25902439</v>
      </c>
      <c r="AG1250">
        <v>4.9000000000000002E-2</v>
      </c>
      <c r="AH1250">
        <v>2.1000000000000001E-2</v>
      </c>
      <c r="AI1250">
        <v>0.82399999999999995</v>
      </c>
      <c r="AJ1250">
        <v>2.0066666670000002</v>
      </c>
      <c r="AK1250">
        <v>6.2626146790000004</v>
      </c>
      <c r="AL1250">
        <v>3.5999999999999997E-2</v>
      </c>
      <c r="AM1250">
        <v>0.14499999999999999</v>
      </c>
      <c r="AN1250">
        <v>0.745</v>
      </c>
    </row>
    <row r="1251" spans="1:40">
      <c r="A1251">
        <v>3319</v>
      </c>
      <c r="B1251" t="s">
        <v>705</v>
      </c>
      <c r="C1251" t="s">
        <v>696</v>
      </c>
      <c r="D1251" t="s">
        <v>697</v>
      </c>
      <c r="E1251">
        <v>30</v>
      </c>
      <c r="F1251">
        <v>83</v>
      </c>
      <c r="G1251">
        <v>75.698107530000001</v>
      </c>
      <c r="H1251">
        <v>275</v>
      </c>
      <c r="I1251">
        <v>0.118316752</v>
      </c>
      <c r="J1251">
        <v>358</v>
      </c>
      <c r="K1251">
        <v>3025.7760960000001</v>
      </c>
      <c r="L1251">
        <v>0.85</v>
      </c>
      <c r="M1251">
        <v>0.90163934400000001</v>
      </c>
      <c r="N1251">
        <v>0</v>
      </c>
      <c r="O1251" t="s">
        <v>620</v>
      </c>
      <c r="P1251">
        <f t="shared" si="173"/>
        <v>12.864315789999999</v>
      </c>
      <c r="Q1251">
        <f t="shared" si="174"/>
        <v>1.4E-2</v>
      </c>
      <c r="R1251">
        <f t="shared" si="175"/>
        <v>3.6999999999999998E-2</v>
      </c>
      <c r="S1251">
        <f t="shared" si="176"/>
        <v>0.85</v>
      </c>
      <c r="T1251">
        <f t="shared" si="177"/>
        <v>2.3620833330000002</v>
      </c>
      <c r="U1251">
        <f t="shared" si="178"/>
        <v>7.3201298699999997</v>
      </c>
      <c r="V1251">
        <f t="shared" si="179"/>
        <v>3.6999999999999998E-2</v>
      </c>
      <c r="W1251">
        <f t="shared" si="180"/>
        <v>1.9E-2</v>
      </c>
      <c r="X1251">
        <f t="shared" si="181"/>
        <v>0.88</v>
      </c>
      <c r="Y1251">
        <v>61.740483189999999</v>
      </c>
      <c r="Z1251">
        <v>0</v>
      </c>
      <c r="AA1251">
        <v>152832</v>
      </c>
      <c r="AB1251">
        <v>45686</v>
      </c>
      <c r="AC1251">
        <v>2.1596295000000001E-2</v>
      </c>
      <c r="AD1251">
        <v>0.84212384500000004</v>
      </c>
      <c r="AF1251">
        <v>12.864315789999999</v>
      </c>
      <c r="AG1251">
        <v>1.4E-2</v>
      </c>
      <c r="AH1251">
        <v>3.6999999999999998E-2</v>
      </c>
      <c r="AI1251">
        <v>0.85</v>
      </c>
      <c r="AJ1251">
        <v>2.3620833330000002</v>
      </c>
      <c r="AK1251">
        <v>7.3201298699999997</v>
      </c>
      <c r="AL1251">
        <v>3.6999999999999998E-2</v>
      </c>
      <c r="AM1251">
        <v>1.9E-2</v>
      </c>
      <c r="AN1251">
        <v>0.88</v>
      </c>
    </row>
    <row r="1252" spans="1:40">
      <c r="A1252">
        <v>3320</v>
      </c>
      <c r="B1252" t="s">
        <v>705</v>
      </c>
      <c r="C1252" t="s">
        <v>696</v>
      </c>
      <c r="D1252" t="s">
        <v>697</v>
      </c>
      <c r="E1252">
        <v>659</v>
      </c>
      <c r="F1252">
        <v>1856</v>
      </c>
      <c r="G1252">
        <v>51.81992417</v>
      </c>
      <c r="H1252">
        <v>0</v>
      </c>
      <c r="I1252">
        <v>8.1004132000000006E-2</v>
      </c>
      <c r="J1252">
        <v>1856</v>
      </c>
      <c r="K1252">
        <v>22912.41143</v>
      </c>
      <c r="L1252">
        <v>0.81100000000000005</v>
      </c>
      <c r="M1252">
        <v>0</v>
      </c>
      <c r="N1252">
        <v>0</v>
      </c>
      <c r="O1252" t="s">
        <v>620</v>
      </c>
      <c r="P1252">
        <f t="shared" si="173"/>
        <v>14.294331550000001</v>
      </c>
      <c r="Q1252">
        <f t="shared" si="174"/>
        <v>3.6999999999999998E-2</v>
      </c>
      <c r="R1252">
        <f t="shared" si="175"/>
        <v>4.4999999999999998E-2</v>
      </c>
      <c r="S1252">
        <f t="shared" si="176"/>
        <v>0.81100000000000005</v>
      </c>
      <c r="T1252">
        <f t="shared" si="177"/>
        <v>2.0954545449999999</v>
      </c>
      <c r="U1252">
        <f t="shared" si="178"/>
        <v>7.8651282050000004</v>
      </c>
      <c r="V1252">
        <f t="shared" si="179"/>
        <v>1.7999999999999999E-2</v>
      </c>
      <c r="W1252">
        <f t="shared" si="180"/>
        <v>0.129</v>
      </c>
      <c r="X1252">
        <f t="shared" si="181"/>
        <v>0.83499999999999996</v>
      </c>
      <c r="Y1252">
        <v>61.639583500000001</v>
      </c>
      <c r="Z1252">
        <v>0</v>
      </c>
      <c r="AA1252">
        <v>152832</v>
      </c>
      <c r="AB1252">
        <v>45686</v>
      </c>
      <c r="AC1252">
        <v>2.1596295000000001E-2</v>
      </c>
      <c r="AD1252">
        <v>0.84212384500000004</v>
      </c>
      <c r="AF1252">
        <v>14.294331550000001</v>
      </c>
      <c r="AG1252">
        <v>3.6999999999999998E-2</v>
      </c>
      <c r="AH1252">
        <v>4.4999999999999998E-2</v>
      </c>
      <c r="AI1252">
        <v>0.81100000000000005</v>
      </c>
      <c r="AJ1252">
        <v>2.0954545449999999</v>
      </c>
      <c r="AK1252">
        <v>7.8651282050000004</v>
      </c>
      <c r="AL1252">
        <v>1.7999999999999999E-2</v>
      </c>
      <c r="AM1252">
        <v>0.129</v>
      </c>
      <c r="AN1252">
        <v>0.83499999999999996</v>
      </c>
    </row>
    <row r="1253" spans="1:40">
      <c r="A1253">
        <v>3321</v>
      </c>
      <c r="B1253" t="s">
        <v>705</v>
      </c>
      <c r="C1253" t="s">
        <v>696</v>
      </c>
      <c r="D1253" t="s">
        <v>697</v>
      </c>
      <c r="E1253">
        <v>534</v>
      </c>
      <c r="F1253">
        <v>1788</v>
      </c>
      <c r="G1253">
        <v>44.884392460000001</v>
      </c>
      <c r="H1253">
        <v>58</v>
      </c>
      <c r="I1253">
        <v>7.0158416000000001E-2</v>
      </c>
      <c r="J1253">
        <v>1846</v>
      </c>
      <c r="K1253">
        <v>26311.882529999999</v>
      </c>
      <c r="L1253">
        <v>0.77600000000000002</v>
      </c>
      <c r="M1253">
        <v>9.7972973000000005E-2</v>
      </c>
      <c r="N1253">
        <v>1</v>
      </c>
      <c r="O1253" t="s">
        <v>613</v>
      </c>
      <c r="P1253">
        <f t="shared" si="173"/>
        <v>14.44137405</v>
      </c>
      <c r="Q1253">
        <f t="shared" si="174"/>
        <v>3.9E-2</v>
      </c>
      <c r="R1253">
        <f t="shared" si="175"/>
        <v>2.8000000000000001E-2</v>
      </c>
      <c r="S1253">
        <f t="shared" si="176"/>
        <v>0.77600000000000002</v>
      </c>
      <c r="T1253">
        <f t="shared" si="177"/>
        <v>2.1320000000000001</v>
      </c>
      <c r="U1253">
        <f t="shared" si="178"/>
        <v>6.7494323139999999</v>
      </c>
      <c r="V1253">
        <f t="shared" si="179"/>
        <v>2.5999999999999999E-2</v>
      </c>
      <c r="W1253">
        <f t="shared" si="180"/>
        <v>9.2999999999999999E-2</v>
      </c>
      <c r="X1253">
        <f t="shared" si="181"/>
        <v>0.86799999999999999</v>
      </c>
      <c r="Y1253">
        <v>205.6688485</v>
      </c>
      <c r="Z1253">
        <v>0</v>
      </c>
      <c r="AA1253">
        <v>152832</v>
      </c>
      <c r="AB1253">
        <v>45686</v>
      </c>
      <c r="AC1253">
        <v>2.1596295000000001E-2</v>
      </c>
      <c r="AD1253">
        <v>0.84212384500000004</v>
      </c>
      <c r="AF1253">
        <v>14.44137405</v>
      </c>
      <c r="AG1253">
        <v>3.9E-2</v>
      </c>
      <c r="AH1253">
        <v>2.8000000000000001E-2</v>
      </c>
      <c r="AI1253">
        <v>0.77600000000000002</v>
      </c>
      <c r="AJ1253">
        <v>2.1320000000000001</v>
      </c>
      <c r="AK1253">
        <v>6.7494323139999999</v>
      </c>
      <c r="AL1253">
        <v>2.5999999999999999E-2</v>
      </c>
      <c r="AM1253">
        <v>9.2999999999999999E-2</v>
      </c>
      <c r="AN1253">
        <v>0.86799999999999999</v>
      </c>
    </row>
    <row r="1254" spans="1:40">
      <c r="A1254">
        <v>3322</v>
      </c>
      <c r="B1254" t="s">
        <v>705</v>
      </c>
      <c r="C1254" t="s">
        <v>696</v>
      </c>
      <c r="D1254" t="s">
        <v>697</v>
      </c>
      <c r="E1254">
        <v>464</v>
      </c>
      <c r="F1254">
        <v>1626</v>
      </c>
      <c r="G1254">
        <v>66.49955731</v>
      </c>
      <c r="H1254">
        <v>212</v>
      </c>
      <c r="I1254">
        <v>0.103955006</v>
      </c>
      <c r="J1254">
        <v>1838</v>
      </c>
      <c r="K1254">
        <v>17680.72622</v>
      </c>
      <c r="L1254">
        <v>0.82</v>
      </c>
      <c r="M1254">
        <v>0.31360946699999998</v>
      </c>
      <c r="N1254">
        <v>1</v>
      </c>
      <c r="O1254" t="s">
        <v>613</v>
      </c>
      <c r="P1254">
        <f t="shared" si="173"/>
        <v>9.7657971010000004</v>
      </c>
      <c r="Q1254">
        <f t="shared" si="174"/>
        <v>1.6E-2</v>
      </c>
      <c r="R1254">
        <f t="shared" si="175"/>
        <v>8.0000000000000002E-3</v>
      </c>
      <c r="S1254">
        <f t="shared" si="176"/>
        <v>0.82</v>
      </c>
      <c r="T1254">
        <f t="shared" si="177"/>
        <v>2.3210000000000002</v>
      </c>
      <c r="U1254">
        <f t="shared" si="178"/>
        <v>5.6896361850000003</v>
      </c>
      <c r="V1254">
        <f t="shared" si="179"/>
        <v>2.5000000000000001E-2</v>
      </c>
      <c r="W1254">
        <f t="shared" si="180"/>
        <v>7.4999999999999997E-2</v>
      </c>
      <c r="X1254">
        <f t="shared" si="181"/>
        <v>0.86799999999999999</v>
      </c>
      <c r="Y1254">
        <v>61.058031069999998</v>
      </c>
      <c r="Z1254">
        <v>0</v>
      </c>
      <c r="AA1254">
        <v>152832</v>
      </c>
      <c r="AB1254">
        <v>45686</v>
      </c>
      <c r="AC1254">
        <v>2.1596295000000001E-2</v>
      </c>
      <c r="AD1254">
        <v>0.84212384500000004</v>
      </c>
      <c r="AF1254">
        <v>9.7657971010000004</v>
      </c>
      <c r="AG1254">
        <v>1.6E-2</v>
      </c>
      <c r="AH1254">
        <v>8.0000000000000002E-3</v>
      </c>
      <c r="AI1254">
        <v>0.82</v>
      </c>
      <c r="AJ1254">
        <v>2.3210000000000002</v>
      </c>
      <c r="AK1254">
        <v>5.6896361850000003</v>
      </c>
      <c r="AL1254">
        <v>2.5000000000000001E-2</v>
      </c>
      <c r="AM1254">
        <v>7.4999999999999997E-2</v>
      </c>
      <c r="AN1254">
        <v>0.86799999999999999</v>
      </c>
    </row>
    <row r="1255" spans="1:40">
      <c r="A1255">
        <v>3323</v>
      </c>
      <c r="B1255" t="s">
        <v>708</v>
      </c>
      <c r="C1255" t="s">
        <v>696</v>
      </c>
      <c r="D1255" t="s">
        <v>697</v>
      </c>
      <c r="E1255">
        <v>186</v>
      </c>
      <c r="F1255">
        <v>633</v>
      </c>
      <c r="G1255">
        <v>23.779991970000001</v>
      </c>
      <c r="H1255">
        <v>98</v>
      </c>
      <c r="I1255">
        <v>3.7167525E-2</v>
      </c>
      <c r="J1255">
        <v>731</v>
      </c>
      <c r="K1255">
        <v>19667.70723</v>
      </c>
      <c r="L1255">
        <v>0.80400000000000005</v>
      </c>
      <c r="M1255">
        <v>0.34507042300000002</v>
      </c>
      <c r="N1255">
        <v>0</v>
      </c>
      <c r="O1255" t="s">
        <v>620</v>
      </c>
      <c r="P1255">
        <f t="shared" si="173"/>
        <v>13.76463768</v>
      </c>
      <c r="Q1255">
        <f t="shared" si="174"/>
        <v>5.3999999999999999E-2</v>
      </c>
      <c r="R1255">
        <f t="shared" si="175"/>
        <v>3.1E-2</v>
      </c>
      <c r="S1255">
        <f t="shared" si="176"/>
        <v>0.80400000000000005</v>
      </c>
      <c r="T1255">
        <f t="shared" si="177"/>
        <v>1.3812500000000001</v>
      </c>
      <c r="U1255">
        <f t="shared" si="178"/>
        <v>6.9569172930000001</v>
      </c>
      <c r="V1255">
        <f t="shared" si="179"/>
        <v>7.3999999999999996E-2</v>
      </c>
      <c r="W1255">
        <f t="shared" si="180"/>
        <v>0.17899999999999999</v>
      </c>
      <c r="X1255">
        <f t="shared" si="181"/>
        <v>0.72599999999999998</v>
      </c>
      <c r="Y1255">
        <v>61.02782826</v>
      </c>
      <c r="Z1255">
        <v>0</v>
      </c>
      <c r="AA1255">
        <v>14998</v>
      </c>
      <c r="AB1255">
        <v>4485</v>
      </c>
      <c r="AC1255">
        <v>2.8516413000000001E-2</v>
      </c>
      <c r="AD1255">
        <v>0.81835686799999996</v>
      </c>
      <c r="AF1255">
        <v>13.76463768</v>
      </c>
      <c r="AG1255">
        <v>5.3999999999999999E-2</v>
      </c>
      <c r="AH1255">
        <v>3.1E-2</v>
      </c>
      <c r="AI1255">
        <v>0.80400000000000005</v>
      </c>
      <c r="AJ1255">
        <v>1.3812500000000001</v>
      </c>
      <c r="AK1255">
        <v>6.9569172930000001</v>
      </c>
      <c r="AL1255">
        <v>7.3999999999999996E-2</v>
      </c>
      <c r="AM1255">
        <v>0.17899999999999999</v>
      </c>
      <c r="AN1255">
        <v>0.72599999999999998</v>
      </c>
    </row>
    <row r="1256" spans="1:40">
      <c r="A1256">
        <v>3324</v>
      </c>
      <c r="B1256" t="s">
        <v>705</v>
      </c>
      <c r="C1256" t="s">
        <v>696</v>
      </c>
      <c r="D1256" t="s">
        <v>697</v>
      </c>
      <c r="E1256">
        <v>363</v>
      </c>
      <c r="F1256">
        <v>1279</v>
      </c>
      <c r="G1256">
        <v>46.030923420000001</v>
      </c>
      <c r="H1256">
        <v>6</v>
      </c>
      <c r="I1256">
        <v>7.1959187999999993E-2</v>
      </c>
      <c r="J1256">
        <v>1285</v>
      </c>
      <c r="K1256">
        <v>17857.344359999999</v>
      </c>
      <c r="L1256">
        <v>0.748</v>
      </c>
      <c r="M1256">
        <v>1.6260163000000001E-2</v>
      </c>
      <c r="N1256">
        <v>1</v>
      </c>
      <c r="O1256" t="s">
        <v>613</v>
      </c>
      <c r="P1256">
        <f t="shared" si="173"/>
        <v>13.48477273</v>
      </c>
      <c r="Q1256">
        <f t="shared" si="174"/>
        <v>3.3000000000000002E-2</v>
      </c>
      <c r="R1256">
        <f t="shared" si="175"/>
        <v>0.03</v>
      </c>
      <c r="S1256">
        <f t="shared" si="176"/>
        <v>0.748</v>
      </c>
      <c r="T1256">
        <f t="shared" si="177"/>
        <v>2.150555556</v>
      </c>
      <c r="U1256">
        <f t="shared" si="178"/>
        <v>6.6678280540000001</v>
      </c>
      <c r="V1256">
        <f t="shared" si="179"/>
        <v>5.5E-2</v>
      </c>
      <c r="W1256">
        <f t="shared" si="180"/>
        <v>9.1999999999999998E-2</v>
      </c>
      <c r="X1256">
        <f t="shared" si="181"/>
        <v>0.80700000000000005</v>
      </c>
      <c r="Y1256">
        <v>72.969970599999996</v>
      </c>
      <c r="Z1256">
        <v>0</v>
      </c>
      <c r="AA1256">
        <v>152832</v>
      </c>
      <c r="AB1256">
        <v>45686</v>
      </c>
      <c r="AC1256">
        <v>2.1596295000000001E-2</v>
      </c>
      <c r="AD1256">
        <v>0.84212384500000004</v>
      </c>
      <c r="AF1256">
        <v>13.48477273</v>
      </c>
      <c r="AG1256">
        <v>3.3000000000000002E-2</v>
      </c>
      <c r="AH1256">
        <v>0.03</v>
      </c>
      <c r="AI1256">
        <v>0.748</v>
      </c>
      <c r="AJ1256">
        <v>2.150555556</v>
      </c>
      <c r="AK1256">
        <v>6.6678280540000001</v>
      </c>
      <c r="AL1256">
        <v>5.5E-2</v>
      </c>
      <c r="AM1256">
        <v>9.1999999999999998E-2</v>
      </c>
      <c r="AN1256">
        <v>0.80700000000000005</v>
      </c>
    </row>
    <row r="1257" spans="1:40">
      <c r="A1257">
        <v>3325</v>
      </c>
      <c r="B1257" t="s">
        <v>705</v>
      </c>
      <c r="C1257" t="s">
        <v>696</v>
      </c>
      <c r="D1257" t="s">
        <v>697</v>
      </c>
      <c r="E1257">
        <v>362</v>
      </c>
      <c r="F1257">
        <v>1003</v>
      </c>
      <c r="G1257">
        <v>55.616440019999999</v>
      </c>
      <c r="H1257">
        <v>361</v>
      </c>
      <c r="I1257">
        <v>8.6930570999999998E-2</v>
      </c>
      <c r="J1257">
        <v>1364</v>
      </c>
      <c r="K1257">
        <v>15690.682629999999</v>
      </c>
      <c r="L1257">
        <v>0.75900000000000001</v>
      </c>
      <c r="M1257">
        <v>0.49930843699999999</v>
      </c>
      <c r="N1257">
        <v>0</v>
      </c>
      <c r="O1257" t="s">
        <v>620</v>
      </c>
      <c r="P1257">
        <f t="shared" si="173"/>
        <v>11.87511278</v>
      </c>
      <c r="Q1257">
        <f t="shared" si="174"/>
        <v>0.02</v>
      </c>
      <c r="R1257">
        <f t="shared" si="175"/>
        <v>0.02</v>
      </c>
      <c r="S1257">
        <f t="shared" si="176"/>
        <v>0.75900000000000001</v>
      </c>
      <c r="T1257">
        <f t="shared" si="177"/>
        <v>1.8558064519999999</v>
      </c>
      <c r="U1257">
        <f t="shared" si="178"/>
        <v>6.5268169519999999</v>
      </c>
      <c r="V1257">
        <f t="shared" si="179"/>
        <v>2.5000000000000001E-2</v>
      </c>
      <c r="W1257">
        <f t="shared" si="180"/>
        <v>7.3999999999999996E-2</v>
      </c>
      <c r="X1257">
        <f t="shared" si="181"/>
        <v>0.82099999999999995</v>
      </c>
      <c r="Y1257">
        <v>104.8062046</v>
      </c>
      <c r="Z1257">
        <v>0</v>
      </c>
      <c r="AA1257">
        <v>152832</v>
      </c>
      <c r="AB1257">
        <v>45686</v>
      </c>
      <c r="AC1257">
        <v>2.1596295000000001E-2</v>
      </c>
      <c r="AD1257">
        <v>0.84212384500000004</v>
      </c>
      <c r="AF1257">
        <v>11.87511278</v>
      </c>
      <c r="AG1257">
        <v>0.02</v>
      </c>
      <c r="AH1257">
        <v>0.02</v>
      </c>
      <c r="AI1257">
        <v>0.75900000000000001</v>
      </c>
      <c r="AJ1257">
        <v>1.8558064519999999</v>
      </c>
      <c r="AK1257">
        <v>6.5268169519999999</v>
      </c>
      <c r="AL1257">
        <v>2.5000000000000001E-2</v>
      </c>
      <c r="AM1257">
        <v>7.3999999999999996E-2</v>
      </c>
      <c r="AN1257">
        <v>0.82099999999999995</v>
      </c>
    </row>
    <row r="1258" spans="1:40">
      <c r="A1258">
        <v>3326</v>
      </c>
      <c r="B1258" t="s">
        <v>705</v>
      </c>
      <c r="C1258" t="s">
        <v>696</v>
      </c>
      <c r="D1258" t="s">
        <v>697</v>
      </c>
      <c r="E1258">
        <v>127</v>
      </c>
      <c r="F1258">
        <v>354</v>
      </c>
      <c r="G1258">
        <v>58.409185749999999</v>
      </c>
      <c r="H1258">
        <v>2</v>
      </c>
      <c r="I1258">
        <v>9.1300802E-2</v>
      </c>
      <c r="J1258">
        <v>356</v>
      </c>
      <c r="K1258">
        <v>3899.1990449999998</v>
      </c>
      <c r="L1258">
        <v>0.755</v>
      </c>
      <c r="M1258">
        <v>1.5503876E-2</v>
      </c>
      <c r="N1258">
        <v>0</v>
      </c>
      <c r="O1258" t="s">
        <v>620</v>
      </c>
      <c r="P1258">
        <f t="shared" si="173"/>
        <v>14.77</v>
      </c>
      <c r="Q1258">
        <f t="shared" si="174"/>
        <v>5.0999999999999997E-2</v>
      </c>
      <c r="R1258">
        <f t="shared" si="175"/>
        <v>4.1000000000000002E-2</v>
      </c>
      <c r="S1258">
        <f t="shared" si="176"/>
        <v>0.755</v>
      </c>
      <c r="T1258">
        <f t="shared" si="177"/>
        <v>1.59375</v>
      </c>
      <c r="U1258">
        <f t="shared" si="178"/>
        <v>9.2266428569999999</v>
      </c>
      <c r="V1258">
        <f t="shared" si="179"/>
        <v>3.8837398373983721E-2</v>
      </c>
      <c r="W1258">
        <f t="shared" si="180"/>
        <v>0.25</v>
      </c>
      <c r="X1258">
        <f t="shared" si="181"/>
        <v>0.7</v>
      </c>
      <c r="Y1258">
        <v>48.99130048</v>
      </c>
      <c r="Z1258">
        <v>0</v>
      </c>
      <c r="AA1258">
        <v>152832</v>
      </c>
      <c r="AB1258">
        <v>45686</v>
      </c>
      <c r="AC1258">
        <v>2.1596295000000001E-2</v>
      </c>
      <c r="AD1258">
        <v>0.84212384500000004</v>
      </c>
      <c r="AF1258">
        <v>14.77</v>
      </c>
      <c r="AG1258">
        <v>5.0999999999999997E-2</v>
      </c>
      <c r="AH1258">
        <v>4.1000000000000002E-2</v>
      </c>
      <c r="AI1258">
        <v>0.755</v>
      </c>
      <c r="AJ1258">
        <v>1.59375</v>
      </c>
      <c r="AK1258">
        <v>9.2266428569999999</v>
      </c>
      <c r="AL1258">
        <v>0</v>
      </c>
      <c r="AM1258">
        <v>0.25</v>
      </c>
      <c r="AN1258">
        <v>0.7</v>
      </c>
    </row>
    <row r="1259" spans="1:40">
      <c r="A1259">
        <v>3327</v>
      </c>
      <c r="B1259" t="s">
        <v>705</v>
      </c>
      <c r="C1259" t="s">
        <v>696</v>
      </c>
      <c r="D1259" t="s">
        <v>697</v>
      </c>
      <c r="E1259">
        <v>317</v>
      </c>
      <c r="F1259">
        <v>956</v>
      </c>
      <c r="G1259">
        <v>86.045918299999997</v>
      </c>
      <c r="H1259">
        <v>676</v>
      </c>
      <c r="I1259">
        <v>0.13449772099999999</v>
      </c>
      <c r="J1259">
        <v>1632</v>
      </c>
      <c r="K1259">
        <v>12134.034600000001</v>
      </c>
      <c r="L1259">
        <v>0.83699999999999997</v>
      </c>
      <c r="M1259">
        <v>0.68076535800000004</v>
      </c>
      <c r="N1259">
        <v>0</v>
      </c>
      <c r="O1259" t="s">
        <v>620</v>
      </c>
      <c r="P1259">
        <f t="shared" si="173"/>
        <v>12.30962733</v>
      </c>
      <c r="Q1259">
        <f t="shared" si="174"/>
        <v>2.7E-2</v>
      </c>
      <c r="R1259">
        <f t="shared" si="175"/>
        <v>1.7999999999999999E-2</v>
      </c>
      <c r="S1259">
        <f t="shared" si="176"/>
        <v>0.83699999999999997</v>
      </c>
      <c r="T1259">
        <f t="shared" si="177"/>
        <v>2.5076666670000001</v>
      </c>
      <c r="U1259">
        <f t="shared" si="178"/>
        <v>6.6767430210000001</v>
      </c>
      <c r="V1259">
        <f t="shared" si="179"/>
        <v>3.9E-2</v>
      </c>
      <c r="W1259">
        <f t="shared" si="180"/>
        <v>0.13700000000000001</v>
      </c>
      <c r="X1259">
        <f t="shared" si="181"/>
        <v>0.78500000000000003</v>
      </c>
      <c r="Y1259">
        <v>278.16072409999998</v>
      </c>
      <c r="Z1259">
        <v>0</v>
      </c>
      <c r="AA1259">
        <v>152832</v>
      </c>
      <c r="AB1259">
        <v>45686</v>
      </c>
      <c r="AC1259">
        <v>2.1596295000000001E-2</v>
      </c>
      <c r="AD1259">
        <v>0.84212384500000004</v>
      </c>
      <c r="AF1259">
        <v>12.30962733</v>
      </c>
      <c r="AG1259">
        <v>2.7E-2</v>
      </c>
      <c r="AH1259">
        <v>1.7999999999999999E-2</v>
      </c>
      <c r="AI1259">
        <v>0.83699999999999997</v>
      </c>
      <c r="AJ1259">
        <v>2.5076666670000001</v>
      </c>
      <c r="AK1259">
        <v>6.6767430210000001</v>
      </c>
      <c r="AL1259">
        <v>3.9E-2</v>
      </c>
      <c r="AM1259">
        <v>0.13700000000000001</v>
      </c>
      <c r="AN1259">
        <v>0.78500000000000003</v>
      </c>
    </row>
    <row r="1260" spans="1:40">
      <c r="A1260">
        <v>3328</v>
      </c>
      <c r="B1260" t="s">
        <v>705</v>
      </c>
      <c r="C1260" t="s">
        <v>696</v>
      </c>
      <c r="D1260" t="s">
        <v>697</v>
      </c>
      <c r="E1260">
        <v>261</v>
      </c>
      <c r="F1260">
        <v>620</v>
      </c>
      <c r="G1260">
        <v>29.648535219999999</v>
      </c>
      <c r="H1260">
        <v>345</v>
      </c>
      <c r="I1260">
        <v>4.6341911E-2</v>
      </c>
      <c r="J1260">
        <v>965</v>
      </c>
      <c r="K1260">
        <v>20823.483090000002</v>
      </c>
      <c r="L1260">
        <v>0.78200000000000003</v>
      </c>
      <c r="M1260">
        <v>0.56930693099999996</v>
      </c>
      <c r="N1260">
        <v>0</v>
      </c>
      <c r="O1260" t="s">
        <v>613</v>
      </c>
      <c r="P1260">
        <f t="shared" si="173"/>
        <v>11.53696429</v>
      </c>
      <c r="Q1260">
        <f t="shared" si="174"/>
        <v>3.4000000000000002E-2</v>
      </c>
      <c r="R1260">
        <f t="shared" si="175"/>
        <v>1.6E-2</v>
      </c>
      <c r="S1260">
        <f t="shared" si="176"/>
        <v>0.78200000000000003</v>
      </c>
      <c r="T1260">
        <f t="shared" si="177"/>
        <v>1.938571429</v>
      </c>
      <c r="U1260">
        <f t="shared" si="178"/>
        <v>6.5311718750000001</v>
      </c>
      <c r="V1260">
        <f t="shared" si="179"/>
        <v>4.2999999999999997E-2</v>
      </c>
      <c r="W1260">
        <f t="shared" si="180"/>
        <v>0.115</v>
      </c>
      <c r="X1260">
        <f t="shared" si="181"/>
        <v>0.80600000000000005</v>
      </c>
      <c r="Y1260">
        <v>146.76308449999999</v>
      </c>
      <c r="Z1260">
        <v>0</v>
      </c>
      <c r="AA1260">
        <v>152832</v>
      </c>
      <c r="AB1260">
        <v>45686</v>
      </c>
      <c r="AC1260">
        <v>2.1596295000000001E-2</v>
      </c>
      <c r="AD1260">
        <v>0.84212384500000004</v>
      </c>
      <c r="AF1260">
        <v>11.53696429</v>
      </c>
      <c r="AG1260">
        <v>3.4000000000000002E-2</v>
      </c>
      <c r="AH1260">
        <v>1.6E-2</v>
      </c>
      <c r="AI1260">
        <v>0.78200000000000003</v>
      </c>
      <c r="AJ1260">
        <v>1.938571429</v>
      </c>
      <c r="AK1260">
        <v>6.5311718750000001</v>
      </c>
      <c r="AL1260">
        <v>4.2999999999999997E-2</v>
      </c>
      <c r="AM1260">
        <v>0.115</v>
      </c>
      <c r="AN1260">
        <v>0.80600000000000005</v>
      </c>
    </row>
    <row r="1261" spans="1:40">
      <c r="A1261">
        <v>3329</v>
      </c>
      <c r="B1261" t="s">
        <v>705</v>
      </c>
      <c r="C1261" t="s">
        <v>696</v>
      </c>
      <c r="D1261" t="s">
        <v>697</v>
      </c>
      <c r="E1261">
        <v>301</v>
      </c>
      <c r="F1261">
        <v>770</v>
      </c>
      <c r="G1261">
        <v>27.036015800000001</v>
      </c>
      <c r="H1261">
        <v>416</v>
      </c>
      <c r="I1261">
        <v>4.2266462999999997E-2</v>
      </c>
      <c r="J1261">
        <v>1186</v>
      </c>
      <c r="K1261">
        <v>28060.072120000001</v>
      </c>
      <c r="L1261">
        <v>0.82299999999999995</v>
      </c>
      <c r="M1261">
        <v>0.58019525800000005</v>
      </c>
      <c r="N1261">
        <v>0</v>
      </c>
      <c r="O1261" t="s">
        <v>613</v>
      </c>
      <c r="P1261">
        <f t="shared" si="173"/>
        <v>13.73271845</v>
      </c>
      <c r="Q1261">
        <f t="shared" si="174"/>
        <v>1.2E-2</v>
      </c>
      <c r="R1261">
        <f t="shared" si="175"/>
        <v>2.1000000000000001E-2</v>
      </c>
      <c r="S1261">
        <f t="shared" si="176"/>
        <v>0.82299999999999995</v>
      </c>
      <c r="T1261">
        <f t="shared" si="177"/>
        <v>2.2788888890000001</v>
      </c>
      <c r="U1261">
        <f t="shared" si="178"/>
        <v>7.128038922</v>
      </c>
      <c r="V1261">
        <f t="shared" si="179"/>
        <v>4.2999999999999997E-2</v>
      </c>
      <c r="W1261">
        <f t="shared" si="180"/>
        <v>3.4000000000000002E-2</v>
      </c>
      <c r="X1261">
        <f t="shared" si="181"/>
        <v>0.88</v>
      </c>
      <c r="Y1261">
        <v>147.004718</v>
      </c>
      <c r="Z1261">
        <v>0</v>
      </c>
      <c r="AA1261">
        <v>152832</v>
      </c>
      <c r="AB1261">
        <v>45686</v>
      </c>
      <c r="AC1261">
        <v>2.1596295000000001E-2</v>
      </c>
      <c r="AD1261">
        <v>0.84212384500000004</v>
      </c>
      <c r="AF1261">
        <v>13.73271845</v>
      </c>
      <c r="AG1261">
        <v>1.2E-2</v>
      </c>
      <c r="AH1261">
        <v>2.1000000000000001E-2</v>
      </c>
      <c r="AI1261">
        <v>0.82299999999999995</v>
      </c>
      <c r="AJ1261">
        <v>2.2788888890000001</v>
      </c>
      <c r="AK1261">
        <v>7.128038922</v>
      </c>
      <c r="AL1261">
        <v>4.2999999999999997E-2</v>
      </c>
      <c r="AM1261">
        <v>3.4000000000000002E-2</v>
      </c>
      <c r="AN1261">
        <v>0.88</v>
      </c>
    </row>
    <row r="1262" spans="1:40">
      <c r="A1262">
        <v>3330</v>
      </c>
      <c r="B1262" t="s">
        <v>705</v>
      </c>
      <c r="C1262" t="s">
        <v>696</v>
      </c>
      <c r="D1262" t="s">
        <v>697</v>
      </c>
      <c r="E1262">
        <v>134</v>
      </c>
      <c r="F1262">
        <v>295</v>
      </c>
      <c r="G1262">
        <v>67.841250400000007</v>
      </c>
      <c r="H1262">
        <v>1425</v>
      </c>
      <c r="I1262">
        <v>0.106038124</v>
      </c>
      <c r="J1262">
        <v>1720</v>
      </c>
      <c r="K1262">
        <v>16220.581190000001</v>
      </c>
      <c r="L1262">
        <v>0.82099999999999995</v>
      </c>
      <c r="M1262">
        <v>0.91404746599999998</v>
      </c>
      <c r="N1262">
        <v>1</v>
      </c>
      <c r="O1262" t="s">
        <v>613</v>
      </c>
      <c r="P1262">
        <f t="shared" si="173"/>
        <v>9.4310460250000006</v>
      </c>
      <c r="Q1262">
        <f t="shared" si="174"/>
        <v>3.1E-2</v>
      </c>
      <c r="R1262">
        <f t="shared" si="175"/>
        <v>1.7000000000000001E-2</v>
      </c>
      <c r="S1262">
        <f t="shared" si="176"/>
        <v>0.82099999999999995</v>
      </c>
      <c r="T1262">
        <f t="shared" si="177"/>
        <v>2.079166667</v>
      </c>
      <c r="U1262">
        <f t="shared" si="178"/>
        <v>5.819032258</v>
      </c>
      <c r="V1262">
        <f t="shared" si="179"/>
        <v>2.8000000000000001E-2</v>
      </c>
      <c r="W1262">
        <f t="shared" si="180"/>
        <v>0.107</v>
      </c>
      <c r="X1262">
        <f t="shared" si="181"/>
        <v>0.82699999999999996</v>
      </c>
      <c r="Y1262">
        <v>157.16533050000001</v>
      </c>
      <c r="Z1262">
        <v>0</v>
      </c>
      <c r="AA1262">
        <v>152832</v>
      </c>
      <c r="AB1262">
        <v>45686</v>
      </c>
      <c r="AC1262">
        <v>2.1596295000000001E-2</v>
      </c>
      <c r="AD1262">
        <v>0.84212384500000004</v>
      </c>
      <c r="AF1262">
        <v>9.4310460250000006</v>
      </c>
      <c r="AG1262">
        <v>3.1E-2</v>
      </c>
      <c r="AH1262">
        <v>1.7000000000000001E-2</v>
      </c>
      <c r="AI1262">
        <v>0.82099999999999995</v>
      </c>
      <c r="AJ1262">
        <v>2.079166667</v>
      </c>
      <c r="AK1262">
        <v>5.819032258</v>
      </c>
      <c r="AL1262">
        <v>2.8000000000000001E-2</v>
      </c>
      <c r="AM1262">
        <v>0.107</v>
      </c>
      <c r="AN1262">
        <v>0.82699999999999996</v>
      </c>
    </row>
    <row r="1263" spans="1:40">
      <c r="A1263">
        <v>3331</v>
      </c>
      <c r="B1263" t="s">
        <v>705</v>
      </c>
      <c r="C1263" t="s">
        <v>696</v>
      </c>
      <c r="D1263" t="s">
        <v>697</v>
      </c>
      <c r="E1263">
        <v>141</v>
      </c>
      <c r="F1263">
        <v>340</v>
      </c>
      <c r="G1263">
        <v>19.05435795</v>
      </c>
      <c r="H1263">
        <v>203</v>
      </c>
      <c r="I1263">
        <v>2.9782419000000001E-2</v>
      </c>
      <c r="J1263">
        <v>543</v>
      </c>
      <c r="K1263">
        <v>18232.232919999999</v>
      </c>
      <c r="L1263">
        <v>0.8</v>
      </c>
      <c r="M1263">
        <v>0.59011627899999997</v>
      </c>
      <c r="N1263">
        <v>1</v>
      </c>
      <c r="O1263" t="s">
        <v>613</v>
      </c>
      <c r="P1263">
        <f t="shared" si="173"/>
        <v>11.57849057</v>
      </c>
      <c r="Q1263">
        <f t="shared" si="174"/>
        <v>3.3000000000000002E-2</v>
      </c>
      <c r="R1263">
        <f t="shared" si="175"/>
        <v>2.4E-2</v>
      </c>
      <c r="S1263">
        <f t="shared" si="176"/>
        <v>0.8</v>
      </c>
      <c r="T1263">
        <f t="shared" si="177"/>
        <v>1.3979999999999999</v>
      </c>
      <c r="U1263">
        <f t="shared" si="178"/>
        <v>6.8080817610000004</v>
      </c>
      <c r="V1263">
        <f t="shared" si="179"/>
        <v>6.5000000000000002E-2</v>
      </c>
      <c r="W1263">
        <f t="shared" si="180"/>
        <v>6.5000000000000002E-2</v>
      </c>
      <c r="X1263">
        <f t="shared" si="181"/>
        <v>0.85499999999999998</v>
      </c>
      <c r="Y1263">
        <v>157.591656</v>
      </c>
      <c r="Z1263">
        <v>0</v>
      </c>
      <c r="AA1263">
        <v>152832</v>
      </c>
      <c r="AB1263">
        <v>45686</v>
      </c>
      <c r="AC1263">
        <v>2.1596295000000001E-2</v>
      </c>
      <c r="AD1263">
        <v>0.84212384500000004</v>
      </c>
      <c r="AF1263">
        <v>11.57849057</v>
      </c>
      <c r="AG1263">
        <v>3.3000000000000002E-2</v>
      </c>
      <c r="AH1263">
        <v>2.4E-2</v>
      </c>
      <c r="AI1263">
        <v>0.8</v>
      </c>
      <c r="AJ1263">
        <v>1.3979999999999999</v>
      </c>
      <c r="AK1263">
        <v>6.8080817610000004</v>
      </c>
      <c r="AL1263">
        <v>6.5000000000000002E-2</v>
      </c>
      <c r="AM1263">
        <v>6.5000000000000002E-2</v>
      </c>
      <c r="AN1263">
        <v>0.85499999999999998</v>
      </c>
    </row>
    <row r="1264" spans="1:40">
      <c r="A1264">
        <v>3332</v>
      </c>
      <c r="B1264" t="s">
        <v>705</v>
      </c>
      <c r="C1264" t="s">
        <v>696</v>
      </c>
      <c r="D1264" t="s">
        <v>697</v>
      </c>
      <c r="E1264">
        <v>191</v>
      </c>
      <c r="F1264">
        <v>461</v>
      </c>
      <c r="G1264">
        <v>23.753669599999998</v>
      </c>
      <c r="H1264">
        <v>212</v>
      </c>
      <c r="I1264">
        <v>3.7134265999999999E-2</v>
      </c>
      <c r="J1264">
        <v>673</v>
      </c>
      <c r="K1264">
        <v>18123.422719999999</v>
      </c>
      <c r="L1264">
        <v>0.73</v>
      </c>
      <c r="M1264">
        <v>0.52605459099999996</v>
      </c>
      <c r="N1264">
        <v>1</v>
      </c>
      <c r="O1264" t="s">
        <v>613</v>
      </c>
      <c r="P1264">
        <f t="shared" si="173"/>
        <v>12.63611111</v>
      </c>
      <c r="Q1264">
        <f t="shared" si="174"/>
        <v>6.3E-2</v>
      </c>
      <c r="R1264">
        <f t="shared" si="175"/>
        <v>3.5999999999999997E-2</v>
      </c>
      <c r="S1264">
        <f t="shared" si="176"/>
        <v>0.73</v>
      </c>
      <c r="T1264">
        <f t="shared" si="177"/>
        <v>1.578333333</v>
      </c>
      <c r="U1264">
        <f t="shared" si="178"/>
        <v>6.7127292580000004</v>
      </c>
      <c r="V1264">
        <f t="shared" si="179"/>
        <v>4.2999999999999997E-2</v>
      </c>
      <c r="W1264">
        <f t="shared" si="180"/>
        <v>0.13800000000000001</v>
      </c>
      <c r="X1264">
        <f t="shared" si="181"/>
        <v>0.77600000000000002</v>
      </c>
      <c r="Y1264">
        <v>157.50149540000001</v>
      </c>
      <c r="Z1264">
        <v>0</v>
      </c>
      <c r="AA1264">
        <v>152832</v>
      </c>
      <c r="AB1264">
        <v>45686</v>
      </c>
      <c r="AC1264">
        <v>2.1596295000000001E-2</v>
      </c>
      <c r="AD1264">
        <v>0.84212384500000004</v>
      </c>
      <c r="AF1264">
        <v>12.63611111</v>
      </c>
      <c r="AG1264">
        <v>6.3E-2</v>
      </c>
      <c r="AH1264">
        <v>3.5999999999999997E-2</v>
      </c>
      <c r="AI1264">
        <v>0.73</v>
      </c>
      <c r="AJ1264">
        <v>1.578333333</v>
      </c>
      <c r="AK1264">
        <v>6.7127292580000004</v>
      </c>
      <c r="AL1264">
        <v>4.2999999999999997E-2</v>
      </c>
      <c r="AM1264">
        <v>0.13800000000000001</v>
      </c>
      <c r="AN1264">
        <v>0.77600000000000002</v>
      </c>
    </row>
    <row r="1265" spans="1:40">
      <c r="A1265">
        <v>3333</v>
      </c>
      <c r="B1265" t="s">
        <v>707</v>
      </c>
      <c r="C1265" t="s">
        <v>696</v>
      </c>
      <c r="D1265" t="s">
        <v>697</v>
      </c>
      <c r="E1265">
        <v>181</v>
      </c>
      <c r="F1265">
        <v>527</v>
      </c>
      <c r="G1265">
        <v>45.993561919999998</v>
      </c>
      <c r="H1265">
        <v>52</v>
      </c>
      <c r="I1265">
        <v>7.1891759999999999E-2</v>
      </c>
      <c r="J1265">
        <v>579</v>
      </c>
      <c r="K1265">
        <v>8053.7741740000001</v>
      </c>
      <c r="L1265">
        <v>0.81200000000000006</v>
      </c>
      <c r="M1265">
        <v>0.223175966</v>
      </c>
      <c r="N1265">
        <v>0</v>
      </c>
      <c r="O1265" t="s">
        <v>620</v>
      </c>
      <c r="P1265">
        <f t="shared" si="173"/>
        <v>10.904545450000001</v>
      </c>
      <c r="Q1265">
        <f t="shared" si="174"/>
        <v>3.1E-2</v>
      </c>
      <c r="R1265">
        <f t="shared" si="175"/>
        <v>6.2E-2</v>
      </c>
      <c r="S1265">
        <f t="shared" si="176"/>
        <v>0.81200000000000006</v>
      </c>
      <c r="T1265">
        <f t="shared" si="177"/>
        <v>3.4830000000000001</v>
      </c>
      <c r="U1265">
        <f t="shared" si="178"/>
        <v>7.5732530120000003</v>
      </c>
      <c r="V1265">
        <f t="shared" si="179"/>
        <v>0.1</v>
      </c>
      <c r="W1265">
        <f t="shared" si="180"/>
        <v>8.5999999999999993E-2</v>
      </c>
      <c r="X1265">
        <f t="shared" si="181"/>
        <v>0.78600000000000003</v>
      </c>
      <c r="Y1265">
        <v>82.668457009999997</v>
      </c>
      <c r="Z1265">
        <v>0</v>
      </c>
      <c r="AA1265">
        <v>21149</v>
      </c>
      <c r="AB1265">
        <v>6968</v>
      </c>
      <c r="AC1265">
        <v>1.6645858999999999E-2</v>
      </c>
      <c r="AD1265">
        <v>0.89069218999999999</v>
      </c>
      <c r="AF1265">
        <v>10.904545450000001</v>
      </c>
      <c r="AG1265">
        <v>3.1E-2</v>
      </c>
      <c r="AH1265">
        <v>6.2E-2</v>
      </c>
      <c r="AI1265">
        <v>0.81200000000000006</v>
      </c>
      <c r="AJ1265">
        <v>3.4830000000000001</v>
      </c>
      <c r="AK1265">
        <v>7.5732530120000003</v>
      </c>
      <c r="AL1265">
        <v>0.1</v>
      </c>
      <c r="AM1265">
        <v>8.5999999999999993E-2</v>
      </c>
      <c r="AN1265">
        <v>0.78600000000000003</v>
      </c>
    </row>
    <row r="1266" spans="1:40">
      <c r="A1266">
        <v>3334</v>
      </c>
      <c r="B1266" t="s">
        <v>695</v>
      </c>
      <c r="C1266" t="s">
        <v>696</v>
      </c>
      <c r="D1266" t="s">
        <v>697</v>
      </c>
      <c r="E1266">
        <v>113</v>
      </c>
      <c r="F1266">
        <v>263</v>
      </c>
      <c r="G1266">
        <v>27.617612520000002</v>
      </c>
      <c r="H1266">
        <v>9</v>
      </c>
      <c r="I1266">
        <v>4.3164086999999997E-2</v>
      </c>
      <c r="J1266">
        <v>272</v>
      </c>
      <c r="K1266">
        <v>6301.534885</v>
      </c>
      <c r="L1266">
        <v>0.76200000000000001</v>
      </c>
      <c r="M1266">
        <v>7.3770491999999993E-2</v>
      </c>
      <c r="N1266">
        <v>0</v>
      </c>
      <c r="O1266" t="s">
        <v>620</v>
      </c>
      <c r="P1266">
        <f t="shared" si="173"/>
        <v>11.50628571</v>
      </c>
      <c r="Q1266">
        <f t="shared" si="174"/>
        <v>5.0000000000000001E-3</v>
      </c>
      <c r="R1266">
        <f t="shared" si="175"/>
        <v>0.03</v>
      </c>
      <c r="S1266">
        <f t="shared" si="176"/>
        <v>0.76200000000000001</v>
      </c>
      <c r="T1266">
        <f t="shared" si="177"/>
        <v>2.1583333329999999</v>
      </c>
      <c r="U1266">
        <f t="shared" si="178"/>
        <v>6.7441333329999997</v>
      </c>
      <c r="V1266">
        <f t="shared" si="179"/>
        <v>5.3999999999999999E-2</v>
      </c>
      <c r="W1266">
        <f t="shared" si="180"/>
        <v>0.1143125</v>
      </c>
      <c r="X1266">
        <f t="shared" si="181"/>
        <v>0.94599999999999995</v>
      </c>
      <c r="Y1266">
        <v>150.61512300000001</v>
      </c>
      <c r="Z1266">
        <v>0</v>
      </c>
      <c r="AA1266">
        <v>62139</v>
      </c>
      <c r="AB1266">
        <v>22178</v>
      </c>
      <c r="AC1266">
        <v>2.5956119999999999E-2</v>
      </c>
      <c r="AD1266">
        <v>0.81129361</v>
      </c>
      <c r="AF1266">
        <v>11.50628571</v>
      </c>
      <c r="AG1266">
        <v>5.0000000000000001E-3</v>
      </c>
      <c r="AH1266">
        <v>0.03</v>
      </c>
      <c r="AI1266">
        <v>0.76200000000000001</v>
      </c>
      <c r="AJ1266">
        <v>2.1583333329999999</v>
      </c>
      <c r="AK1266">
        <v>6.7441333329999997</v>
      </c>
      <c r="AL1266">
        <v>5.3999999999999999E-2</v>
      </c>
      <c r="AM1266">
        <v>0</v>
      </c>
      <c r="AN1266">
        <v>0.94599999999999995</v>
      </c>
    </row>
    <row r="1267" spans="1:40">
      <c r="A1267">
        <v>3335</v>
      </c>
      <c r="B1267" t="s">
        <v>695</v>
      </c>
      <c r="C1267" t="s">
        <v>696</v>
      </c>
      <c r="D1267" t="s">
        <v>697</v>
      </c>
      <c r="E1267">
        <v>398</v>
      </c>
      <c r="F1267">
        <v>934</v>
      </c>
      <c r="G1267">
        <v>75.936930910000001</v>
      </c>
      <c r="H1267">
        <v>19</v>
      </c>
      <c r="I1267">
        <v>0.11869228</v>
      </c>
      <c r="J1267">
        <v>953</v>
      </c>
      <c r="K1267">
        <v>8029.1658399999997</v>
      </c>
      <c r="L1267">
        <v>0.78300000000000003</v>
      </c>
      <c r="M1267">
        <v>4.5563549000000002E-2</v>
      </c>
      <c r="N1267">
        <v>0</v>
      </c>
      <c r="O1267" t="s">
        <v>620</v>
      </c>
      <c r="P1267">
        <f t="shared" si="173"/>
        <v>13.2145098</v>
      </c>
      <c r="Q1267">
        <f t="shared" si="174"/>
        <v>1.7000000000000001E-2</v>
      </c>
      <c r="R1267">
        <f t="shared" si="175"/>
        <v>3.3000000000000002E-2</v>
      </c>
      <c r="S1267">
        <f t="shared" si="176"/>
        <v>0.78300000000000003</v>
      </c>
      <c r="T1267">
        <f t="shared" si="177"/>
        <v>3.3005</v>
      </c>
      <c r="U1267">
        <f t="shared" si="178"/>
        <v>8.1081627909999998</v>
      </c>
      <c r="V1267">
        <f t="shared" si="179"/>
        <v>6.3E-2</v>
      </c>
      <c r="W1267">
        <f t="shared" si="180"/>
        <v>6.3E-2</v>
      </c>
      <c r="X1267">
        <f t="shared" si="181"/>
        <v>0.81</v>
      </c>
      <c r="Y1267">
        <v>150.93373829999999</v>
      </c>
      <c r="Z1267">
        <v>0</v>
      </c>
      <c r="AA1267">
        <v>62139</v>
      </c>
      <c r="AB1267">
        <v>22178</v>
      </c>
      <c r="AC1267">
        <v>2.5956119999999999E-2</v>
      </c>
      <c r="AD1267">
        <v>0.81129361</v>
      </c>
      <c r="AF1267">
        <v>13.2145098</v>
      </c>
      <c r="AG1267">
        <v>1.7000000000000001E-2</v>
      </c>
      <c r="AH1267">
        <v>3.3000000000000002E-2</v>
      </c>
      <c r="AI1267">
        <v>0.78300000000000003</v>
      </c>
      <c r="AJ1267">
        <v>3.3005</v>
      </c>
      <c r="AK1267">
        <v>8.1081627909999998</v>
      </c>
      <c r="AL1267">
        <v>6.3E-2</v>
      </c>
      <c r="AM1267">
        <v>6.3E-2</v>
      </c>
      <c r="AN1267">
        <v>0.81</v>
      </c>
    </row>
    <row r="1268" spans="1:40">
      <c r="A1268">
        <v>3336</v>
      </c>
      <c r="B1268" t="s">
        <v>705</v>
      </c>
      <c r="C1268" t="s">
        <v>696</v>
      </c>
      <c r="D1268" t="s">
        <v>697</v>
      </c>
      <c r="E1268">
        <v>3</v>
      </c>
      <c r="F1268">
        <v>10</v>
      </c>
      <c r="G1268">
        <v>213.7776916</v>
      </c>
      <c r="H1268">
        <v>8</v>
      </c>
      <c r="I1268">
        <v>0.334164776</v>
      </c>
      <c r="J1268">
        <v>18</v>
      </c>
      <c r="K1268">
        <v>53.865641420000003</v>
      </c>
      <c r="L1268">
        <v>0.84399999999999997</v>
      </c>
      <c r="M1268">
        <v>0.72727272700000001</v>
      </c>
      <c r="N1268">
        <v>0</v>
      </c>
      <c r="O1268" t="s">
        <v>620</v>
      </c>
      <c r="P1268">
        <f t="shared" si="173"/>
        <v>10.24266667</v>
      </c>
      <c r="Q1268">
        <f t="shared" si="174"/>
        <v>4.4999999999999998E-2</v>
      </c>
      <c r="R1268">
        <f t="shared" si="175"/>
        <v>0.04</v>
      </c>
      <c r="S1268">
        <f t="shared" si="176"/>
        <v>0.84399999999999997</v>
      </c>
      <c r="T1268">
        <f t="shared" si="177"/>
        <v>2.1384810129999998</v>
      </c>
      <c r="U1268">
        <f t="shared" si="178"/>
        <v>7.7730513600000002</v>
      </c>
      <c r="V1268">
        <f t="shared" si="179"/>
        <v>0.154</v>
      </c>
      <c r="W1268">
        <f t="shared" si="180"/>
        <v>0.123</v>
      </c>
      <c r="X1268">
        <f t="shared" si="181"/>
        <v>0.69199999999999995</v>
      </c>
      <c r="Y1268">
        <v>123.1766353</v>
      </c>
      <c r="Z1268">
        <v>0</v>
      </c>
      <c r="AA1268">
        <v>152832</v>
      </c>
      <c r="AB1268">
        <v>45686</v>
      </c>
      <c r="AC1268">
        <v>2.1596295000000001E-2</v>
      </c>
      <c r="AD1268">
        <v>0.84212384500000004</v>
      </c>
      <c r="AF1268">
        <v>10.24266667</v>
      </c>
      <c r="AG1268">
        <v>4.4999999999999998E-2</v>
      </c>
      <c r="AH1268">
        <v>0.04</v>
      </c>
      <c r="AI1268">
        <v>0.84399999999999997</v>
      </c>
      <c r="AJ1268">
        <v>2.1384810129999998</v>
      </c>
      <c r="AK1268">
        <v>7.7730513600000002</v>
      </c>
      <c r="AL1268">
        <v>0.154</v>
      </c>
      <c r="AM1268">
        <v>0.123</v>
      </c>
      <c r="AN1268">
        <v>0.69199999999999995</v>
      </c>
    </row>
    <row r="1269" spans="1:40">
      <c r="A1269">
        <v>3337</v>
      </c>
      <c r="B1269" t="s">
        <v>708</v>
      </c>
      <c r="C1269" t="s">
        <v>696</v>
      </c>
      <c r="D1269" t="s">
        <v>697</v>
      </c>
      <c r="E1269">
        <v>145</v>
      </c>
      <c r="F1269">
        <v>396</v>
      </c>
      <c r="G1269">
        <v>51.693668330000001</v>
      </c>
      <c r="H1269">
        <v>428</v>
      </c>
      <c r="I1269">
        <v>8.0803389000000003E-2</v>
      </c>
      <c r="J1269">
        <v>824</v>
      </c>
      <c r="K1269">
        <v>10197.59208</v>
      </c>
      <c r="L1269">
        <v>0.85599999999999998</v>
      </c>
      <c r="M1269">
        <v>0.74694589899999997</v>
      </c>
      <c r="N1269">
        <v>0</v>
      </c>
      <c r="O1269" t="s">
        <v>620</v>
      </c>
      <c r="P1269">
        <f t="shared" si="173"/>
        <v>14.07955224</v>
      </c>
      <c r="Q1269">
        <f t="shared" si="174"/>
        <v>8.0000000000000002E-3</v>
      </c>
      <c r="R1269">
        <f t="shared" si="175"/>
        <v>2.1999999999999999E-2</v>
      </c>
      <c r="S1269">
        <f t="shared" si="176"/>
        <v>0.85599999999999998</v>
      </c>
      <c r="T1269">
        <f t="shared" si="177"/>
        <v>2.2524999999999999</v>
      </c>
      <c r="U1269">
        <f t="shared" si="178"/>
        <v>6.5965454550000002</v>
      </c>
      <c r="V1269">
        <f t="shared" si="179"/>
        <v>2.5000000000000001E-2</v>
      </c>
      <c r="W1269">
        <f t="shared" si="180"/>
        <v>0.05</v>
      </c>
      <c r="X1269">
        <f t="shared" si="181"/>
        <v>0.83799999999999997</v>
      </c>
      <c r="Y1269">
        <v>106.816458</v>
      </c>
      <c r="Z1269">
        <v>0</v>
      </c>
      <c r="AA1269">
        <v>14998</v>
      </c>
      <c r="AB1269">
        <v>4485</v>
      </c>
      <c r="AC1269">
        <v>2.8516413000000001E-2</v>
      </c>
      <c r="AD1269">
        <v>0.81835686799999996</v>
      </c>
      <c r="AF1269">
        <v>14.07955224</v>
      </c>
      <c r="AG1269">
        <v>8.0000000000000002E-3</v>
      </c>
      <c r="AH1269">
        <v>2.1999999999999999E-2</v>
      </c>
      <c r="AI1269">
        <v>0.85599999999999998</v>
      </c>
      <c r="AJ1269">
        <v>2.2524999999999999</v>
      </c>
      <c r="AK1269">
        <v>6.5965454550000002</v>
      </c>
      <c r="AL1269">
        <v>2.5000000000000001E-2</v>
      </c>
      <c r="AM1269">
        <v>0.05</v>
      </c>
      <c r="AN1269">
        <v>0.83799999999999997</v>
      </c>
    </row>
    <row r="1270" spans="1:40">
      <c r="A1270">
        <v>3338</v>
      </c>
      <c r="B1270" t="s">
        <v>705</v>
      </c>
      <c r="C1270" t="s">
        <v>696</v>
      </c>
      <c r="D1270" t="s">
        <v>697</v>
      </c>
      <c r="E1270">
        <v>407</v>
      </c>
      <c r="F1270">
        <v>1125</v>
      </c>
      <c r="G1270">
        <v>52.047514479999997</v>
      </c>
      <c r="H1270">
        <v>239</v>
      </c>
      <c r="I1270">
        <v>8.1357879999999994E-2</v>
      </c>
      <c r="J1270">
        <v>1364</v>
      </c>
      <c r="K1270">
        <v>16765.431939999999</v>
      </c>
      <c r="L1270">
        <v>0.78800000000000003</v>
      </c>
      <c r="M1270">
        <v>0.36996904000000003</v>
      </c>
      <c r="N1270">
        <v>0</v>
      </c>
      <c r="O1270" t="s">
        <v>620</v>
      </c>
      <c r="P1270">
        <f t="shared" si="173"/>
        <v>12.07782051</v>
      </c>
      <c r="Q1270">
        <f t="shared" si="174"/>
        <v>1.2E-2</v>
      </c>
      <c r="R1270">
        <f t="shared" si="175"/>
        <v>4.2999999999999997E-2</v>
      </c>
      <c r="S1270">
        <f t="shared" si="176"/>
        <v>0.78800000000000003</v>
      </c>
      <c r="T1270">
        <f t="shared" si="177"/>
        <v>1.5742499999999999</v>
      </c>
      <c r="U1270">
        <f t="shared" si="178"/>
        <v>5.8822425950000001</v>
      </c>
      <c r="V1270">
        <f t="shared" si="179"/>
        <v>6.5000000000000002E-2</v>
      </c>
      <c r="W1270">
        <f t="shared" si="180"/>
        <v>4.2999999999999997E-2</v>
      </c>
      <c r="X1270">
        <f t="shared" si="181"/>
        <v>0.83899999999999997</v>
      </c>
      <c r="Y1270">
        <v>111.2910224</v>
      </c>
      <c r="Z1270">
        <v>0</v>
      </c>
      <c r="AA1270">
        <v>152832</v>
      </c>
      <c r="AB1270">
        <v>45686</v>
      </c>
      <c r="AC1270">
        <v>2.1596295000000001E-2</v>
      </c>
      <c r="AD1270">
        <v>0.84212384500000004</v>
      </c>
      <c r="AF1270">
        <v>12.07782051</v>
      </c>
      <c r="AG1270">
        <v>1.2E-2</v>
      </c>
      <c r="AH1270">
        <v>4.2999999999999997E-2</v>
      </c>
      <c r="AI1270">
        <v>0.78800000000000003</v>
      </c>
      <c r="AJ1270">
        <v>1.5742499999999999</v>
      </c>
      <c r="AK1270">
        <v>5.8822425950000001</v>
      </c>
      <c r="AL1270">
        <v>6.5000000000000002E-2</v>
      </c>
      <c r="AM1270">
        <v>4.2999999999999997E-2</v>
      </c>
      <c r="AN1270">
        <v>0.83899999999999997</v>
      </c>
    </row>
    <row r="1271" spans="1:40">
      <c r="A1271">
        <v>3339</v>
      </c>
      <c r="B1271" t="s">
        <v>707</v>
      </c>
      <c r="C1271" t="s">
        <v>696</v>
      </c>
      <c r="D1271" t="s">
        <v>697</v>
      </c>
      <c r="E1271">
        <v>15</v>
      </c>
      <c r="F1271">
        <v>46</v>
      </c>
      <c r="G1271">
        <v>785.82345969999994</v>
      </c>
      <c r="H1271">
        <v>0</v>
      </c>
      <c r="I1271" s="515">
        <v>1.2283032800339999</v>
      </c>
      <c r="J1271">
        <v>46</v>
      </c>
      <c r="K1271">
        <v>37.450034330000001</v>
      </c>
      <c r="L1271" s="515">
        <v>1</v>
      </c>
      <c r="M1271">
        <v>0</v>
      </c>
      <c r="N1271">
        <v>0</v>
      </c>
      <c r="O1271" t="s">
        <v>625</v>
      </c>
      <c r="P1271">
        <f t="shared" si="173"/>
        <v>3.7149999999999999</v>
      </c>
      <c r="Q1271">
        <f t="shared" si="174"/>
        <v>2.0450000000000006E-2</v>
      </c>
      <c r="R1271">
        <f t="shared" si="175"/>
        <v>7.2846153846153852E-2</v>
      </c>
      <c r="S1271">
        <f t="shared" si="176"/>
        <v>1</v>
      </c>
      <c r="T1271">
        <f t="shared" si="177"/>
        <v>2.2191326312692303</v>
      </c>
      <c r="U1271">
        <f t="shared" si="178"/>
        <v>6.5812499999999998</v>
      </c>
      <c r="V1271">
        <f t="shared" si="179"/>
        <v>0.11835714285714286</v>
      </c>
      <c r="W1271">
        <f t="shared" si="180"/>
        <v>8.5526315789473686E-2</v>
      </c>
      <c r="X1271">
        <f t="shared" si="181"/>
        <v>1</v>
      </c>
      <c r="Y1271">
        <v>26.65875642</v>
      </c>
      <c r="Z1271">
        <v>0</v>
      </c>
      <c r="AA1271">
        <v>21149</v>
      </c>
      <c r="AB1271">
        <v>6968</v>
      </c>
      <c r="AC1271">
        <v>1.6645858999999999E-2</v>
      </c>
      <c r="AD1271">
        <v>0.89069218999999999</v>
      </c>
      <c r="AF1271">
        <v>3.7149999999999999</v>
      </c>
      <c r="AG1271">
        <v>0</v>
      </c>
      <c r="AH1271">
        <v>0</v>
      </c>
      <c r="AI1271">
        <v>1</v>
      </c>
      <c r="AK1271">
        <v>6.5812499999999998</v>
      </c>
      <c r="AL1271">
        <v>0</v>
      </c>
      <c r="AM1271">
        <v>0</v>
      </c>
      <c r="AN1271">
        <v>1</v>
      </c>
    </row>
    <row r="1272" spans="1:40">
      <c r="A1272">
        <v>3340</v>
      </c>
      <c r="B1272" t="s">
        <v>705</v>
      </c>
      <c r="C1272" t="s">
        <v>696</v>
      </c>
      <c r="D1272" t="s">
        <v>697</v>
      </c>
      <c r="E1272">
        <v>26</v>
      </c>
      <c r="F1272">
        <v>94</v>
      </c>
      <c r="G1272">
        <v>195.1520194</v>
      </c>
      <c r="H1272">
        <v>2761</v>
      </c>
      <c r="I1272">
        <v>0.30503416999999999</v>
      </c>
      <c r="J1272">
        <v>2855</v>
      </c>
      <c r="K1272">
        <v>9359.6071549999997</v>
      </c>
      <c r="L1272">
        <v>0.88600000000000001</v>
      </c>
      <c r="M1272">
        <v>0.99067097199999998</v>
      </c>
      <c r="N1272">
        <v>0</v>
      </c>
      <c r="O1272" t="s">
        <v>620</v>
      </c>
      <c r="P1272">
        <f t="shared" si="173"/>
        <v>14.8852381</v>
      </c>
      <c r="Q1272">
        <f t="shared" si="174"/>
        <v>1.4E-2</v>
      </c>
      <c r="R1272">
        <f t="shared" si="175"/>
        <v>1.9E-2</v>
      </c>
      <c r="S1272">
        <f t="shared" si="176"/>
        <v>0.88600000000000001</v>
      </c>
      <c r="T1272">
        <f t="shared" si="177"/>
        <v>3.2349999999999999</v>
      </c>
      <c r="U1272">
        <f t="shared" si="178"/>
        <v>10.17904762</v>
      </c>
      <c r="V1272">
        <f t="shared" si="179"/>
        <v>4.5999999999999999E-2</v>
      </c>
      <c r="W1272">
        <f t="shared" si="180"/>
        <v>3.1E-2</v>
      </c>
      <c r="X1272">
        <f t="shared" si="181"/>
        <v>0.90800000000000003</v>
      </c>
      <c r="Y1272">
        <v>12.938395079999999</v>
      </c>
      <c r="Z1272">
        <v>0</v>
      </c>
      <c r="AA1272">
        <v>152832</v>
      </c>
      <c r="AB1272">
        <v>45686</v>
      </c>
      <c r="AC1272">
        <v>2.1596295000000001E-2</v>
      </c>
      <c r="AD1272">
        <v>0.84212384500000004</v>
      </c>
      <c r="AF1272">
        <v>14.8852381</v>
      </c>
      <c r="AG1272">
        <v>1.4E-2</v>
      </c>
      <c r="AH1272">
        <v>1.9E-2</v>
      </c>
      <c r="AI1272">
        <v>0.88600000000000001</v>
      </c>
      <c r="AJ1272">
        <v>3.2349999999999999</v>
      </c>
      <c r="AK1272">
        <v>10.17904762</v>
      </c>
      <c r="AL1272">
        <v>4.5999999999999999E-2</v>
      </c>
      <c r="AM1272">
        <v>3.1E-2</v>
      </c>
      <c r="AN1272">
        <v>0.90800000000000003</v>
      </c>
    </row>
    <row r="1273" spans="1:40">
      <c r="A1273">
        <v>3341</v>
      </c>
      <c r="B1273" t="s">
        <v>705</v>
      </c>
      <c r="C1273" t="s">
        <v>696</v>
      </c>
      <c r="D1273" t="s">
        <v>697</v>
      </c>
      <c r="E1273">
        <v>1</v>
      </c>
      <c r="F1273">
        <v>27</v>
      </c>
      <c r="G1273">
        <v>1243.7700460000001</v>
      </c>
      <c r="H1273">
        <v>2491</v>
      </c>
      <c r="I1273" s="515">
        <v>1.9441165195310499</v>
      </c>
      <c r="J1273">
        <v>2518</v>
      </c>
      <c r="K1273">
        <v>1295.1898590000001</v>
      </c>
      <c r="L1273">
        <v>0.94099999999999995</v>
      </c>
      <c r="M1273">
        <v>0.99959871600000005</v>
      </c>
      <c r="N1273">
        <v>0</v>
      </c>
      <c r="O1273" t="s">
        <v>625</v>
      </c>
      <c r="P1273">
        <f t="shared" si="173"/>
        <v>16.830789469999999</v>
      </c>
      <c r="Q1273">
        <f t="shared" si="174"/>
        <v>2.4977443609022529E-2</v>
      </c>
      <c r="R1273">
        <f t="shared" si="175"/>
        <v>1.9E-2</v>
      </c>
      <c r="S1273">
        <f t="shared" si="176"/>
        <v>0.94099999999999995</v>
      </c>
      <c r="T1273">
        <f t="shared" si="177"/>
        <v>2.548636364</v>
      </c>
      <c r="U1273">
        <f t="shared" si="178"/>
        <v>14.022759260000001</v>
      </c>
      <c r="V1273">
        <f t="shared" si="179"/>
        <v>2.8000000000000001E-2</v>
      </c>
      <c r="W1273">
        <f t="shared" si="180"/>
        <v>8.6720930232558141E-2</v>
      </c>
      <c r="X1273">
        <f t="shared" si="181"/>
        <v>0.97199999999999998</v>
      </c>
      <c r="Y1273">
        <v>12.845485610000001</v>
      </c>
      <c r="Z1273">
        <v>0</v>
      </c>
      <c r="AA1273">
        <v>152832</v>
      </c>
      <c r="AB1273">
        <v>45686</v>
      </c>
      <c r="AC1273">
        <v>2.1596295000000001E-2</v>
      </c>
      <c r="AD1273">
        <v>0.84212384500000004</v>
      </c>
      <c r="AF1273">
        <v>16.830789469999999</v>
      </c>
      <c r="AG1273">
        <v>0</v>
      </c>
      <c r="AH1273">
        <v>1.9E-2</v>
      </c>
      <c r="AI1273">
        <v>0.94099999999999995</v>
      </c>
      <c r="AJ1273">
        <v>2.548636364</v>
      </c>
      <c r="AK1273">
        <v>14.022759260000001</v>
      </c>
      <c r="AL1273">
        <v>2.8000000000000001E-2</v>
      </c>
      <c r="AM1273">
        <v>0</v>
      </c>
      <c r="AN1273">
        <v>0.97199999999999998</v>
      </c>
    </row>
    <row r="1274" spans="1:40">
      <c r="A1274">
        <v>3342</v>
      </c>
      <c r="B1274" t="s">
        <v>705</v>
      </c>
      <c r="C1274" t="s">
        <v>696</v>
      </c>
      <c r="D1274" t="s">
        <v>697</v>
      </c>
      <c r="E1274">
        <v>120</v>
      </c>
      <c r="F1274">
        <v>414</v>
      </c>
      <c r="G1274">
        <v>819.51349049999999</v>
      </c>
      <c r="H1274">
        <v>897</v>
      </c>
      <c r="I1274" s="515">
        <v>1.2809777031866001</v>
      </c>
      <c r="J1274">
        <v>1311</v>
      </c>
      <c r="K1274">
        <v>1023.437017</v>
      </c>
      <c r="L1274">
        <v>0.97099999999999997</v>
      </c>
      <c r="M1274">
        <v>0.88200590000000001</v>
      </c>
      <c r="N1274">
        <v>0</v>
      </c>
      <c r="O1274" t="s">
        <v>625</v>
      </c>
      <c r="P1274">
        <f t="shared" si="173"/>
        <v>16.326815920000001</v>
      </c>
      <c r="Q1274">
        <f t="shared" si="174"/>
        <v>6.0000000000000001E-3</v>
      </c>
      <c r="R1274">
        <f t="shared" si="175"/>
        <v>6.0000000000000001E-3</v>
      </c>
      <c r="S1274">
        <f t="shared" si="176"/>
        <v>0.97099999999999997</v>
      </c>
      <c r="T1274">
        <f t="shared" si="177"/>
        <v>3.8174999999999999</v>
      </c>
      <c r="U1274">
        <f t="shared" si="178"/>
        <v>11.996443299999999</v>
      </c>
      <c r="V1274">
        <f t="shared" si="179"/>
        <v>1.9E-2</v>
      </c>
      <c r="W1274">
        <f t="shared" si="180"/>
        <v>1.9E-2</v>
      </c>
      <c r="X1274">
        <f t="shared" si="181"/>
        <v>0.95299999999999996</v>
      </c>
      <c r="Y1274">
        <v>12.849679480000001</v>
      </c>
      <c r="Z1274">
        <v>0</v>
      </c>
      <c r="AA1274">
        <v>152832</v>
      </c>
      <c r="AB1274">
        <v>45686</v>
      </c>
      <c r="AC1274">
        <v>2.1596295000000001E-2</v>
      </c>
      <c r="AD1274">
        <v>0.84212384500000004</v>
      </c>
      <c r="AF1274">
        <v>16.326815920000001</v>
      </c>
      <c r="AG1274">
        <v>6.0000000000000001E-3</v>
      </c>
      <c r="AH1274">
        <v>6.0000000000000001E-3</v>
      </c>
      <c r="AI1274">
        <v>0.97099999999999997</v>
      </c>
      <c r="AJ1274">
        <v>3.8174999999999999</v>
      </c>
      <c r="AK1274">
        <v>11.996443299999999</v>
      </c>
      <c r="AL1274">
        <v>1.9E-2</v>
      </c>
      <c r="AM1274">
        <v>1.9E-2</v>
      </c>
      <c r="AN1274">
        <v>0.95299999999999996</v>
      </c>
    </row>
    <row r="1275" spans="1:40">
      <c r="A1275">
        <v>3343</v>
      </c>
      <c r="B1275" t="s">
        <v>705</v>
      </c>
      <c r="C1275" t="s">
        <v>696</v>
      </c>
      <c r="D1275" t="s">
        <v>697</v>
      </c>
      <c r="E1275">
        <v>499</v>
      </c>
      <c r="F1275">
        <v>1837</v>
      </c>
      <c r="G1275">
        <v>433.04490500000003</v>
      </c>
      <c r="H1275">
        <v>1948</v>
      </c>
      <c r="I1275">
        <v>0.67690257799999998</v>
      </c>
      <c r="J1275">
        <v>3785</v>
      </c>
      <c r="K1275">
        <v>5591.6466019999998</v>
      </c>
      <c r="L1275">
        <v>0.90900000000000003</v>
      </c>
      <c r="M1275">
        <v>0.79607682899999999</v>
      </c>
      <c r="N1275">
        <v>0</v>
      </c>
      <c r="O1275" t="s">
        <v>620</v>
      </c>
      <c r="P1275">
        <f t="shared" si="173"/>
        <v>13.019581499999999</v>
      </c>
      <c r="Q1275">
        <f t="shared" si="174"/>
        <v>2.1999999999999999E-2</v>
      </c>
      <c r="R1275">
        <f t="shared" si="175"/>
        <v>1.2999999999999999E-2</v>
      </c>
      <c r="S1275">
        <f t="shared" si="176"/>
        <v>0.90900000000000003</v>
      </c>
      <c r="T1275">
        <f t="shared" si="177"/>
        <v>2.96</v>
      </c>
      <c r="U1275">
        <f t="shared" si="178"/>
        <v>8.6935908140000002</v>
      </c>
      <c r="V1275">
        <f t="shared" si="179"/>
        <v>3.3000000000000002E-2</v>
      </c>
      <c r="W1275">
        <f t="shared" si="180"/>
        <v>6.0999999999999999E-2</v>
      </c>
      <c r="X1275">
        <f t="shared" si="181"/>
        <v>0.88800000000000001</v>
      </c>
      <c r="Y1275">
        <v>12.88441942</v>
      </c>
      <c r="Z1275">
        <v>0</v>
      </c>
      <c r="AA1275">
        <v>152832</v>
      </c>
      <c r="AB1275">
        <v>45686</v>
      </c>
      <c r="AC1275">
        <v>2.1596295000000001E-2</v>
      </c>
      <c r="AD1275">
        <v>0.84212384500000004</v>
      </c>
      <c r="AF1275">
        <v>13.019581499999999</v>
      </c>
      <c r="AG1275">
        <v>2.1999999999999999E-2</v>
      </c>
      <c r="AH1275">
        <v>1.2999999999999999E-2</v>
      </c>
      <c r="AI1275">
        <v>0.90900000000000003</v>
      </c>
      <c r="AJ1275">
        <v>2.96</v>
      </c>
      <c r="AK1275">
        <v>8.6935908140000002</v>
      </c>
      <c r="AL1275">
        <v>3.3000000000000002E-2</v>
      </c>
      <c r="AM1275">
        <v>6.0999999999999999E-2</v>
      </c>
      <c r="AN1275">
        <v>0.88800000000000001</v>
      </c>
    </row>
    <row r="1276" spans="1:40">
      <c r="A1276">
        <v>3344</v>
      </c>
      <c r="B1276" t="s">
        <v>705</v>
      </c>
      <c r="C1276" t="s">
        <v>696</v>
      </c>
      <c r="D1276" t="s">
        <v>697</v>
      </c>
      <c r="E1276">
        <v>72</v>
      </c>
      <c r="F1276">
        <v>251</v>
      </c>
      <c r="G1276">
        <v>456.49229910000003</v>
      </c>
      <c r="H1276">
        <v>4611</v>
      </c>
      <c r="I1276">
        <v>0.71353143500000005</v>
      </c>
      <c r="J1276">
        <v>4862</v>
      </c>
      <c r="K1276">
        <v>6813.9955179999997</v>
      </c>
      <c r="L1276">
        <v>0.94099999999999995</v>
      </c>
      <c r="M1276">
        <v>0.98462523999999996</v>
      </c>
      <c r="N1276">
        <v>0</v>
      </c>
      <c r="O1276" t="s">
        <v>620</v>
      </c>
      <c r="P1276">
        <f t="shared" si="173"/>
        <v>14.868557559999999</v>
      </c>
      <c r="Q1276">
        <f t="shared" si="174"/>
        <v>4.0000000000000001E-3</v>
      </c>
      <c r="R1276">
        <f t="shared" si="175"/>
        <v>2.1999999999999999E-2</v>
      </c>
      <c r="S1276">
        <f t="shared" si="176"/>
        <v>0.94099999999999995</v>
      </c>
      <c r="T1276">
        <f t="shared" si="177"/>
        <v>3.1883333330000001</v>
      </c>
      <c r="U1276">
        <f t="shared" si="178"/>
        <v>11.24200978</v>
      </c>
      <c r="V1276">
        <f t="shared" si="179"/>
        <v>3.2000000000000001E-2</v>
      </c>
      <c r="W1276">
        <f t="shared" si="180"/>
        <v>1.2E-2</v>
      </c>
      <c r="X1276">
        <f t="shared" si="181"/>
        <v>0.95599999999999996</v>
      </c>
      <c r="Y1276">
        <v>12.88987053</v>
      </c>
      <c r="Z1276">
        <v>0</v>
      </c>
      <c r="AA1276">
        <v>152832</v>
      </c>
      <c r="AB1276">
        <v>45686</v>
      </c>
      <c r="AC1276">
        <v>2.1596295000000001E-2</v>
      </c>
      <c r="AD1276">
        <v>0.84212384500000004</v>
      </c>
      <c r="AF1276">
        <v>14.868557559999999</v>
      </c>
      <c r="AG1276">
        <v>4.0000000000000001E-3</v>
      </c>
      <c r="AH1276">
        <v>2.1999999999999999E-2</v>
      </c>
      <c r="AI1276">
        <v>0.94099999999999995</v>
      </c>
      <c r="AJ1276">
        <v>3.1883333330000001</v>
      </c>
      <c r="AK1276">
        <v>11.24200978</v>
      </c>
      <c r="AL1276">
        <v>3.2000000000000001E-2</v>
      </c>
      <c r="AM1276">
        <v>1.2E-2</v>
      </c>
      <c r="AN1276">
        <v>0.95599999999999996</v>
      </c>
    </row>
    <row r="1277" spans="1:40">
      <c r="A1277">
        <v>3345</v>
      </c>
      <c r="B1277" t="s">
        <v>705</v>
      </c>
      <c r="C1277" t="s">
        <v>696</v>
      </c>
      <c r="D1277" t="s">
        <v>697</v>
      </c>
      <c r="E1277">
        <v>165</v>
      </c>
      <c r="F1277">
        <v>581</v>
      </c>
      <c r="G1277">
        <v>592.24608239999998</v>
      </c>
      <c r="H1277">
        <v>2352</v>
      </c>
      <c r="I1277">
        <v>0.92574258700000001</v>
      </c>
      <c r="J1277">
        <v>2933</v>
      </c>
      <c r="K1277">
        <v>3168.2673359999999</v>
      </c>
      <c r="L1277">
        <v>0.88400000000000001</v>
      </c>
      <c r="M1277">
        <v>0.93444576899999998</v>
      </c>
      <c r="N1277">
        <v>0</v>
      </c>
      <c r="O1277" t="s">
        <v>620</v>
      </c>
      <c r="P1277">
        <f t="shared" si="173"/>
        <v>13.157500000000001</v>
      </c>
      <c r="Q1277">
        <f t="shared" si="174"/>
        <v>1.4999999999999999E-2</v>
      </c>
      <c r="R1277">
        <f t="shared" si="175"/>
        <v>2.1000000000000001E-2</v>
      </c>
      <c r="S1277">
        <f t="shared" si="176"/>
        <v>0.88400000000000001</v>
      </c>
      <c r="T1277">
        <f t="shared" si="177"/>
        <v>2.4558</v>
      </c>
      <c r="U1277">
        <f t="shared" si="178"/>
        <v>7.591141618</v>
      </c>
      <c r="V1277">
        <f t="shared" si="179"/>
        <v>4.8000000000000001E-2</v>
      </c>
      <c r="W1277">
        <f t="shared" si="180"/>
        <v>0.04</v>
      </c>
      <c r="X1277">
        <f t="shared" si="181"/>
        <v>0.89900000000000002</v>
      </c>
      <c r="Y1277">
        <v>13.38229812</v>
      </c>
      <c r="Z1277">
        <v>0</v>
      </c>
      <c r="AA1277">
        <v>152832</v>
      </c>
      <c r="AB1277">
        <v>45686</v>
      </c>
      <c r="AC1277">
        <v>2.1596295000000001E-2</v>
      </c>
      <c r="AD1277">
        <v>0.84212384500000004</v>
      </c>
      <c r="AF1277">
        <v>13.157500000000001</v>
      </c>
      <c r="AG1277">
        <v>1.4999999999999999E-2</v>
      </c>
      <c r="AH1277">
        <v>2.1000000000000001E-2</v>
      </c>
      <c r="AI1277">
        <v>0.88400000000000001</v>
      </c>
      <c r="AJ1277">
        <v>2.4558</v>
      </c>
      <c r="AK1277">
        <v>7.591141618</v>
      </c>
      <c r="AL1277">
        <v>4.8000000000000001E-2</v>
      </c>
      <c r="AM1277">
        <v>0.04</v>
      </c>
      <c r="AN1277">
        <v>0.89900000000000002</v>
      </c>
    </row>
    <row r="1278" spans="1:40">
      <c r="A1278">
        <v>3346</v>
      </c>
      <c r="B1278" t="s">
        <v>705</v>
      </c>
      <c r="C1278" t="s">
        <v>696</v>
      </c>
      <c r="D1278" t="s">
        <v>697</v>
      </c>
      <c r="E1278">
        <v>29</v>
      </c>
      <c r="F1278">
        <v>102</v>
      </c>
      <c r="G1278">
        <v>107.3653758</v>
      </c>
      <c r="H1278">
        <v>281</v>
      </c>
      <c r="I1278">
        <v>0.16781357699999999</v>
      </c>
      <c r="J1278">
        <v>383</v>
      </c>
      <c r="K1278">
        <v>2282.2944769999999</v>
      </c>
      <c r="L1278">
        <v>0.91600000000000004</v>
      </c>
      <c r="M1278">
        <v>0.90645161299999999</v>
      </c>
      <c r="N1278">
        <v>0</v>
      </c>
      <c r="O1278" t="s">
        <v>620</v>
      </c>
      <c r="P1278">
        <f t="shared" si="173"/>
        <v>14.3</v>
      </c>
      <c r="Q1278">
        <f t="shared" si="174"/>
        <v>2.4E-2</v>
      </c>
      <c r="R1278">
        <f t="shared" si="175"/>
        <v>2.4E-2</v>
      </c>
      <c r="S1278">
        <f t="shared" si="176"/>
        <v>0.91600000000000004</v>
      </c>
      <c r="T1278">
        <f t="shared" si="177"/>
        <v>2.74</v>
      </c>
      <c r="U1278">
        <f t="shared" si="178"/>
        <v>9.6872297300000003</v>
      </c>
      <c r="V1278">
        <f t="shared" si="179"/>
        <v>6.9000000000000006E-2</v>
      </c>
      <c r="W1278">
        <f t="shared" si="180"/>
        <v>3.4000000000000002E-2</v>
      </c>
      <c r="X1278">
        <f t="shared" si="181"/>
        <v>0.89700000000000002</v>
      </c>
      <c r="Y1278">
        <v>12.845485610000001</v>
      </c>
      <c r="Z1278">
        <v>0</v>
      </c>
      <c r="AA1278">
        <v>152832</v>
      </c>
      <c r="AB1278">
        <v>45686</v>
      </c>
      <c r="AC1278">
        <v>2.1596295000000001E-2</v>
      </c>
      <c r="AD1278">
        <v>0.84212384500000004</v>
      </c>
      <c r="AF1278">
        <v>14.3</v>
      </c>
      <c r="AG1278">
        <v>2.4E-2</v>
      </c>
      <c r="AH1278">
        <v>2.4E-2</v>
      </c>
      <c r="AI1278">
        <v>0.91600000000000004</v>
      </c>
      <c r="AJ1278">
        <v>2.74</v>
      </c>
      <c r="AK1278">
        <v>9.6872297300000003</v>
      </c>
      <c r="AL1278">
        <v>6.9000000000000006E-2</v>
      </c>
      <c r="AM1278">
        <v>3.4000000000000002E-2</v>
      </c>
      <c r="AN1278">
        <v>0.89700000000000002</v>
      </c>
    </row>
    <row r="1279" spans="1:40">
      <c r="A1279">
        <v>3347</v>
      </c>
      <c r="B1279" t="s">
        <v>705</v>
      </c>
      <c r="C1279" t="s">
        <v>696</v>
      </c>
      <c r="D1279" t="s">
        <v>697</v>
      </c>
      <c r="E1279">
        <v>334</v>
      </c>
      <c r="F1279">
        <v>1127</v>
      </c>
      <c r="G1279">
        <v>118.2578233</v>
      </c>
      <c r="H1279">
        <v>631</v>
      </c>
      <c r="I1279">
        <v>0.18485358599999999</v>
      </c>
      <c r="J1279">
        <v>1758</v>
      </c>
      <c r="K1279">
        <v>9510.2293549999995</v>
      </c>
      <c r="L1279">
        <v>0.82499999999999996</v>
      </c>
      <c r="M1279">
        <v>0.65388601000000002</v>
      </c>
      <c r="N1279">
        <v>0</v>
      </c>
      <c r="O1279" t="s">
        <v>620</v>
      </c>
      <c r="P1279">
        <f t="shared" si="173"/>
        <v>12.662679430000001</v>
      </c>
      <c r="Q1279">
        <f t="shared" si="174"/>
        <v>3.4000000000000002E-2</v>
      </c>
      <c r="R1279">
        <f t="shared" si="175"/>
        <v>1.6E-2</v>
      </c>
      <c r="S1279">
        <f t="shared" si="176"/>
        <v>0.82499999999999996</v>
      </c>
      <c r="T1279">
        <f t="shared" si="177"/>
        <v>2.3470588239999999</v>
      </c>
      <c r="U1279">
        <f t="shared" si="178"/>
        <v>7.5023356010000004</v>
      </c>
      <c r="V1279">
        <f t="shared" si="179"/>
        <v>0.02</v>
      </c>
      <c r="W1279">
        <f t="shared" si="180"/>
        <v>0.105</v>
      </c>
      <c r="X1279">
        <f t="shared" si="181"/>
        <v>0.84299999999999997</v>
      </c>
      <c r="Y1279">
        <v>46.706187569999997</v>
      </c>
      <c r="Z1279">
        <v>0</v>
      </c>
      <c r="AA1279">
        <v>152832</v>
      </c>
      <c r="AB1279">
        <v>45686</v>
      </c>
      <c r="AC1279">
        <v>2.1596295000000001E-2</v>
      </c>
      <c r="AD1279">
        <v>0.84212384500000004</v>
      </c>
      <c r="AF1279">
        <v>12.662679430000001</v>
      </c>
      <c r="AG1279">
        <v>3.4000000000000002E-2</v>
      </c>
      <c r="AH1279">
        <v>1.6E-2</v>
      </c>
      <c r="AI1279">
        <v>0.82499999999999996</v>
      </c>
      <c r="AJ1279">
        <v>2.3470588239999999</v>
      </c>
      <c r="AK1279">
        <v>7.5023356010000004</v>
      </c>
      <c r="AL1279">
        <v>0.02</v>
      </c>
      <c r="AM1279">
        <v>0.105</v>
      </c>
      <c r="AN1279">
        <v>0.84299999999999997</v>
      </c>
    </row>
    <row r="1280" spans="1:40">
      <c r="A1280">
        <v>3348</v>
      </c>
      <c r="B1280" t="s">
        <v>705</v>
      </c>
      <c r="C1280" t="s">
        <v>696</v>
      </c>
      <c r="D1280" t="s">
        <v>697</v>
      </c>
      <c r="E1280">
        <v>370</v>
      </c>
      <c r="F1280">
        <v>1350</v>
      </c>
      <c r="G1280">
        <v>83.240115669999994</v>
      </c>
      <c r="H1280">
        <v>241</v>
      </c>
      <c r="I1280">
        <v>0.13010887300000001</v>
      </c>
      <c r="J1280">
        <v>1591</v>
      </c>
      <c r="K1280">
        <v>12228.220590000001</v>
      </c>
      <c r="L1280">
        <v>0.8</v>
      </c>
      <c r="M1280">
        <v>0.39443535200000002</v>
      </c>
      <c r="N1280">
        <v>0</v>
      </c>
      <c r="O1280" t="s">
        <v>613</v>
      </c>
      <c r="P1280">
        <f t="shared" si="173"/>
        <v>12.23082707</v>
      </c>
      <c r="Q1280">
        <f t="shared" si="174"/>
        <v>3.6999999999999998E-2</v>
      </c>
      <c r="R1280">
        <f t="shared" si="175"/>
        <v>2.9000000000000001E-2</v>
      </c>
      <c r="S1280">
        <f t="shared" si="176"/>
        <v>0.8</v>
      </c>
      <c r="T1280">
        <f t="shared" si="177"/>
        <v>1.65</v>
      </c>
      <c r="U1280">
        <f t="shared" si="178"/>
        <v>6.7377216750000004</v>
      </c>
      <c r="V1280">
        <f t="shared" si="179"/>
        <v>5.2999999999999999E-2</v>
      </c>
      <c r="W1280">
        <f t="shared" si="180"/>
        <v>0.124</v>
      </c>
      <c r="X1280">
        <f t="shared" si="181"/>
        <v>0.78200000000000003</v>
      </c>
      <c r="Y1280">
        <v>129.01657560000001</v>
      </c>
      <c r="Z1280">
        <v>0</v>
      </c>
      <c r="AA1280">
        <v>152832</v>
      </c>
      <c r="AB1280">
        <v>45686</v>
      </c>
      <c r="AC1280">
        <v>2.1596295000000001E-2</v>
      </c>
      <c r="AD1280">
        <v>0.84212384500000004</v>
      </c>
      <c r="AF1280">
        <v>12.23082707</v>
      </c>
      <c r="AG1280">
        <v>3.6999999999999998E-2</v>
      </c>
      <c r="AH1280">
        <v>2.9000000000000001E-2</v>
      </c>
      <c r="AI1280">
        <v>0.8</v>
      </c>
      <c r="AJ1280">
        <v>1.65</v>
      </c>
      <c r="AK1280">
        <v>6.7377216750000004</v>
      </c>
      <c r="AL1280">
        <v>5.2999999999999999E-2</v>
      </c>
      <c r="AM1280">
        <v>0.124</v>
      </c>
      <c r="AN1280">
        <v>0.78200000000000003</v>
      </c>
    </row>
    <row r="1281" spans="1:40">
      <c r="A1281">
        <v>3349</v>
      </c>
      <c r="B1281" t="s">
        <v>705</v>
      </c>
      <c r="C1281" t="s">
        <v>696</v>
      </c>
      <c r="D1281" t="s">
        <v>697</v>
      </c>
      <c r="E1281">
        <v>368</v>
      </c>
      <c r="F1281">
        <v>1518</v>
      </c>
      <c r="G1281">
        <v>88.134038160000003</v>
      </c>
      <c r="H1281">
        <v>389</v>
      </c>
      <c r="I1281">
        <v>0.13776218100000001</v>
      </c>
      <c r="J1281">
        <v>1907</v>
      </c>
      <c r="K1281">
        <v>13842.69606</v>
      </c>
      <c r="L1281">
        <v>0.81299999999999994</v>
      </c>
      <c r="M1281">
        <v>0.51387054200000004</v>
      </c>
      <c r="N1281">
        <v>0</v>
      </c>
      <c r="O1281" t="s">
        <v>613</v>
      </c>
      <c r="P1281">
        <f t="shared" si="173"/>
        <v>15.023686870000001</v>
      </c>
      <c r="Q1281">
        <f t="shared" si="174"/>
        <v>2.5999999999999999E-2</v>
      </c>
      <c r="R1281">
        <f t="shared" si="175"/>
        <v>2.5999999999999999E-2</v>
      </c>
      <c r="S1281">
        <f t="shared" si="176"/>
        <v>0.81299999999999994</v>
      </c>
      <c r="T1281">
        <f t="shared" si="177"/>
        <v>1.63952381</v>
      </c>
      <c r="U1281">
        <f t="shared" si="178"/>
        <v>7.3265301389999999</v>
      </c>
      <c r="V1281">
        <f t="shared" si="179"/>
        <v>3.6999999999999998E-2</v>
      </c>
      <c r="W1281">
        <f t="shared" si="180"/>
        <v>0.107</v>
      </c>
      <c r="X1281">
        <f t="shared" si="181"/>
        <v>0.81799999999999995</v>
      </c>
      <c r="Y1281">
        <v>121.26061249999999</v>
      </c>
      <c r="Z1281">
        <v>0</v>
      </c>
      <c r="AA1281">
        <v>152832</v>
      </c>
      <c r="AB1281">
        <v>45686</v>
      </c>
      <c r="AC1281">
        <v>2.1596295000000001E-2</v>
      </c>
      <c r="AD1281">
        <v>0.84212384500000004</v>
      </c>
      <c r="AF1281">
        <v>15.023686870000001</v>
      </c>
      <c r="AG1281">
        <v>2.5999999999999999E-2</v>
      </c>
      <c r="AH1281">
        <v>2.5999999999999999E-2</v>
      </c>
      <c r="AI1281">
        <v>0.81299999999999994</v>
      </c>
      <c r="AJ1281">
        <v>1.63952381</v>
      </c>
      <c r="AK1281">
        <v>7.3265301389999999</v>
      </c>
      <c r="AL1281">
        <v>3.6999999999999998E-2</v>
      </c>
      <c r="AM1281">
        <v>0.107</v>
      </c>
      <c r="AN1281">
        <v>0.81799999999999995</v>
      </c>
    </row>
    <row r="1282" spans="1:40">
      <c r="A1282">
        <v>3350</v>
      </c>
      <c r="B1282" t="s">
        <v>705</v>
      </c>
      <c r="C1282" t="s">
        <v>696</v>
      </c>
      <c r="D1282" t="s">
        <v>697</v>
      </c>
      <c r="E1282">
        <v>4</v>
      </c>
      <c r="F1282">
        <v>15</v>
      </c>
      <c r="G1282">
        <v>17.291086929999999</v>
      </c>
      <c r="H1282">
        <v>0</v>
      </c>
      <c r="I1282">
        <v>2.7028753999999999E-2</v>
      </c>
      <c r="J1282">
        <v>15</v>
      </c>
      <c r="K1282">
        <v>554.96453889999998</v>
      </c>
      <c r="L1282" s="515">
        <v>1</v>
      </c>
      <c r="M1282">
        <v>0</v>
      </c>
      <c r="N1282">
        <v>1</v>
      </c>
      <c r="O1282" t="s">
        <v>620</v>
      </c>
      <c r="P1282">
        <f t="shared" si="173"/>
        <v>12.968881462528557</v>
      </c>
      <c r="Q1282">
        <f t="shared" si="174"/>
        <v>2.4977443609022529E-2</v>
      </c>
      <c r="R1282">
        <f t="shared" si="175"/>
        <v>2.1978417266187024E-2</v>
      </c>
      <c r="S1282">
        <f t="shared" si="176"/>
        <v>1</v>
      </c>
      <c r="T1282">
        <f t="shared" si="177"/>
        <v>2.2261777137338119</v>
      </c>
      <c r="U1282">
        <f t="shared" si="178"/>
        <v>4.1675000000000004</v>
      </c>
      <c r="V1282">
        <f t="shared" si="179"/>
        <v>3.8837398373983721E-2</v>
      </c>
      <c r="W1282">
        <f t="shared" si="180"/>
        <v>8.6720930232558141E-2</v>
      </c>
      <c r="X1282">
        <f t="shared" si="181"/>
        <v>0.85892142857142817</v>
      </c>
      <c r="Y1282">
        <v>168.25488530000001</v>
      </c>
      <c r="Z1282">
        <v>0</v>
      </c>
      <c r="AA1282">
        <v>152832</v>
      </c>
      <c r="AB1282">
        <v>45686</v>
      </c>
      <c r="AC1282">
        <v>2.1596295000000001E-2</v>
      </c>
      <c r="AD1282">
        <v>0.84212384500000004</v>
      </c>
      <c r="AG1282">
        <v>0</v>
      </c>
      <c r="AH1282">
        <v>0</v>
      </c>
      <c r="AI1282">
        <v>1</v>
      </c>
      <c r="AK1282">
        <v>4.1675000000000004</v>
      </c>
    </row>
    <row r="1283" spans="1:40">
      <c r="A1283">
        <v>3351</v>
      </c>
      <c r="B1283" t="s">
        <v>703</v>
      </c>
      <c r="C1283" t="s">
        <v>696</v>
      </c>
      <c r="D1283" t="s">
        <v>697</v>
      </c>
      <c r="E1283">
        <v>368</v>
      </c>
      <c r="F1283">
        <v>1177</v>
      </c>
      <c r="G1283">
        <v>76.723474769999996</v>
      </c>
      <c r="H1283">
        <v>0</v>
      </c>
      <c r="I1283">
        <v>0.119923427</v>
      </c>
      <c r="J1283">
        <v>1177</v>
      </c>
      <c r="K1283">
        <v>9814.5961090000001</v>
      </c>
      <c r="L1283">
        <v>0.84799999999999998</v>
      </c>
      <c r="M1283">
        <v>0</v>
      </c>
      <c r="N1283">
        <v>0</v>
      </c>
      <c r="O1283" t="s">
        <v>620</v>
      </c>
      <c r="P1283">
        <f t="shared" si="173"/>
        <v>14.691153849999999</v>
      </c>
      <c r="Q1283">
        <f t="shared" si="174"/>
        <v>2.1000000000000001E-2</v>
      </c>
      <c r="R1283">
        <f t="shared" si="175"/>
        <v>3.1E-2</v>
      </c>
      <c r="S1283">
        <f t="shared" si="176"/>
        <v>0.84799999999999998</v>
      </c>
      <c r="T1283">
        <f t="shared" si="177"/>
        <v>2.646315789</v>
      </c>
      <c r="U1283">
        <f t="shared" si="178"/>
        <v>7.9944375000000001</v>
      </c>
      <c r="V1283">
        <f t="shared" si="179"/>
        <v>2.5999999999999999E-2</v>
      </c>
      <c r="W1283">
        <f t="shared" si="180"/>
        <v>8.5000000000000006E-2</v>
      </c>
      <c r="X1283">
        <f t="shared" si="181"/>
        <v>0.88900000000000001</v>
      </c>
      <c r="Y1283">
        <v>36.184935420000002</v>
      </c>
      <c r="Z1283">
        <v>0</v>
      </c>
      <c r="AA1283">
        <v>27567</v>
      </c>
      <c r="AB1283">
        <v>8371</v>
      </c>
      <c r="AC1283">
        <v>2.6639960000000001E-2</v>
      </c>
      <c r="AD1283">
        <v>0.83875813700000001</v>
      </c>
      <c r="AF1283">
        <v>14.691153849999999</v>
      </c>
      <c r="AG1283">
        <v>2.1000000000000001E-2</v>
      </c>
      <c r="AH1283">
        <v>3.1E-2</v>
      </c>
      <c r="AI1283">
        <v>0.84799999999999998</v>
      </c>
      <c r="AJ1283">
        <v>2.646315789</v>
      </c>
      <c r="AK1283">
        <v>7.9944375000000001</v>
      </c>
      <c r="AL1283">
        <v>2.5999999999999999E-2</v>
      </c>
      <c r="AM1283">
        <v>8.5000000000000006E-2</v>
      </c>
      <c r="AN1283">
        <v>0.88900000000000001</v>
      </c>
    </row>
    <row r="1284" spans="1:40">
      <c r="A1284">
        <v>3352</v>
      </c>
      <c r="B1284" t="s">
        <v>705</v>
      </c>
      <c r="C1284" t="s">
        <v>696</v>
      </c>
      <c r="D1284" t="s">
        <v>697</v>
      </c>
      <c r="E1284">
        <v>931</v>
      </c>
      <c r="F1284">
        <v>2771</v>
      </c>
      <c r="G1284">
        <v>3395.6634869999998</v>
      </c>
      <c r="H1284">
        <v>509</v>
      </c>
      <c r="I1284" s="515">
        <v>5.3077717929999997</v>
      </c>
      <c r="J1284">
        <v>3280</v>
      </c>
      <c r="K1284">
        <v>617.96176030000004</v>
      </c>
      <c r="L1284">
        <v>0.86699999999999999</v>
      </c>
      <c r="M1284">
        <v>0.353472222</v>
      </c>
      <c r="N1284">
        <v>0</v>
      </c>
      <c r="O1284" t="s">
        <v>625</v>
      </c>
      <c r="P1284">
        <f t="shared" si="173"/>
        <v>16.899736839999999</v>
      </c>
      <c r="Q1284">
        <f t="shared" si="174"/>
        <v>6.0000000000000001E-3</v>
      </c>
      <c r="R1284">
        <f t="shared" si="175"/>
        <v>1.4999999999999999E-2</v>
      </c>
      <c r="S1284">
        <f t="shared" si="176"/>
        <v>0.86699999999999999</v>
      </c>
      <c r="T1284">
        <f t="shared" si="177"/>
        <v>1.818076923</v>
      </c>
      <c r="U1284">
        <f t="shared" si="178"/>
        <v>12.331563360000001</v>
      </c>
      <c r="V1284">
        <f t="shared" si="179"/>
        <v>8.0000000000000002E-3</v>
      </c>
      <c r="W1284">
        <f t="shared" si="180"/>
        <v>2.8000000000000001E-2</v>
      </c>
      <c r="X1284">
        <f t="shared" si="181"/>
        <v>0.95799999999999996</v>
      </c>
      <c r="Y1284">
        <v>4.9478462050000003</v>
      </c>
      <c r="Z1284">
        <v>0</v>
      </c>
      <c r="AA1284">
        <v>152832</v>
      </c>
      <c r="AB1284">
        <v>45686</v>
      </c>
      <c r="AC1284">
        <v>2.1596295000000001E-2</v>
      </c>
      <c r="AD1284">
        <v>0.84212384500000004</v>
      </c>
      <c r="AF1284">
        <v>16.899736839999999</v>
      </c>
      <c r="AG1284">
        <v>6.0000000000000001E-3</v>
      </c>
      <c r="AH1284">
        <v>1.4999999999999999E-2</v>
      </c>
      <c r="AI1284">
        <v>0.86699999999999999</v>
      </c>
      <c r="AJ1284">
        <v>1.818076923</v>
      </c>
      <c r="AK1284">
        <v>12.331563360000001</v>
      </c>
      <c r="AL1284">
        <v>8.0000000000000002E-3</v>
      </c>
      <c r="AM1284">
        <v>2.8000000000000001E-2</v>
      </c>
      <c r="AN1284">
        <v>0.95799999999999996</v>
      </c>
    </row>
    <row r="1285" spans="1:40">
      <c r="A1285">
        <v>3353</v>
      </c>
      <c r="B1285" t="s">
        <v>705</v>
      </c>
      <c r="C1285" t="s">
        <v>696</v>
      </c>
      <c r="D1285" t="s">
        <v>697</v>
      </c>
      <c r="E1285">
        <v>0</v>
      </c>
      <c r="F1285">
        <v>0</v>
      </c>
      <c r="G1285">
        <v>270.4884639</v>
      </c>
      <c r="H1285">
        <v>0</v>
      </c>
      <c r="I1285">
        <v>0.42280176899999999</v>
      </c>
      <c r="J1285">
        <v>0</v>
      </c>
      <c r="K1285">
        <v>0</v>
      </c>
      <c r="L1285"/>
      <c r="M1285">
        <v>0</v>
      </c>
      <c r="N1285">
        <v>0</v>
      </c>
      <c r="O1285" t="s">
        <v>625</v>
      </c>
      <c r="P1285">
        <f t="shared" si="173"/>
        <v>12.968881462528557</v>
      </c>
      <c r="Q1285">
        <f t="shared" si="174"/>
        <v>2.4977443609022529E-2</v>
      </c>
      <c r="R1285">
        <f t="shared" si="175"/>
        <v>2.1978417266187024E-2</v>
      </c>
      <c r="S1285">
        <f t="shared" si="176"/>
        <v>0.83670422535211275</v>
      </c>
      <c r="T1285">
        <f t="shared" si="177"/>
        <v>2.2261777137338119</v>
      </c>
      <c r="U1285">
        <f t="shared" si="178"/>
        <v>7.4220575318662005</v>
      </c>
      <c r="V1285">
        <f t="shared" si="179"/>
        <v>3.8837398373983721E-2</v>
      </c>
      <c r="W1285">
        <f t="shared" si="180"/>
        <v>8.6720930232558141E-2</v>
      </c>
      <c r="X1285">
        <f t="shared" si="181"/>
        <v>0.85892142857142817</v>
      </c>
      <c r="Y1285">
        <v>26.660267260000001</v>
      </c>
      <c r="Z1285">
        <v>0</v>
      </c>
      <c r="AA1285">
        <v>152832</v>
      </c>
      <c r="AB1285">
        <v>45686</v>
      </c>
      <c r="AC1285">
        <v>2.1596295000000001E-2</v>
      </c>
      <c r="AD1285">
        <v>0.84212384500000004</v>
      </c>
    </row>
    <row r="1286" spans="1:40">
      <c r="A1286">
        <v>3354</v>
      </c>
      <c r="B1286" t="s">
        <v>705</v>
      </c>
      <c r="C1286" t="s">
        <v>696</v>
      </c>
      <c r="D1286" t="s">
        <v>697</v>
      </c>
      <c r="E1286">
        <v>206</v>
      </c>
      <c r="F1286">
        <v>667</v>
      </c>
      <c r="G1286">
        <v>57.196108029999998</v>
      </c>
      <c r="H1286">
        <v>96</v>
      </c>
      <c r="I1286">
        <v>8.9402289999999995E-2</v>
      </c>
      <c r="J1286">
        <v>763</v>
      </c>
      <c r="K1286">
        <v>8534.4570029999995</v>
      </c>
      <c r="L1286">
        <v>0.83499999999999996</v>
      </c>
      <c r="M1286">
        <v>0.31788079499999999</v>
      </c>
      <c r="N1286">
        <v>1</v>
      </c>
      <c r="O1286" t="s">
        <v>620</v>
      </c>
      <c r="P1286">
        <f t="shared" si="173"/>
        <v>9.6949122810000006</v>
      </c>
      <c r="Q1286">
        <f t="shared" si="174"/>
        <v>2.1999999999999999E-2</v>
      </c>
      <c r="R1286">
        <f t="shared" si="175"/>
        <v>1.2999999999999999E-2</v>
      </c>
      <c r="S1286">
        <f t="shared" si="176"/>
        <v>0.83499999999999996</v>
      </c>
      <c r="T1286">
        <f t="shared" si="177"/>
        <v>1.97</v>
      </c>
      <c r="U1286">
        <f t="shared" si="178"/>
        <v>5.6766849319999997</v>
      </c>
      <c r="V1286">
        <f t="shared" si="179"/>
        <v>3.8837398373983721E-2</v>
      </c>
      <c r="W1286">
        <f t="shared" si="180"/>
        <v>7.5999999999999998E-2</v>
      </c>
      <c r="X1286">
        <f t="shared" si="181"/>
        <v>0.86399999999999999</v>
      </c>
      <c r="Y1286">
        <v>157.3497911</v>
      </c>
      <c r="Z1286">
        <v>0</v>
      </c>
      <c r="AA1286">
        <v>152832</v>
      </c>
      <c r="AB1286">
        <v>45686</v>
      </c>
      <c r="AC1286">
        <v>2.1596295000000001E-2</v>
      </c>
      <c r="AD1286">
        <v>0.84212384500000004</v>
      </c>
      <c r="AF1286">
        <v>9.6949122810000006</v>
      </c>
      <c r="AG1286">
        <v>2.1999999999999999E-2</v>
      </c>
      <c r="AH1286">
        <v>1.2999999999999999E-2</v>
      </c>
      <c r="AI1286">
        <v>0.83499999999999996</v>
      </c>
      <c r="AJ1286">
        <v>1.97</v>
      </c>
      <c r="AK1286">
        <v>5.6766849319999997</v>
      </c>
      <c r="AL1286">
        <v>0</v>
      </c>
      <c r="AM1286">
        <v>7.5999999999999998E-2</v>
      </c>
      <c r="AN1286">
        <v>0.86399999999999999</v>
      </c>
    </row>
    <row r="1287" spans="1:40">
      <c r="A1287">
        <v>3355</v>
      </c>
      <c r="B1287" t="s">
        <v>705</v>
      </c>
      <c r="C1287" t="s">
        <v>696</v>
      </c>
      <c r="D1287" t="s">
        <v>697</v>
      </c>
      <c r="E1287">
        <v>579</v>
      </c>
      <c r="F1287">
        <v>1681</v>
      </c>
      <c r="G1287">
        <v>50.682150649999997</v>
      </c>
      <c r="H1287">
        <v>56</v>
      </c>
      <c r="I1287">
        <v>7.9220984999999994E-2</v>
      </c>
      <c r="J1287">
        <v>1737</v>
      </c>
      <c r="K1287">
        <v>21926.008620000001</v>
      </c>
      <c r="L1287">
        <v>0.77600000000000002</v>
      </c>
      <c r="M1287">
        <v>8.8188976000000002E-2</v>
      </c>
      <c r="N1287">
        <v>1</v>
      </c>
      <c r="O1287" t="s">
        <v>620</v>
      </c>
      <c r="P1287">
        <f t="shared" si="173"/>
        <v>14.07949438</v>
      </c>
      <c r="Q1287">
        <f t="shared" si="174"/>
        <v>5.8000000000000003E-2</v>
      </c>
      <c r="R1287">
        <f t="shared" si="175"/>
        <v>1.7999999999999999E-2</v>
      </c>
      <c r="S1287">
        <f t="shared" si="176"/>
        <v>0.77600000000000002</v>
      </c>
      <c r="T1287">
        <f t="shared" si="177"/>
        <v>2.4772727269999999</v>
      </c>
      <c r="U1287">
        <f t="shared" si="178"/>
        <v>7.2145591649999998</v>
      </c>
      <c r="V1287">
        <f t="shared" si="179"/>
        <v>1.2999999999999999E-2</v>
      </c>
      <c r="W1287">
        <f t="shared" si="180"/>
        <v>0.192</v>
      </c>
      <c r="X1287">
        <f t="shared" si="181"/>
        <v>0.79500000000000004</v>
      </c>
      <c r="Y1287">
        <v>70.118450629999998</v>
      </c>
      <c r="Z1287">
        <v>0</v>
      </c>
      <c r="AA1287">
        <v>152832</v>
      </c>
      <c r="AB1287">
        <v>45686</v>
      </c>
      <c r="AC1287">
        <v>2.1596295000000001E-2</v>
      </c>
      <c r="AD1287">
        <v>0.84212384500000004</v>
      </c>
      <c r="AF1287">
        <v>14.07949438</v>
      </c>
      <c r="AG1287">
        <v>5.8000000000000003E-2</v>
      </c>
      <c r="AH1287">
        <v>1.7999999999999999E-2</v>
      </c>
      <c r="AI1287">
        <v>0.77600000000000002</v>
      </c>
      <c r="AJ1287">
        <v>2.4772727269999999</v>
      </c>
      <c r="AK1287">
        <v>7.2145591649999998</v>
      </c>
      <c r="AL1287">
        <v>1.2999999999999999E-2</v>
      </c>
      <c r="AM1287">
        <v>0.192</v>
      </c>
      <c r="AN1287">
        <v>0.79500000000000004</v>
      </c>
    </row>
    <row r="1288" spans="1:40">
      <c r="A1288">
        <v>3356</v>
      </c>
      <c r="B1288" t="s">
        <v>705</v>
      </c>
      <c r="C1288" t="s">
        <v>696</v>
      </c>
      <c r="D1288" t="s">
        <v>697</v>
      </c>
      <c r="E1288">
        <v>0</v>
      </c>
      <c r="F1288">
        <v>0</v>
      </c>
      <c r="G1288">
        <v>92.835442369999996</v>
      </c>
      <c r="H1288">
        <v>154</v>
      </c>
      <c r="I1288">
        <v>0.14511210099999999</v>
      </c>
      <c r="J1288">
        <v>154</v>
      </c>
      <c r="K1288">
        <v>1061.248503</v>
      </c>
      <c r="L1288">
        <v>0.95</v>
      </c>
      <c r="M1288" s="515">
        <v>1</v>
      </c>
      <c r="N1288">
        <v>0</v>
      </c>
      <c r="O1288" t="s">
        <v>620</v>
      </c>
      <c r="P1288">
        <f t="shared" si="173"/>
        <v>7.0421052629999998</v>
      </c>
      <c r="Q1288">
        <f t="shared" si="174"/>
        <v>2.4977443609022529E-2</v>
      </c>
      <c r="R1288">
        <f t="shared" si="175"/>
        <v>0.02</v>
      </c>
      <c r="S1288">
        <f t="shared" si="176"/>
        <v>0.95</v>
      </c>
      <c r="T1288">
        <f t="shared" si="177"/>
        <v>1.32</v>
      </c>
      <c r="U1288">
        <f t="shared" si="178"/>
        <v>6.9157222220000003</v>
      </c>
      <c r="V1288">
        <f t="shared" si="179"/>
        <v>9.5000000000000001E-2</v>
      </c>
      <c r="W1288">
        <f t="shared" si="180"/>
        <v>8.6720930232558141E-2</v>
      </c>
      <c r="X1288">
        <f t="shared" si="181"/>
        <v>0.90500000000000003</v>
      </c>
      <c r="Y1288">
        <v>34.124902859999999</v>
      </c>
      <c r="Z1288">
        <v>0</v>
      </c>
      <c r="AA1288">
        <v>152832</v>
      </c>
      <c r="AB1288">
        <v>45686</v>
      </c>
      <c r="AC1288">
        <v>2.1596295000000001E-2</v>
      </c>
      <c r="AD1288">
        <v>0.84212384500000004</v>
      </c>
      <c r="AF1288">
        <v>7.0421052629999998</v>
      </c>
      <c r="AG1288">
        <v>0</v>
      </c>
      <c r="AH1288">
        <v>0.02</v>
      </c>
      <c r="AI1288">
        <v>0.95</v>
      </c>
      <c r="AJ1288">
        <v>1.32</v>
      </c>
      <c r="AK1288">
        <v>6.9157222220000003</v>
      </c>
      <c r="AL1288">
        <v>9.5000000000000001E-2</v>
      </c>
      <c r="AM1288">
        <v>0</v>
      </c>
      <c r="AN1288">
        <v>0.90500000000000003</v>
      </c>
    </row>
    <row r="1289" spans="1:40">
      <c r="A1289">
        <v>3357</v>
      </c>
      <c r="B1289" t="s">
        <v>705</v>
      </c>
      <c r="C1289" t="s">
        <v>696</v>
      </c>
      <c r="D1289" t="s">
        <v>697</v>
      </c>
      <c r="E1289">
        <v>619</v>
      </c>
      <c r="F1289">
        <v>1971</v>
      </c>
      <c r="G1289">
        <v>146.76303429999999</v>
      </c>
      <c r="H1289">
        <v>271</v>
      </c>
      <c r="I1289">
        <v>0.22940213400000001</v>
      </c>
      <c r="J1289">
        <v>2242</v>
      </c>
      <c r="K1289">
        <v>9773.2307930000006</v>
      </c>
      <c r="L1289">
        <v>0.86599999999999999</v>
      </c>
      <c r="M1289">
        <v>0.30449438200000001</v>
      </c>
      <c r="N1289">
        <v>0</v>
      </c>
      <c r="O1289" t="s">
        <v>620</v>
      </c>
      <c r="P1289">
        <f t="shared" si="173"/>
        <v>12.702252250000001</v>
      </c>
      <c r="Q1289">
        <f t="shared" si="174"/>
        <v>2.8000000000000001E-2</v>
      </c>
      <c r="R1289">
        <f t="shared" si="175"/>
        <v>2.5000000000000001E-2</v>
      </c>
      <c r="S1289">
        <f t="shared" si="176"/>
        <v>0.86599999999999999</v>
      </c>
      <c r="T1289">
        <f t="shared" si="177"/>
        <v>2.1436111109999998</v>
      </c>
      <c r="U1289">
        <f t="shared" si="178"/>
        <v>7.2902729529999997</v>
      </c>
      <c r="V1289">
        <f t="shared" si="179"/>
        <v>5.0999999999999997E-2</v>
      </c>
      <c r="W1289">
        <f t="shared" si="180"/>
        <v>0.10299999999999999</v>
      </c>
      <c r="X1289">
        <f t="shared" si="181"/>
        <v>0.81299999999999994</v>
      </c>
      <c r="Y1289">
        <v>34.996651819999997</v>
      </c>
      <c r="Z1289">
        <v>0</v>
      </c>
      <c r="AA1289">
        <v>152832</v>
      </c>
      <c r="AB1289">
        <v>45686</v>
      </c>
      <c r="AC1289">
        <v>2.1596295000000001E-2</v>
      </c>
      <c r="AD1289">
        <v>0.84212384500000004</v>
      </c>
      <c r="AF1289">
        <v>12.702252250000001</v>
      </c>
      <c r="AG1289">
        <v>2.8000000000000001E-2</v>
      </c>
      <c r="AH1289">
        <v>2.5000000000000001E-2</v>
      </c>
      <c r="AI1289">
        <v>0.86599999999999999</v>
      </c>
      <c r="AJ1289">
        <v>2.1436111109999998</v>
      </c>
      <c r="AK1289">
        <v>7.2902729529999997</v>
      </c>
      <c r="AL1289">
        <v>5.0999999999999997E-2</v>
      </c>
      <c r="AM1289">
        <v>0.10299999999999999</v>
      </c>
      <c r="AN1289">
        <v>0.81299999999999994</v>
      </c>
    </row>
    <row r="1290" spans="1:40">
      <c r="A1290">
        <v>3358</v>
      </c>
      <c r="B1290" t="s">
        <v>705</v>
      </c>
      <c r="C1290" t="s">
        <v>696</v>
      </c>
      <c r="D1290" t="s">
        <v>697</v>
      </c>
      <c r="E1290">
        <v>56</v>
      </c>
      <c r="F1290">
        <v>236</v>
      </c>
      <c r="G1290">
        <v>395.34825480000001</v>
      </c>
      <c r="H1290">
        <v>6083</v>
      </c>
      <c r="I1290">
        <v>0.61796298699999996</v>
      </c>
      <c r="J1290">
        <v>6319</v>
      </c>
      <c r="K1290">
        <v>10225.53152</v>
      </c>
      <c r="L1290">
        <v>0.90700000000000003</v>
      </c>
      <c r="M1290">
        <v>0.99087799300000001</v>
      </c>
      <c r="N1290">
        <v>0</v>
      </c>
      <c r="O1290" t="s">
        <v>620</v>
      </c>
      <c r="P1290">
        <f t="shared" si="173"/>
        <v>13.106038890000001</v>
      </c>
      <c r="Q1290">
        <f t="shared" si="174"/>
        <v>0.01</v>
      </c>
      <c r="R1290">
        <f t="shared" si="175"/>
        <v>1.7000000000000001E-2</v>
      </c>
      <c r="S1290">
        <f t="shared" si="176"/>
        <v>0.90700000000000003</v>
      </c>
      <c r="T1290">
        <f t="shared" si="177"/>
        <v>2.71225</v>
      </c>
      <c r="U1290">
        <f t="shared" si="178"/>
        <v>8.1233492589999994</v>
      </c>
      <c r="V1290">
        <f t="shared" si="179"/>
        <v>4.7E-2</v>
      </c>
      <c r="W1290">
        <f t="shared" si="180"/>
        <v>2.4E-2</v>
      </c>
      <c r="X1290">
        <f t="shared" si="181"/>
        <v>0.91600000000000004</v>
      </c>
      <c r="Y1290">
        <v>34.14627583</v>
      </c>
      <c r="Z1290">
        <v>0</v>
      </c>
      <c r="AA1290">
        <v>152832</v>
      </c>
      <c r="AB1290">
        <v>45686</v>
      </c>
      <c r="AC1290">
        <v>2.1596295000000001E-2</v>
      </c>
      <c r="AD1290">
        <v>0.84212384500000004</v>
      </c>
      <c r="AF1290">
        <v>13.106038890000001</v>
      </c>
      <c r="AG1290">
        <v>0.01</v>
      </c>
      <c r="AH1290">
        <v>1.7000000000000001E-2</v>
      </c>
      <c r="AI1290">
        <v>0.90700000000000003</v>
      </c>
      <c r="AJ1290">
        <v>2.71225</v>
      </c>
      <c r="AK1290">
        <v>8.1233492589999994</v>
      </c>
      <c r="AL1290">
        <v>4.7E-2</v>
      </c>
      <c r="AM1290">
        <v>2.4E-2</v>
      </c>
      <c r="AN1290">
        <v>0.91600000000000004</v>
      </c>
    </row>
    <row r="1291" spans="1:40">
      <c r="A1291">
        <v>3359</v>
      </c>
      <c r="B1291" t="s">
        <v>705</v>
      </c>
      <c r="C1291" t="s">
        <v>696</v>
      </c>
      <c r="D1291" t="s">
        <v>697</v>
      </c>
      <c r="E1291">
        <v>12</v>
      </c>
      <c r="F1291">
        <v>39</v>
      </c>
      <c r="G1291">
        <v>33.018112510000002</v>
      </c>
      <c r="H1291">
        <v>18</v>
      </c>
      <c r="I1291">
        <v>5.1608533999999998E-2</v>
      </c>
      <c r="J1291">
        <v>57</v>
      </c>
      <c r="K1291">
        <v>1104.4684970000001</v>
      </c>
      <c r="L1291">
        <v>0.81799999999999995</v>
      </c>
      <c r="M1291">
        <v>0.6</v>
      </c>
      <c r="N1291">
        <v>1</v>
      </c>
      <c r="O1291" t="s">
        <v>620</v>
      </c>
      <c r="P1291">
        <f t="shared" si="173"/>
        <v>11.48</v>
      </c>
      <c r="Q1291">
        <f t="shared" si="174"/>
        <v>2.4977443609022529E-2</v>
      </c>
      <c r="R1291">
        <f t="shared" si="175"/>
        <v>4.4999999999999998E-2</v>
      </c>
      <c r="S1291">
        <f t="shared" si="176"/>
        <v>0.81799999999999995</v>
      </c>
      <c r="T1291">
        <f t="shared" si="177"/>
        <v>2.9049999999999998</v>
      </c>
      <c r="U1291">
        <f t="shared" si="178"/>
        <v>9.8261111109999995</v>
      </c>
      <c r="V1291">
        <f t="shared" si="179"/>
        <v>3.8837398373983721E-2</v>
      </c>
      <c r="W1291">
        <f t="shared" si="180"/>
        <v>8.6720930232558141E-2</v>
      </c>
      <c r="X1291">
        <f t="shared" si="181"/>
        <v>1</v>
      </c>
      <c r="Y1291">
        <v>129.3218622</v>
      </c>
      <c r="Z1291">
        <v>0</v>
      </c>
      <c r="AA1291">
        <v>152832</v>
      </c>
      <c r="AB1291">
        <v>45686</v>
      </c>
      <c r="AC1291">
        <v>2.1596295000000001E-2</v>
      </c>
      <c r="AD1291">
        <v>0.84212384500000004</v>
      </c>
      <c r="AF1291">
        <v>11.48</v>
      </c>
      <c r="AG1291">
        <v>0</v>
      </c>
      <c r="AH1291">
        <v>4.4999999999999998E-2</v>
      </c>
      <c r="AI1291">
        <v>0.81799999999999995</v>
      </c>
      <c r="AJ1291">
        <v>2.9049999999999998</v>
      </c>
      <c r="AK1291">
        <v>9.8261111109999995</v>
      </c>
      <c r="AL1291">
        <v>0</v>
      </c>
      <c r="AM1291">
        <v>0</v>
      </c>
      <c r="AN1291">
        <v>1</v>
      </c>
    </row>
    <row r="1292" spans="1:40">
      <c r="A1292">
        <v>3360</v>
      </c>
      <c r="B1292" t="s">
        <v>703</v>
      </c>
      <c r="C1292" t="s">
        <v>696</v>
      </c>
      <c r="D1292" t="s">
        <v>697</v>
      </c>
      <c r="E1292">
        <v>121</v>
      </c>
      <c r="F1292">
        <v>396</v>
      </c>
      <c r="G1292">
        <v>32.403123809999997</v>
      </c>
      <c r="H1292">
        <v>39</v>
      </c>
      <c r="I1292">
        <v>5.0655432E-2</v>
      </c>
      <c r="J1292">
        <v>435</v>
      </c>
      <c r="K1292">
        <v>8587.4304659999998</v>
      </c>
      <c r="L1292">
        <v>0.80200000000000005</v>
      </c>
      <c r="M1292">
        <v>0.24374999999999999</v>
      </c>
      <c r="N1292">
        <v>0</v>
      </c>
      <c r="O1292" t="s">
        <v>620</v>
      </c>
      <c r="P1292">
        <f t="shared" ref="P1292:P1355" si="182">IF(OR(IFERROR(AF1292=0,TRUE),ISERROR(AF1292)),AVERAGEIFS(AF:AF,$B:$B,$B1292,AF:AF,"&gt;0"),AF1292)</f>
        <v>14.1795122</v>
      </c>
      <c r="Q1292">
        <f t="shared" ref="Q1292:Q1355" si="183">IF(OR(IFERROR(AG1292=0,TRUE),ISERROR(AG1292)),AVERAGEIFS(AG:AG,$B:$B,$B1292,AG:AG,"&gt;0"),AG1292)</f>
        <v>2.5999999999999999E-2</v>
      </c>
      <c r="R1292">
        <f t="shared" ref="R1292:R1355" si="184">IF(OR(IFERROR(AH1292=0,TRUE),ISERROR(AH1292)),AVERAGEIFS(AH:AH,$B:$B,$B1292,AH:AH,"&gt;0"),AH1292)</f>
        <v>1.7000000000000001E-2</v>
      </c>
      <c r="S1292">
        <f t="shared" ref="S1292:S1355" si="185">IF(OR(IFERROR(AI1292=0,TRUE),ISERROR(AI1292)),AVERAGEIFS(AI:AI,$B:$B,$B1292,AI:AI,"&gt;0"),AI1292)</f>
        <v>0.80200000000000005</v>
      </c>
      <c r="T1292">
        <f t="shared" ref="T1292:T1355" si="186">IF(OR(IFERROR(AJ1292=0,TRUE),ISERROR(AJ1292)),AVERAGEIFS(AJ:AJ,$B:$B,$B1292,AJ:AJ,"&gt;0"),AJ1292)</f>
        <v>1.953333333</v>
      </c>
      <c r="U1292">
        <f t="shared" ref="U1292:U1355" si="187">IF(OR(IFERROR(AK1292=0,TRUE),ISERROR(AK1292)),AVERAGEIFS(AK:AK,$B:$B,$B1292,AK:AK,"&gt;0"),AK1292)</f>
        <v>7.2627969349999999</v>
      </c>
      <c r="V1292">
        <f t="shared" ref="V1292:V1355" si="188">IF(OR(IFERROR(AL1292=0,TRUE),ISERROR(AL1292)),AVERAGEIFS(AL:AL,$B:$B,$B1292,AL:AL,"&gt;0"),AL1292)</f>
        <v>0.04</v>
      </c>
      <c r="W1292">
        <f t="shared" ref="W1292:W1355" si="189">IF(OR(IFERROR(AM1292=0,TRUE),ISERROR(AM1292)),AVERAGEIFS(AM:AM,$B:$B,$B1292,AM:AM,"&gt;0"),AM1292)</f>
        <v>0.14000000000000001</v>
      </c>
      <c r="X1292">
        <f t="shared" ref="X1292:X1355" si="190">IF(OR(IFERROR(AN1292=0,TRUE),ISERROR(AN1292)),AVERAGEIFS(AN:AN,$B:$B,$B1292,AN:AN,"&gt;0"),AN1292)</f>
        <v>0.82</v>
      </c>
      <c r="Y1292">
        <v>301.42728190000003</v>
      </c>
      <c r="Z1292">
        <v>0</v>
      </c>
      <c r="AA1292">
        <v>27567</v>
      </c>
      <c r="AB1292">
        <v>8371</v>
      </c>
      <c r="AC1292">
        <v>2.6639960000000001E-2</v>
      </c>
      <c r="AD1292">
        <v>0.83875813700000001</v>
      </c>
      <c r="AF1292">
        <v>14.1795122</v>
      </c>
      <c r="AG1292">
        <v>2.5999999999999999E-2</v>
      </c>
      <c r="AH1292">
        <v>1.7000000000000001E-2</v>
      </c>
      <c r="AI1292">
        <v>0.80200000000000005</v>
      </c>
      <c r="AJ1292">
        <v>1.953333333</v>
      </c>
      <c r="AK1292">
        <v>7.2627969349999999</v>
      </c>
      <c r="AL1292">
        <v>0.04</v>
      </c>
      <c r="AM1292">
        <v>0.14000000000000001</v>
      </c>
      <c r="AN1292">
        <v>0.82</v>
      </c>
    </row>
    <row r="1293" spans="1:40">
      <c r="A1293">
        <v>3361</v>
      </c>
      <c r="B1293" t="s">
        <v>692</v>
      </c>
      <c r="C1293" t="s">
        <v>693</v>
      </c>
      <c r="D1293" t="s">
        <v>694</v>
      </c>
      <c r="E1293">
        <v>306</v>
      </c>
      <c r="F1293">
        <v>855</v>
      </c>
      <c r="G1293">
        <v>1059.5860170000001</v>
      </c>
      <c r="H1293">
        <v>76</v>
      </c>
      <c r="I1293" s="515">
        <v>1.656237746</v>
      </c>
      <c r="J1293">
        <v>931</v>
      </c>
      <c r="K1293">
        <v>562.1173665</v>
      </c>
      <c r="L1293">
        <v>0.92400000000000004</v>
      </c>
      <c r="M1293">
        <v>0.19895288</v>
      </c>
      <c r="N1293">
        <v>0</v>
      </c>
      <c r="O1293" t="s">
        <v>625</v>
      </c>
      <c r="P1293">
        <f t="shared" si="182"/>
        <v>20.396041669999999</v>
      </c>
      <c r="Q1293">
        <f t="shared" si="183"/>
        <v>7.0000000000000001E-3</v>
      </c>
      <c r="R1293">
        <f t="shared" si="184"/>
        <v>7.0000000000000001E-3</v>
      </c>
      <c r="S1293">
        <f t="shared" si="185"/>
        <v>0.92400000000000004</v>
      </c>
      <c r="T1293">
        <f t="shared" si="186"/>
        <v>2.3250000000000002</v>
      </c>
      <c r="U1293">
        <f t="shared" si="187"/>
        <v>11.051313560000001</v>
      </c>
      <c r="V1293">
        <f t="shared" si="188"/>
        <v>0.02</v>
      </c>
      <c r="W1293">
        <f t="shared" si="189"/>
        <v>0.02</v>
      </c>
      <c r="X1293">
        <f t="shared" si="190"/>
        <v>0.96</v>
      </c>
      <c r="Y1293">
        <v>8.1642934589999996</v>
      </c>
      <c r="Z1293">
        <v>0</v>
      </c>
      <c r="AA1293">
        <v>77808</v>
      </c>
      <c r="AB1293">
        <v>27489</v>
      </c>
      <c r="AC1293">
        <v>1.1225541E-2</v>
      </c>
      <c r="AD1293">
        <v>0.835708267</v>
      </c>
      <c r="AF1293">
        <v>20.396041669999999</v>
      </c>
      <c r="AG1293">
        <v>7.0000000000000001E-3</v>
      </c>
      <c r="AH1293">
        <v>7.0000000000000001E-3</v>
      </c>
      <c r="AI1293">
        <v>0.92400000000000004</v>
      </c>
      <c r="AJ1293">
        <v>2.3250000000000002</v>
      </c>
      <c r="AK1293">
        <v>11.051313560000001</v>
      </c>
      <c r="AL1293">
        <v>0.02</v>
      </c>
      <c r="AM1293">
        <v>0.02</v>
      </c>
      <c r="AN1293">
        <v>0.96</v>
      </c>
    </row>
    <row r="1294" spans="1:40">
      <c r="A1294">
        <v>3362</v>
      </c>
      <c r="B1294" t="s">
        <v>707</v>
      </c>
      <c r="C1294" t="s">
        <v>693</v>
      </c>
      <c r="D1294" t="s">
        <v>694</v>
      </c>
      <c r="E1294">
        <v>27</v>
      </c>
      <c r="F1294">
        <v>76</v>
      </c>
      <c r="G1294">
        <v>1067.4343650000001</v>
      </c>
      <c r="H1294">
        <v>25</v>
      </c>
      <c r="I1294" s="515">
        <v>1.6685095808947901</v>
      </c>
      <c r="J1294">
        <v>101</v>
      </c>
      <c r="K1294">
        <v>60.533065649999998</v>
      </c>
      <c r="L1294">
        <v>0.97799999999999998</v>
      </c>
      <c r="M1294">
        <v>0.48076923100000002</v>
      </c>
      <c r="N1294">
        <v>0</v>
      </c>
      <c r="O1294" t="s">
        <v>625</v>
      </c>
      <c r="P1294">
        <f t="shared" si="182"/>
        <v>26.966666669999999</v>
      </c>
      <c r="Q1294">
        <f t="shared" si="183"/>
        <v>2.0450000000000006E-2</v>
      </c>
      <c r="R1294">
        <f t="shared" si="184"/>
        <v>1.6E-2</v>
      </c>
      <c r="S1294">
        <f t="shared" si="185"/>
        <v>0.97799999999999998</v>
      </c>
      <c r="T1294">
        <f t="shared" si="186"/>
        <v>2.6890000000000001</v>
      </c>
      <c r="U1294">
        <f t="shared" si="187"/>
        <v>7.5701782819999996</v>
      </c>
      <c r="V1294">
        <f t="shared" si="188"/>
        <v>0.11835714285714286</v>
      </c>
      <c r="W1294">
        <f t="shared" si="189"/>
        <v>8.5526315789473686E-2</v>
      </c>
      <c r="X1294">
        <f t="shared" si="190"/>
        <v>1</v>
      </c>
      <c r="Y1294">
        <v>8.5939440010000006</v>
      </c>
      <c r="Z1294">
        <v>0</v>
      </c>
      <c r="AA1294">
        <v>21149</v>
      </c>
      <c r="AB1294">
        <v>6968</v>
      </c>
      <c r="AC1294">
        <v>1.6645858999999999E-2</v>
      </c>
      <c r="AD1294">
        <v>0.89069218999999999</v>
      </c>
      <c r="AF1294">
        <v>26.966666669999999</v>
      </c>
      <c r="AG1294">
        <v>0</v>
      </c>
      <c r="AH1294">
        <v>1.6E-2</v>
      </c>
      <c r="AI1294">
        <v>0.97799999999999998</v>
      </c>
      <c r="AJ1294">
        <v>2.6890000000000001</v>
      </c>
      <c r="AK1294">
        <v>7.5701782819999996</v>
      </c>
      <c r="AL1294">
        <v>0</v>
      </c>
      <c r="AM1294">
        <v>0</v>
      </c>
      <c r="AN1294">
        <v>1</v>
      </c>
    </row>
    <row r="1295" spans="1:40">
      <c r="A1295">
        <v>3363</v>
      </c>
      <c r="B1295" t="s">
        <v>692</v>
      </c>
      <c r="C1295" t="s">
        <v>693</v>
      </c>
      <c r="D1295" t="s">
        <v>694</v>
      </c>
      <c r="E1295">
        <v>69</v>
      </c>
      <c r="F1295">
        <v>196</v>
      </c>
      <c r="G1295">
        <v>19.19618711</v>
      </c>
      <c r="H1295">
        <v>0</v>
      </c>
      <c r="I1295">
        <v>3.0000200000000001E-2</v>
      </c>
      <c r="J1295">
        <v>196</v>
      </c>
      <c r="K1295">
        <v>6533.2897780000003</v>
      </c>
      <c r="L1295">
        <v>0.86299999999999999</v>
      </c>
      <c r="M1295">
        <v>0</v>
      </c>
      <c r="N1295">
        <v>0</v>
      </c>
      <c r="O1295" t="s">
        <v>620</v>
      </c>
      <c r="P1295">
        <f t="shared" si="182"/>
        <v>14.656333330000001</v>
      </c>
      <c r="Q1295">
        <f t="shared" si="183"/>
        <v>1.0999999999999999E-2</v>
      </c>
      <c r="R1295">
        <f t="shared" si="184"/>
        <v>2.1999999999999999E-2</v>
      </c>
      <c r="S1295">
        <f t="shared" si="185"/>
        <v>0.86299999999999999</v>
      </c>
      <c r="T1295">
        <f t="shared" si="186"/>
        <v>2.105</v>
      </c>
      <c r="U1295">
        <f t="shared" si="187"/>
        <v>6.693333333</v>
      </c>
      <c r="V1295">
        <f t="shared" si="188"/>
        <v>5.8999999999999997E-2</v>
      </c>
      <c r="W1295">
        <f t="shared" si="189"/>
        <v>5.8999999999999997E-2</v>
      </c>
      <c r="X1295">
        <f t="shared" si="190"/>
        <v>0.88200000000000001</v>
      </c>
      <c r="Y1295">
        <v>85.886360780000004</v>
      </c>
      <c r="Z1295">
        <v>0</v>
      </c>
      <c r="AA1295">
        <v>77808</v>
      </c>
      <c r="AB1295">
        <v>27489</v>
      </c>
      <c r="AC1295">
        <v>1.1225541E-2</v>
      </c>
      <c r="AD1295">
        <v>0.835708267</v>
      </c>
      <c r="AF1295">
        <v>14.656333330000001</v>
      </c>
      <c r="AG1295">
        <v>1.0999999999999999E-2</v>
      </c>
      <c r="AH1295">
        <v>2.1999999999999999E-2</v>
      </c>
      <c r="AI1295">
        <v>0.86299999999999999</v>
      </c>
      <c r="AJ1295">
        <v>2.105</v>
      </c>
      <c r="AK1295">
        <v>6.693333333</v>
      </c>
      <c r="AL1295">
        <v>5.8999999999999997E-2</v>
      </c>
      <c r="AM1295">
        <v>5.8999999999999997E-2</v>
      </c>
      <c r="AN1295">
        <v>0.88200000000000001</v>
      </c>
    </row>
    <row r="1296" spans="1:40">
      <c r="A1296">
        <v>3364</v>
      </c>
      <c r="B1296" t="s">
        <v>709</v>
      </c>
      <c r="C1296" t="s">
        <v>693</v>
      </c>
      <c r="D1296" t="s">
        <v>694</v>
      </c>
      <c r="E1296">
        <v>389</v>
      </c>
      <c r="F1296">
        <v>990</v>
      </c>
      <c r="G1296">
        <v>37.23602417</v>
      </c>
      <c r="H1296">
        <v>0</v>
      </c>
      <c r="I1296">
        <v>5.8198481000000003E-2</v>
      </c>
      <c r="J1296">
        <v>990</v>
      </c>
      <c r="K1296">
        <v>17010.753250000002</v>
      </c>
      <c r="L1296">
        <v>0.67900000000000005</v>
      </c>
      <c r="M1296">
        <v>0</v>
      </c>
      <c r="N1296">
        <v>1</v>
      </c>
      <c r="O1296" t="s">
        <v>620</v>
      </c>
      <c r="P1296">
        <f t="shared" si="182"/>
        <v>12.405714290000001</v>
      </c>
      <c r="Q1296">
        <f t="shared" si="183"/>
        <v>6.9000000000000006E-2</v>
      </c>
      <c r="R1296">
        <f t="shared" si="184"/>
        <v>2.1999999999999999E-2</v>
      </c>
      <c r="S1296">
        <f t="shared" si="185"/>
        <v>0.67900000000000005</v>
      </c>
      <c r="T1296">
        <f t="shared" si="186"/>
        <v>2.5840000000000001</v>
      </c>
      <c r="U1296">
        <f t="shared" si="187"/>
        <v>6.8025080390000001</v>
      </c>
      <c r="V1296">
        <f t="shared" si="188"/>
        <v>2.3E-2</v>
      </c>
      <c r="W1296">
        <f t="shared" si="189"/>
        <v>4.7E-2</v>
      </c>
      <c r="X1296">
        <f t="shared" si="190"/>
        <v>0.73299999999999998</v>
      </c>
      <c r="Y1296">
        <v>122.06735879999999</v>
      </c>
      <c r="Z1296">
        <v>0</v>
      </c>
      <c r="AA1296">
        <v>56865</v>
      </c>
      <c r="AB1296">
        <v>22398</v>
      </c>
      <c r="AC1296">
        <v>1.1143686E-2</v>
      </c>
      <c r="AD1296">
        <v>0.81944707100000003</v>
      </c>
      <c r="AF1296">
        <v>12.405714290000001</v>
      </c>
      <c r="AG1296">
        <v>6.9000000000000006E-2</v>
      </c>
      <c r="AH1296">
        <v>2.1999999999999999E-2</v>
      </c>
      <c r="AI1296">
        <v>0.67900000000000005</v>
      </c>
      <c r="AJ1296">
        <v>2.5840000000000001</v>
      </c>
      <c r="AK1296">
        <v>6.8025080390000001</v>
      </c>
      <c r="AL1296">
        <v>2.3E-2</v>
      </c>
      <c r="AM1296">
        <v>4.7E-2</v>
      </c>
      <c r="AN1296">
        <v>0.73299999999999998</v>
      </c>
    </row>
    <row r="1297" spans="1:40">
      <c r="A1297">
        <v>3365</v>
      </c>
      <c r="B1297" t="s">
        <v>692</v>
      </c>
      <c r="C1297" t="s">
        <v>693</v>
      </c>
      <c r="D1297" t="s">
        <v>694</v>
      </c>
      <c r="E1297">
        <v>111</v>
      </c>
      <c r="F1297">
        <v>316</v>
      </c>
      <c r="G1297">
        <v>10.23465771</v>
      </c>
      <c r="H1297">
        <v>115</v>
      </c>
      <c r="I1297">
        <v>1.6003064000000001E-2</v>
      </c>
      <c r="J1297">
        <v>431</v>
      </c>
      <c r="K1297">
        <v>26932.34246</v>
      </c>
      <c r="L1297">
        <v>0.78200000000000003</v>
      </c>
      <c r="M1297">
        <v>0.50884955799999998</v>
      </c>
      <c r="N1297">
        <v>0</v>
      </c>
      <c r="O1297" t="s">
        <v>620</v>
      </c>
      <c r="P1297">
        <f t="shared" si="182"/>
        <v>8.5422499999999992</v>
      </c>
      <c r="Q1297">
        <f t="shared" si="183"/>
        <v>3.4000000000000002E-2</v>
      </c>
      <c r="R1297">
        <f t="shared" si="184"/>
        <v>1.2999999999999999E-2</v>
      </c>
      <c r="S1297">
        <f t="shared" si="185"/>
        <v>0.78200000000000003</v>
      </c>
      <c r="T1297">
        <f t="shared" si="186"/>
        <v>2.1724999999999999</v>
      </c>
      <c r="U1297">
        <f t="shared" si="187"/>
        <v>6.0862445410000001</v>
      </c>
      <c r="V1297">
        <f t="shared" si="188"/>
        <v>4.1084210526315765E-2</v>
      </c>
      <c r="W1297">
        <f t="shared" si="189"/>
        <v>4.7929411764705873E-2</v>
      </c>
      <c r="X1297">
        <f t="shared" si="190"/>
        <v>0.90900000000000003</v>
      </c>
      <c r="Y1297">
        <v>128.4651337</v>
      </c>
      <c r="Z1297">
        <v>0</v>
      </c>
      <c r="AA1297">
        <v>77808</v>
      </c>
      <c r="AB1297">
        <v>27489</v>
      </c>
      <c r="AC1297">
        <v>1.1225541E-2</v>
      </c>
      <c r="AD1297">
        <v>0.835708267</v>
      </c>
      <c r="AF1297">
        <v>8.5422499999999992</v>
      </c>
      <c r="AG1297">
        <v>3.4000000000000002E-2</v>
      </c>
      <c r="AH1297">
        <v>1.2999999999999999E-2</v>
      </c>
      <c r="AI1297">
        <v>0.78200000000000003</v>
      </c>
      <c r="AJ1297">
        <v>2.1724999999999999</v>
      </c>
      <c r="AK1297">
        <v>6.0862445410000001</v>
      </c>
      <c r="AL1297">
        <v>0</v>
      </c>
      <c r="AM1297">
        <v>0</v>
      </c>
      <c r="AN1297">
        <v>0.90900000000000003</v>
      </c>
    </row>
    <row r="1298" spans="1:40">
      <c r="A1298">
        <v>3366</v>
      </c>
      <c r="B1298" t="s">
        <v>692</v>
      </c>
      <c r="C1298" t="s">
        <v>693</v>
      </c>
      <c r="D1298" t="s">
        <v>694</v>
      </c>
      <c r="E1298">
        <v>182</v>
      </c>
      <c r="F1298">
        <v>460</v>
      </c>
      <c r="G1298">
        <v>14.60390537</v>
      </c>
      <c r="H1298">
        <v>128</v>
      </c>
      <c r="I1298">
        <v>2.2827792999999999E-2</v>
      </c>
      <c r="J1298">
        <v>588</v>
      </c>
      <c r="K1298">
        <v>25758.074820000002</v>
      </c>
      <c r="L1298">
        <v>0.78300000000000003</v>
      </c>
      <c r="M1298">
        <v>0.41290322600000001</v>
      </c>
      <c r="N1298">
        <v>0</v>
      </c>
      <c r="O1298" t="s">
        <v>613</v>
      </c>
      <c r="P1298">
        <f t="shared" si="182"/>
        <v>12.13824561</v>
      </c>
      <c r="Q1298">
        <f t="shared" si="183"/>
        <v>1.2999999999999999E-2</v>
      </c>
      <c r="R1298">
        <f t="shared" si="184"/>
        <v>3.1E-2</v>
      </c>
      <c r="S1298">
        <f t="shared" si="185"/>
        <v>0.78300000000000003</v>
      </c>
      <c r="T1298">
        <f t="shared" si="186"/>
        <v>1.395</v>
      </c>
      <c r="U1298">
        <f t="shared" si="187"/>
        <v>6.122312312</v>
      </c>
      <c r="V1298">
        <f t="shared" si="188"/>
        <v>5.7000000000000002E-2</v>
      </c>
      <c r="W1298">
        <f t="shared" si="189"/>
        <v>2.9000000000000001E-2</v>
      </c>
      <c r="X1298">
        <f t="shared" si="190"/>
        <v>0.81399999999999995</v>
      </c>
      <c r="Y1298">
        <v>127.83309010000001</v>
      </c>
      <c r="Z1298">
        <v>0</v>
      </c>
      <c r="AA1298">
        <v>77808</v>
      </c>
      <c r="AB1298">
        <v>27489</v>
      </c>
      <c r="AC1298">
        <v>1.1225541E-2</v>
      </c>
      <c r="AD1298">
        <v>0.835708267</v>
      </c>
      <c r="AF1298">
        <v>12.13824561</v>
      </c>
      <c r="AG1298">
        <v>1.2999999999999999E-2</v>
      </c>
      <c r="AH1298">
        <v>3.1E-2</v>
      </c>
      <c r="AI1298">
        <v>0.78300000000000003</v>
      </c>
      <c r="AJ1298">
        <v>1.395</v>
      </c>
      <c r="AK1298">
        <v>6.122312312</v>
      </c>
      <c r="AL1298">
        <v>5.7000000000000002E-2</v>
      </c>
      <c r="AM1298">
        <v>2.9000000000000001E-2</v>
      </c>
      <c r="AN1298">
        <v>0.81399999999999995</v>
      </c>
    </row>
    <row r="1299" spans="1:40">
      <c r="A1299">
        <v>3367</v>
      </c>
      <c r="B1299" t="s">
        <v>692</v>
      </c>
      <c r="C1299" t="s">
        <v>693</v>
      </c>
      <c r="D1299" t="s">
        <v>694</v>
      </c>
      <c r="E1299">
        <v>435</v>
      </c>
      <c r="F1299">
        <v>1238</v>
      </c>
      <c r="G1299">
        <v>11.67822046</v>
      </c>
      <c r="H1299">
        <v>57</v>
      </c>
      <c r="I1299">
        <v>1.8252817000000001E-2</v>
      </c>
      <c r="J1299">
        <v>1295</v>
      </c>
      <c r="K1299">
        <v>70947.952860000005</v>
      </c>
      <c r="L1299">
        <v>0.76200000000000001</v>
      </c>
      <c r="M1299">
        <v>0.115853659</v>
      </c>
      <c r="N1299">
        <v>0</v>
      </c>
      <c r="O1299" t="s">
        <v>620</v>
      </c>
      <c r="P1299">
        <f t="shared" si="182"/>
        <v>14.87708333</v>
      </c>
      <c r="Q1299">
        <f t="shared" si="183"/>
        <v>3.3000000000000002E-2</v>
      </c>
      <c r="R1299">
        <f t="shared" si="184"/>
        <v>2.9000000000000001E-2</v>
      </c>
      <c r="S1299">
        <f t="shared" si="185"/>
        <v>0.76200000000000001</v>
      </c>
      <c r="T1299">
        <f t="shared" si="186"/>
        <v>2.259047619</v>
      </c>
      <c r="U1299">
        <f t="shared" si="187"/>
        <v>6.8080639100000004</v>
      </c>
      <c r="V1299">
        <f t="shared" si="188"/>
        <v>2.5999999999999999E-2</v>
      </c>
      <c r="W1299">
        <f t="shared" si="189"/>
        <v>9.6000000000000002E-2</v>
      </c>
      <c r="X1299">
        <f t="shared" si="190"/>
        <v>0.76900000000000002</v>
      </c>
      <c r="Y1299">
        <v>128.4651337</v>
      </c>
      <c r="Z1299">
        <v>0</v>
      </c>
      <c r="AA1299">
        <v>77808</v>
      </c>
      <c r="AB1299">
        <v>27489</v>
      </c>
      <c r="AC1299">
        <v>1.1225541E-2</v>
      </c>
      <c r="AD1299">
        <v>0.835708267</v>
      </c>
      <c r="AF1299">
        <v>14.87708333</v>
      </c>
      <c r="AG1299">
        <v>3.3000000000000002E-2</v>
      </c>
      <c r="AH1299">
        <v>2.9000000000000001E-2</v>
      </c>
      <c r="AI1299">
        <v>0.76200000000000001</v>
      </c>
      <c r="AJ1299">
        <v>2.259047619</v>
      </c>
      <c r="AK1299">
        <v>6.8080639100000004</v>
      </c>
      <c r="AL1299">
        <v>2.5999999999999999E-2</v>
      </c>
      <c r="AM1299">
        <v>9.6000000000000002E-2</v>
      </c>
      <c r="AN1299">
        <v>0.76900000000000002</v>
      </c>
    </row>
    <row r="1300" spans="1:40">
      <c r="A1300">
        <v>3368</v>
      </c>
      <c r="B1300" t="s">
        <v>692</v>
      </c>
      <c r="C1300" t="s">
        <v>693</v>
      </c>
      <c r="D1300" t="s">
        <v>694</v>
      </c>
      <c r="E1300">
        <v>68</v>
      </c>
      <c r="F1300">
        <v>116</v>
      </c>
      <c r="G1300">
        <v>21.202735229999998</v>
      </c>
      <c r="H1300">
        <v>43</v>
      </c>
      <c r="I1300">
        <v>3.3139059999999998E-2</v>
      </c>
      <c r="J1300">
        <v>159</v>
      </c>
      <c r="K1300">
        <v>4797.9634910000004</v>
      </c>
      <c r="L1300">
        <v>0.85899999999999999</v>
      </c>
      <c r="M1300">
        <v>0.38738738700000003</v>
      </c>
      <c r="N1300">
        <v>0</v>
      </c>
      <c r="O1300" t="s">
        <v>613</v>
      </c>
      <c r="P1300">
        <f t="shared" si="182"/>
        <v>24.09692308</v>
      </c>
      <c r="Q1300">
        <f t="shared" si="183"/>
        <v>1.2828282828282822E-2</v>
      </c>
      <c r="R1300">
        <f t="shared" si="184"/>
        <v>1.9814814814814796E-2</v>
      </c>
      <c r="S1300">
        <f t="shared" si="185"/>
        <v>0.85899999999999999</v>
      </c>
      <c r="T1300">
        <f t="shared" si="186"/>
        <v>2.2234128568796301</v>
      </c>
      <c r="U1300">
        <f t="shared" si="187"/>
        <v>8.7866666670000004</v>
      </c>
      <c r="V1300">
        <f t="shared" si="188"/>
        <v>4.1084210526315765E-2</v>
      </c>
      <c r="W1300">
        <f t="shared" si="189"/>
        <v>4.7929411764705873E-2</v>
      </c>
      <c r="X1300">
        <f t="shared" si="190"/>
        <v>1</v>
      </c>
      <c r="Y1300">
        <v>128.4458917</v>
      </c>
      <c r="Z1300">
        <v>0</v>
      </c>
      <c r="AA1300">
        <v>77808</v>
      </c>
      <c r="AB1300">
        <v>27489</v>
      </c>
      <c r="AC1300">
        <v>1.1225541E-2</v>
      </c>
      <c r="AD1300">
        <v>0.835708267</v>
      </c>
      <c r="AF1300">
        <v>24.09692308</v>
      </c>
      <c r="AG1300">
        <v>0</v>
      </c>
      <c r="AH1300">
        <v>0</v>
      </c>
      <c r="AI1300">
        <v>0.85899999999999999</v>
      </c>
      <c r="AK1300">
        <v>8.7866666670000004</v>
      </c>
      <c r="AL1300">
        <v>0</v>
      </c>
      <c r="AM1300">
        <v>0</v>
      </c>
      <c r="AN1300">
        <v>1</v>
      </c>
    </row>
    <row r="1301" spans="1:40">
      <c r="A1301">
        <v>3369</v>
      </c>
      <c r="B1301" t="s">
        <v>692</v>
      </c>
      <c r="C1301" t="s">
        <v>693</v>
      </c>
      <c r="D1301" t="s">
        <v>694</v>
      </c>
      <c r="E1301">
        <v>149</v>
      </c>
      <c r="F1301">
        <v>424</v>
      </c>
      <c r="G1301">
        <v>25.4145483</v>
      </c>
      <c r="H1301">
        <v>15</v>
      </c>
      <c r="I1301">
        <v>3.9728207000000001E-2</v>
      </c>
      <c r="J1301">
        <v>439</v>
      </c>
      <c r="K1301">
        <v>11050.08338</v>
      </c>
      <c r="L1301">
        <v>0.72299999999999998</v>
      </c>
      <c r="M1301">
        <v>9.1463415000000006E-2</v>
      </c>
      <c r="N1301">
        <v>0</v>
      </c>
      <c r="O1301" t="s">
        <v>620</v>
      </c>
      <c r="P1301">
        <f t="shared" si="182"/>
        <v>12.5525</v>
      </c>
      <c r="Q1301">
        <f t="shared" si="183"/>
        <v>0.01</v>
      </c>
      <c r="R1301">
        <f t="shared" si="184"/>
        <v>0.02</v>
      </c>
      <c r="S1301">
        <f t="shared" si="185"/>
        <v>0.72299999999999998</v>
      </c>
      <c r="T1301">
        <f t="shared" si="186"/>
        <v>1.72</v>
      </c>
      <c r="U1301">
        <f t="shared" si="187"/>
        <v>7.5975373130000001</v>
      </c>
      <c r="V1301">
        <f t="shared" si="188"/>
        <v>9.0999999999999998E-2</v>
      </c>
      <c r="W1301">
        <f t="shared" si="189"/>
        <v>4.4999999999999998E-2</v>
      </c>
      <c r="X1301">
        <f t="shared" si="190"/>
        <v>0.72699999999999998</v>
      </c>
      <c r="Y1301">
        <v>128.43374309999999</v>
      </c>
      <c r="Z1301">
        <v>0</v>
      </c>
      <c r="AA1301">
        <v>77808</v>
      </c>
      <c r="AB1301">
        <v>27489</v>
      </c>
      <c r="AC1301">
        <v>1.1225541E-2</v>
      </c>
      <c r="AD1301">
        <v>0.835708267</v>
      </c>
      <c r="AF1301">
        <v>12.5525</v>
      </c>
      <c r="AG1301">
        <v>0.01</v>
      </c>
      <c r="AH1301">
        <v>0.02</v>
      </c>
      <c r="AI1301">
        <v>0.72299999999999998</v>
      </c>
      <c r="AJ1301">
        <v>1.72</v>
      </c>
      <c r="AK1301">
        <v>7.5975373130000001</v>
      </c>
      <c r="AL1301">
        <v>9.0999999999999998E-2</v>
      </c>
      <c r="AM1301">
        <v>4.4999999999999998E-2</v>
      </c>
      <c r="AN1301">
        <v>0.72699999999999998</v>
      </c>
    </row>
    <row r="1302" spans="1:40">
      <c r="A1302">
        <v>3370</v>
      </c>
      <c r="B1302" t="s">
        <v>692</v>
      </c>
      <c r="C1302" t="s">
        <v>693</v>
      </c>
      <c r="D1302" t="s">
        <v>694</v>
      </c>
      <c r="E1302">
        <v>327</v>
      </c>
      <c r="F1302">
        <v>988</v>
      </c>
      <c r="G1302">
        <v>30.836366999999999</v>
      </c>
      <c r="H1302">
        <v>0</v>
      </c>
      <c r="I1302">
        <v>4.8201249000000002E-2</v>
      </c>
      <c r="J1302">
        <v>988</v>
      </c>
      <c r="K1302">
        <v>20497.39417</v>
      </c>
      <c r="L1302">
        <v>0.76200000000000001</v>
      </c>
      <c r="M1302">
        <v>0</v>
      </c>
      <c r="N1302">
        <v>0</v>
      </c>
      <c r="O1302" t="s">
        <v>620</v>
      </c>
      <c r="P1302">
        <f t="shared" si="182"/>
        <v>14.507250000000001</v>
      </c>
      <c r="Q1302">
        <f t="shared" si="183"/>
        <v>1.7999999999999999E-2</v>
      </c>
      <c r="R1302">
        <f t="shared" si="184"/>
        <v>0.02</v>
      </c>
      <c r="S1302">
        <f t="shared" si="185"/>
        <v>0.76200000000000001</v>
      </c>
      <c r="T1302">
        <f t="shared" si="186"/>
        <v>1.8360000000000001</v>
      </c>
      <c r="U1302">
        <f t="shared" si="187"/>
        <v>7.0352291109999996</v>
      </c>
      <c r="V1302">
        <f t="shared" si="188"/>
        <v>4.2000000000000003E-2</v>
      </c>
      <c r="W1302">
        <f t="shared" si="189"/>
        <v>2.1000000000000001E-2</v>
      </c>
      <c r="X1302">
        <f t="shared" si="190"/>
        <v>0.84199999999999997</v>
      </c>
      <c r="Y1302">
        <v>128.49094650000001</v>
      </c>
      <c r="Z1302">
        <v>0</v>
      </c>
      <c r="AA1302">
        <v>77808</v>
      </c>
      <c r="AB1302">
        <v>27489</v>
      </c>
      <c r="AC1302">
        <v>1.1225541E-2</v>
      </c>
      <c r="AD1302">
        <v>0.835708267</v>
      </c>
      <c r="AF1302">
        <v>14.507250000000001</v>
      </c>
      <c r="AG1302">
        <v>1.7999999999999999E-2</v>
      </c>
      <c r="AH1302">
        <v>0.02</v>
      </c>
      <c r="AI1302">
        <v>0.76200000000000001</v>
      </c>
      <c r="AJ1302">
        <v>1.8360000000000001</v>
      </c>
      <c r="AK1302">
        <v>7.0352291109999996</v>
      </c>
      <c r="AL1302">
        <v>4.2000000000000003E-2</v>
      </c>
      <c r="AM1302">
        <v>2.1000000000000001E-2</v>
      </c>
      <c r="AN1302">
        <v>0.84199999999999997</v>
      </c>
    </row>
    <row r="1303" spans="1:40">
      <c r="A1303">
        <v>3371</v>
      </c>
      <c r="B1303" t="s">
        <v>692</v>
      </c>
      <c r="C1303" t="s">
        <v>693</v>
      </c>
      <c r="D1303" t="s">
        <v>694</v>
      </c>
      <c r="E1303">
        <v>323</v>
      </c>
      <c r="F1303">
        <v>948</v>
      </c>
      <c r="G1303">
        <v>138.8882673</v>
      </c>
      <c r="H1303">
        <v>730</v>
      </c>
      <c r="I1303">
        <v>0.21709959000000001</v>
      </c>
      <c r="J1303">
        <v>1678</v>
      </c>
      <c r="K1303">
        <v>7729.1716669999996</v>
      </c>
      <c r="L1303">
        <v>0.89800000000000002</v>
      </c>
      <c r="M1303">
        <v>0.69325736000000004</v>
      </c>
      <c r="N1303">
        <v>0</v>
      </c>
      <c r="O1303" t="s">
        <v>620</v>
      </c>
      <c r="P1303">
        <f t="shared" si="182"/>
        <v>16.90514563</v>
      </c>
      <c r="Q1303">
        <f t="shared" si="183"/>
        <v>2E-3</v>
      </c>
      <c r="R1303">
        <f t="shared" si="184"/>
        <v>1.6E-2</v>
      </c>
      <c r="S1303">
        <f t="shared" si="185"/>
        <v>0.89800000000000002</v>
      </c>
      <c r="T1303">
        <f t="shared" si="186"/>
        <v>3.1393749999999998</v>
      </c>
      <c r="U1303">
        <f t="shared" si="187"/>
        <v>9.4312342860000005</v>
      </c>
      <c r="V1303">
        <f t="shared" si="188"/>
        <v>2.8000000000000001E-2</v>
      </c>
      <c r="W1303">
        <f t="shared" si="189"/>
        <v>4.7929411764705873E-2</v>
      </c>
      <c r="X1303">
        <f t="shared" si="190"/>
        <v>0.95399999999999996</v>
      </c>
      <c r="Y1303">
        <v>36.596206969999997</v>
      </c>
      <c r="Z1303">
        <v>0</v>
      </c>
      <c r="AA1303">
        <v>77808</v>
      </c>
      <c r="AB1303">
        <v>27489</v>
      </c>
      <c r="AC1303">
        <v>1.1225541E-2</v>
      </c>
      <c r="AD1303">
        <v>0.835708267</v>
      </c>
      <c r="AF1303">
        <v>16.90514563</v>
      </c>
      <c r="AG1303">
        <v>2E-3</v>
      </c>
      <c r="AH1303">
        <v>1.6E-2</v>
      </c>
      <c r="AI1303">
        <v>0.89800000000000002</v>
      </c>
      <c r="AJ1303">
        <v>3.1393749999999998</v>
      </c>
      <c r="AK1303">
        <v>9.4312342860000005</v>
      </c>
      <c r="AL1303">
        <v>2.8000000000000001E-2</v>
      </c>
      <c r="AM1303">
        <v>0</v>
      </c>
      <c r="AN1303">
        <v>0.95399999999999996</v>
      </c>
    </row>
    <row r="1304" spans="1:40">
      <c r="A1304">
        <v>3372</v>
      </c>
      <c r="B1304" t="s">
        <v>707</v>
      </c>
      <c r="C1304" t="s">
        <v>693</v>
      </c>
      <c r="D1304" t="s">
        <v>694</v>
      </c>
      <c r="E1304">
        <v>1</v>
      </c>
      <c r="F1304">
        <v>4</v>
      </c>
      <c r="G1304">
        <v>349.01912160000001</v>
      </c>
      <c r="H1304">
        <v>0</v>
      </c>
      <c r="I1304">
        <v>0.54555136599999998</v>
      </c>
      <c r="J1304">
        <v>4</v>
      </c>
      <c r="K1304">
        <v>7.3320318660000003</v>
      </c>
      <c r="L1304" s="515">
        <v>1</v>
      </c>
      <c r="M1304">
        <v>0</v>
      </c>
      <c r="N1304">
        <v>0</v>
      </c>
      <c r="O1304" t="s">
        <v>625</v>
      </c>
      <c r="P1304">
        <f t="shared" si="182"/>
        <v>18.273803565652177</v>
      </c>
      <c r="Q1304">
        <f t="shared" si="183"/>
        <v>2.0450000000000006E-2</v>
      </c>
      <c r="R1304">
        <f t="shared" si="184"/>
        <v>7.2846153846153852E-2</v>
      </c>
      <c r="S1304">
        <f t="shared" si="185"/>
        <v>1</v>
      </c>
      <c r="T1304">
        <f t="shared" si="186"/>
        <v>2.2191326312692303</v>
      </c>
      <c r="U1304">
        <f t="shared" si="187"/>
        <v>4.68</v>
      </c>
      <c r="V1304">
        <f t="shared" si="188"/>
        <v>0.11835714285714286</v>
      </c>
      <c r="W1304">
        <f t="shared" si="189"/>
        <v>8.5526315789473686E-2</v>
      </c>
      <c r="X1304">
        <f t="shared" si="190"/>
        <v>0.94647826086956499</v>
      </c>
      <c r="Y1304">
        <v>36.473158669999997</v>
      </c>
      <c r="Z1304">
        <v>0</v>
      </c>
      <c r="AA1304">
        <v>21149</v>
      </c>
      <c r="AB1304">
        <v>6968</v>
      </c>
      <c r="AC1304">
        <v>1.6645858999999999E-2</v>
      </c>
      <c r="AD1304">
        <v>0.89069218999999999</v>
      </c>
      <c r="AG1304">
        <v>0</v>
      </c>
      <c r="AH1304">
        <v>0</v>
      </c>
      <c r="AI1304">
        <v>1</v>
      </c>
      <c r="AK1304">
        <v>4.68</v>
      </c>
    </row>
    <row r="1305" spans="1:40">
      <c r="A1305">
        <v>3373</v>
      </c>
      <c r="B1305" t="s">
        <v>692</v>
      </c>
      <c r="C1305" t="s">
        <v>693</v>
      </c>
      <c r="D1305" t="s">
        <v>694</v>
      </c>
      <c r="E1305">
        <v>193</v>
      </c>
      <c r="F1305">
        <v>472</v>
      </c>
      <c r="G1305">
        <v>67.654714870000006</v>
      </c>
      <c r="H1305">
        <v>557</v>
      </c>
      <c r="I1305">
        <v>0.105747229</v>
      </c>
      <c r="J1305">
        <v>1029</v>
      </c>
      <c r="K1305">
        <v>9730.7514319999991</v>
      </c>
      <c r="L1305">
        <v>0.84899999999999998</v>
      </c>
      <c r="M1305">
        <v>0.74266666699999995</v>
      </c>
      <c r="N1305">
        <v>0</v>
      </c>
      <c r="O1305" t="s">
        <v>620</v>
      </c>
      <c r="P1305">
        <f t="shared" si="182"/>
        <v>15.036250000000001</v>
      </c>
      <c r="Q1305">
        <f t="shared" si="183"/>
        <v>8.9999999999999993E-3</v>
      </c>
      <c r="R1305">
        <f t="shared" si="184"/>
        <v>8.9999999999999993E-3</v>
      </c>
      <c r="S1305">
        <f t="shared" si="185"/>
        <v>0.84899999999999998</v>
      </c>
      <c r="T1305">
        <f t="shared" si="186"/>
        <v>2.3233333329999999</v>
      </c>
      <c r="U1305">
        <f t="shared" si="187"/>
        <v>8.0288184929999993</v>
      </c>
      <c r="V1305">
        <f t="shared" si="188"/>
        <v>2.1000000000000001E-2</v>
      </c>
      <c r="W1305">
        <f t="shared" si="189"/>
        <v>1.4E-2</v>
      </c>
      <c r="X1305">
        <f t="shared" si="190"/>
        <v>0.91400000000000003</v>
      </c>
      <c r="Y1305">
        <v>36.689728610000003</v>
      </c>
      <c r="Z1305">
        <v>0</v>
      </c>
      <c r="AA1305">
        <v>77808</v>
      </c>
      <c r="AB1305">
        <v>27489</v>
      </c>
      <c r="AC1305">
        <v>1.1225541E-2</v>
      </c>
      <c r="AD1305">
        <v>0.835708267</v>
      </c>
      <c r="AF1305">
        <v>15.036250000000001</v>
      </c>
      <c r="AG1305">
        <v>8.9999999999999993E-3</v>
      </c>
      <c r="AH1305">
        <v>8.9999999999999993E-3</v>
      </c>
      <c r="AI1305">
        <v>0.84899999999999998</v>
      </c>
      <c r="AJ1305">
        <v>2.3233333329999999</v>
      </c>
      <c r="AK1305">
        <v>8.0288184929999993</v>
      </c>
      <c r="AL1305">
        <v>2.1000000000000001E-2</v>
      </c>
      <c r="AM1305">
        <v>1.4E-2</v>
      </c>
      <c r="AN1305">
        <v>0.91400000000000003</v>
      </c>
    </row>
    <row r="1306" spans="1:40">
      <c r="A1306">
        <v>3374</v>
      </c>
      <c r="B1306" t="s">
        <v>692</v>
      </c>
      <c r="C1306" t="s">
        <v>693</v>
      </c>
      <c r="D1306" t="s">
        <v>694</v>
      </c>
      <c r="E1306">
        <v>0</v>
      </c>
      <c r="F1306">
        <v>0</v>
      </c>
      <c r="G1306">
        <v>121.03634889999999</v>
      </c>
      <c r="H1306">
        <v>216</v>
      </c>
      <c r="I1306">
        <v>0.189189001</v>
      </c>
      <c r="J1306">
        <v>216</v>
      </c>
      <c r="K1306">
        <v>1141.7154210000001</v>
      </c>
      <c r="L1306">
        <v>0.95399999999999996</v>
      </c>
      <c r="M1306" s="515">
        <v>1</v>
      </c>
      <c r="N1306">
        <v>0</v>
      </c>
      <c r="O1306" t="s">
        <v>625</v>
      </c>
      <c r="P1306">
        <f t="shared" si="182"/>
        <v>13.955272730000001</v>
      </c>
      <c r="Q1306">
        <f t="shared" si="183"/>
        <v>5.0000000000000001E-3</v>
      </c>
      <c r="R1306">
        <f t="shared" si="184"/>
        <v>1.9814814814814796E-2</v>
      </c>
      <c r="S1306">
        <f t="shared" si="185"/>
        <v>0.95399999999999996</v>
      </c>
      <c r="T1306">
        <f t="shared" si="186"/>
        <v>2.2234128568796301</v>
      </c>
      <c r="U1306">
        <f t="shared" si="187"/>
        <v>9.5767403309999999</v>
      </c>
      <c r="V1306">
        <f t="shared" si="188"/>
        <v>4.1084210526315765E-2</v>
      </c>
      <c r="W1306">
        <f t="shared" si="189"/>
        <v>4.7929411764705873E-2</v>
      </c>
      <c r="X1306">
        <f t="shared" si="190"/>
        <v>0.98199999999999998</v>
      </c>
      <c r="Y1306">
        <v>36.432084279999998</v>
      </c>
      <c r="Z1306">
        <v>0</v>
      </c>
      <c r="AA1306">
        <v>77808</v>
      </c>
      <c r="AB1306">
        <v>27489</v>
      </c>
      <c r="AC1306">
        <v>1.1225541E-2</v>
      </c>
      <c r="AD1306">
        <v>0.835708267</v>
      </c>
      <c r="AF1306">
        <v>13.955272730000001</v>
      </c>
      <c r="AG1306">
        <v>5.0000000000000001E-3</v>
      </c>
      <c r="AH1306">
        <v>0</v>
      </c>
      <c r="AI1306">
        <v>0.95399999999999996</v>
      </c>
      <c r="AK1306">
        <v>9.5767403309999999</v>
      </c>
      <c r="AL1306">
        <v>0</v>
      </c>
      <c r="AM1306">
        <v>0</v>
      </c>
      <c r="AN1306">
        <v>0.98199999999999998</v>
      </c>
    </row>
    <row r="1307" spans="1:40">
      <c r="A1307">
        <v>3375</v>
      </c>
      <c r="B1307" t="s">
        <v>707</v>
      </c>
      <c r="C1307" t="s">
        <v>693</v>
      </c>
      <c r="D1307" t="s">
        <v>694</v>
      </c>
      <c r="E1307">
        <v>0</v>
      </c>
      <c r="F1307">
        <v>0</v>
      </c>
      <c r="G1307">
        <v>704.98886340000001</v>
      </c>
      <c r="H1307">
        <v>19</v>
      </c>
      <c r="I1307" s="515">
        <v>1.1019727811995901</v>
      </c>
      <c r="J1307">
        <v>19</v>
      </c>
      <c r="K1307">
        <v>17.241805169999999</v>
      </c>
      <c r="L1307" s="515">
        <v>1</v>
      </c>
      <c r="M1307" s="515">
        <v>1</v>
      </c>
      <c r="N1307">
        <v>0</v>
      </c>
      <c r="O1307" t="s">
        <v>625</v>
      </c>
      <c r="P1307">
        <f t="shared" si="182"/>
        <v>5.47</v>
      </c>
      <c r="Q1307">
        <f t="shared" si="183"/>
        <v>2.0450000000000006E-2</v>
      </c>
      <c r="R1307">
        <f t="shared" si="184"/>
        <v>7.2846153846153852E-2</v>
      </c>
      <c r="S1307">
        <f t="shared" si="185"/>
        <v>1</v>
      </c>
      <c r="T1307">
        <f t="shared" si="186"/>
        <v>2.2191326312692303</v>
      </c>
      <c r="U1307">
        <f t="shared" si="187"/>
        <v>21.072500000000002</v>
      </c>
      <c r="V1307">
        <f t="shared" si="188"/>
        <v>0.11835714285714286</v>
      </c>
      <c r="W1307">
        <f t="shared" si="189"/>
        <v>8.5526315789473686E-2</v>
      </c>
      <c r="X1307">
        <f t="shared" si="190"/>
        <v>1</v>
      </c>
      <c r="Y1307">
        <v>36.396898749999998</v>
      </c>
      <c r="Z1307">
        <v>0</v>
      </c>
      <c r="AA1307">
        <v>21149</v>
      </c>
      <c r="AB1307">
        <v>6968</v>
      </c>
      <c r="AC1307">
        <v>1.6645858999999999E-2</v>
      </c>
      <c r="AD1307">
        <v>0.89069218999999999</v>
      </c>
      <c r="AF1307">
        <v>5.47</v>
      </c>
      <c r="AG1307">
        <v>0</v>
      </c>
      <c r="AH1307">
        <v>0</v>
      </c>
      <c r="AI1307">
        <v>1</v>
      </c>
      <c r="AK1307">
        <v>21.072500000000002</v>
      </c>
      <c r="AL1307">
        <v>0</v>
      </c>
      <c r="AM1307">
        <v>0</v>
      </c>
      <c r="AN1307">
        <v>1</v>
      </c>
    </row>
    <row r="1308" spans="1:40">
      <c r="A1308">
        <v>3376</v>
      </c>
      <c r="B1308" t="s">
        <v>707</v>
      </c>
      <c r="C1308" t="s">
        <v>693</v>
      </c>
      <c r="D1308" t="s">
        <v>694</v>
      </c>
      <c r="E1308">
        <v>43</v>
      </c>
      <c r="F1308">
        <v>140</v>
      </c>
      <c r="G1308">
        <v>2232.7665689999999</v>
      </c>
      <c r="H1308">
        <v>53</v>
      </c>
      <c r="I1308" s="515">
        <v>3.4899908394747698</v>
      </c>
      <c r="J1308">
        <v>193</v>
      </c>
      <c r="K1308">
        <v>55.301004749999997</v>
      </c>
      <c r="L1308">
        <v>0.95199999999999996</v>
      </c>
      <c r="M1308">
        <v>0.55208333300000001</v>
      </c>
      <c r="N1308">
        <v>0</v>
      </c>
      <c r="O1308" t="s">
        <v>620</v>
      </c>
      <c r="P1308">
        <f t="shared" si="182"/>
        <v>18.43588235</v>
      </c>
      <c r="Q1308">
        <f t="shared" si="183"/>
        <v>2.4E-2</v>
      </c>
      <c r="R1308">
        <f t="shared" si="184"/>
        <v>2.4E-2</v>
      </c>
      <c r="S1308">
        <f t="shared" si="185"/>
        <v>0.95199999999999996</v>
      </c>
      <c r="T1308">
        <f t="shared" si="186"/>
        <v>3.28</v>
      </c>
      <c r="U1308">
        <f t="shared" si="187"/>
        <v>11.032375</v>
      </c>
      <c r="V1308">
        <f t="shared" si="188"/>
        <v>9.5000000000000001E-2</v>
      </c>
      <c r="W1308">
        <f t="shared" si="189"/>
        <v>9.5000000000000001E-2</v>
      </c>
      <c r="X1308">
        <f t="shared" si="190"/>
        <v>0.81</v>
      </c>
      <c r="Y1308">
        <v>1.65188545</v>
      </c>
      <c r="Z1308">
        <v>0</v>
      </c>
      <c r="AA1308">
        <v>21149</v>
      </c>
      <c r="AB1308">
        <v>6968</v>
      </c>
      <c r="AC1308">
        <v>1.6645858999999999E-2</v>
      </c>
      <c r="AD1308">
        <v>0.89069218999999999</v>
      </c>
      <c r="AF1308">
        <v>18.43588235</v>
      </c>
      <c r="AG1308">
        <v>2.4E-2</v>
      </c>
      <c r="AH1308">
        <v>2.4E-2</v>
      </c>
      <c r="AI1308">
        <v>0.95199999999999996</v>
      </c>
      <c r="AJ1308">
        <v>3.28</v>
      </c>
      <c r="AK1308">
        <v>11.032375</v>
      </c>
      <c r="AL1308">
        <v>9.5000000000000001E-2</v>
      </c>
      <c r="AM1308">
        <v>9.5000000000000001E-2</v>
      </c>
      <c r="AN1308">
        <v>0.81</v>
      </c>
    </row>
    <row r="1309" spans="1:40">
      <c r="A1309">
        <v>3377</v>
      </c>
      <c r="B1309" t="s">
        <v>692</v>
      </c>
      <c r="C1309" t="s">
        <v>693</v>
      </c>
      <c r="D1309" t="s">
        <v>694</v>
      </c>
      <c r="E1309">
        <v>359</v>
      </c>
      <c r="F1309">
        <v>1161</v>
      </c>
      <c r="G1309">
        <v>101.64786599999999</v>
      </c>
      <c r="H1309">
        <v>52</v>
      </c>
      <c r="I1309">
        <v>0.15888439600000001</v>
      </c>
      <c r="J1309">
        <v>1213</v>
      </c>
      <c r="K1309">
        <v>7634.4816140000003</v>
      </c>
      <c r="L1309">
        <v>0.747</v>
      </c>
      <c r="M1309">
        <v>0.126520681</v>
      </c>
      <c r="N1309">
        <v>0</v>
      </c>
      <c r="O1309" t="s">
        <v>620</v>
      </c>
      <c r="P1309">
        <f t="shared" si="182"/>
        <v>16.37263158</v>
      </c>
      <c r="Q1309">
        <f t="shared" si="183"/>
        <v>1.0999999999999999E-2</v>
      </c>
      <c r="R1309">
        <f t="shared" si="184"/>
        <v>3.3000000000000002E-2</v>
      </c>
      <c r="S1309">
        <f t="shared" si="185"/>
        <v>0.747</v>
      </c>
      <c r="T1309">
        <f t="shared" si="186"/>
        <v>1.84</v>
      </c>
      <c r="U1309">
        <f t="shared" si="187"/>
        <v>7.8094499019999999</v>
      </c>
      <c r="V1309">
        <f t="shared" si="188"/>
        <v>3.6999999999999998E-2</v>
      </c>
      <c r="W1309">
        <f t="shared" si="189"/>
        <v>5.5E-2</v>
      </c>
      <c r="X1309">
        <f t="shared" si="190"/>
        <v>0.872</v>
      </c>
      <c r="Y1309">
        <v>33.216083580000003</v>
      </c>
      <c r="Z1309">
        <v>0</v>
      </c>
      <c r="AA1309">
        <v>77808</v>
      </c>
      <c r="AB1309">
        <v>27489</v>
      </c>
      <c r="AC1309">
        <v>1.1225541E-2</v>
      </c>
      <c r="AD1309">
        <v>0.835708267</v>
      </c>
      <c r="AF1309">
        <v>16.37263158</v>
      </c>
      <c r="AG1309">
        <v>1.0999999999999999E-2</v>
      </c>
      <c r="AH1309">
        <v>3.3000000000000002E-2</v>
      </c>
      <c r="AI1309">
        <v>0.747</v>
      </c>
      <c r="AJ1309">
        <v>1.84</v>
      </c>
      <c r="AK1309">
        <v>7.8094499019999999</v>
      </c>
      <c r="AL1309">
        <v>3.6999999999999998E-2</v>
      </c>
      <c r="AM1309">
        <v>5.5E-2</v>
      </c>
      <c r="AN1309">
        <v>0.872</v>
      </c>
    </row>
    <row r="1310" spans="1:40">
      <c r="A1310">
        <v>3378</v>
      </c>
      <c r="B1310" t="s">
        <v>692</v>
      </c>
      <c r="C1310" t="s">
        <v>693</v>
      </c>
      <c r="D1310" t="s">
        <v>694</v>
      </c>
      <c r="E1310">
        <v>406</v>
      </c>
      <c r="F1310">
        <v>996</v>
      </c>
      <c r="G1310">
        <v>88.533656460000003</v>
      </c>
      <c r="H1310">
        <v>1683</v>
      </c>
      <c r="I1310">
        <v>0.13838220200000001</v>
      </c>
      <c r="J1310">
        <v>2679</v>
      </c>
      <c r="K1310">
        <v>19359.425999999999</v>
      </c>
      <c r="L1310">
        <v>0.77400000000000002</v>
      </c>
      <c r="M1310">
        <v>0.80564863600000003</v>
      </c>
      <c r="N1310">
        <v>0</v>
      </c>
      <c r="O1310" t="s">
        <v>613</v>
      </c>
      <c r="P1310">
        <f t="shared" si="182"/>
        <v>16.249785710000001</v>
      </c>
      <c r="Q1310">
        <f t="shared" si="183"/>
        <v>0.01</v>
      </c>
      <c r="R1310">
        <f t="shared" si="184"/>
        <v>1.4E-2</v>
      </c>
      <c r="S1310">
        <f t="shared" si="185"/>
        <v>0.77400000000000002</v>
      </c>
      <c r="T1310">
        <f t="shared" si="186"/>
        <v>0.82121212099999996</v>
      </c>
      <c r="U1310">
        <f t="shared" si="187"/>
        <v>8.312295529</v>
      </c>
      <c r="V1310">
        <f t="shared" si="188"/>
        <v>2.8000000000000001E-2</v>
      </c>
      <c r="W1310">
        <f t="shared" si="189"/>
        <v>2.5000000000000001E-2</v>
      </c>
      <c r="X1310">
        <f t="shared" si="190"/>
        <v>0.878</v>
      </c>
      <c r="Y1310">
        <v>137.81572019999999</v>
      </c>
      <c r="Z1310">
        <v>0</v>
      </c>
      <c r="AA1310">
        <v>77808</v>
      </c>
      <c r="AB1310">
        <v>27489</v>
      </c>
      <c r="AC1310">
        <v>1.1225541E-2</v>
      </c>
      <c r="AD1310">
        <v>0.835708267</v>
      </c>
      <c r="AF1310">
        <v>16.249785710000001</v>
      </c>
      <c r="AG1310">
        <v>0.01</v>
      </c>
      <c r="AH1310">
        <v>1.4E-2</v>
      </c>
      <c r="AI1310">
        <v>0.77400000000000002</v>
      </c>
      <c r="AJ1310">
        <v>0.82121212099999996</v>
      </c>
      <c r="AK1310">
        <v>8.312295529</v>
      </c>
      <c r="AL1310">
        <v>2.8000000000000001E-2</v>
      </c>
      <c r="AM1310">
        <v>2.5000000000000001E-2</v>
      </c>
      <c r="AN1310">
        <v>0.878</v>
      </c>
    </row>
    <row r="1311" spans="1:40">
      <c r="A1311">
        <v>3379</v>
      </c>
      <c r="B1311" t="s">
        <v>692</v>
      </c>
      <c r="C1311" t="s">
        <v>693</v>
      </c>
      <c r="D1311" t="s">
        <v>694</v>
      </c>
      <c r="E1311">
        <v>338</v>
      </c>
      <c r="F1311">
        <v>951</v>
      </c>
      <c r="G1311">
        <v>37.428751480000003</v>
      </c>
      <c r="H1311">
        <v>162</v>
      </c>
      <c r="I1311">
        <v>5.8504322999999997E-2</v>
      </c>
      <c r="J1311">
        <v>1113</v>
      </c>
      <c r="K1311">
        <v>19024.23518</v>
      </c>
      <c r="L1311">
        <v>0.80300000000000005</v>
      </c>
      <c r="M1311">
        <v>0.32400000000000001</v>
      </c>
      <c r="N1311">
        <v>0</v>
      </c>
      <c r="O1311" t="s">
        <v>620</v>
      </c>
      <c r="P1311">
        <f t="shared" si="182"/>
        <v>15.587578949999999</v>
      </c>
      <c r="Q1311">
        <f t="shared" si="183"/>
        <v>1.7999999999999999E-2</v>
      </c>
      <c r="R1311">
        <f t="shared" si="184"/>
        <v>1.4999999999999999E-2</v>
      </c>
      <c r="S1311">
        <f t="shared" si="185"/>
        <v>0.80300000000000005</v>
      </c>
      <c r="T1311">
        <f t="shared" si="186"/>
        <v>1.7853846149999999</v>
      </c>
      <c r="U1311">
        <f t="shared" si="187"/>
        <v>7.4060746269999997</v>
      </c>
      <c r="V1311">
        <f t="shared" si="188"/>
        <v>1.7000000000000001E-2</v>
      </c>
      <c r="W1311">
        <f t="shared" si="189"/>
        <v>6.7000000000000004E-2</v>
      </c>
      <c r="X1311">
        <f t="shared" si="190"/>
        <v>0.79200000000000004</v>
      </c>
      <c r="Y1311">
        <v>170.4849529</v>
      </c>
      <c r="Z1311">
        <v>0</v>
      </c>
      <c r="AA1311">
        <v>77808</v>
      </c>
      <c r="AB1311">
        <v>27489</v>
      </c>
      <c r="AC1311">
        <v>1.1225541E-2</v>
      </c>
      <c r="AD1311">
        <v>0.835708267</v>
      </c>
      <c r="AF1311">
        <v>15.587578949999999</v>
      </c>
      <c r="AG1311">
        <v>1.7999999999999999E-2</v>
      </c>
      <c r="AH1311">
        <v>1.4999999999999999E-2</v>
      </c>
      <c r="AI1311">
        <v>0.80300000000000005</v>
      </c>
      <c r="AJ1311">
        <v>1.7853846149999999</v>
      </c>
      <c r="AK1311">
        <v>7.4060746269999997</v>
      </c>
      <c r="AL1311">
        <v>1.7000000000000001E-2</v>
      </c>
      <c r="AM1311">
        <v>6.7000000000000004E-2</v>
      </c>
      <c r="AN1311">
        <v>0.79200000000000004</v>
      </c>
    </row>
    <row r="1312" spans="1:40">
      <c r="A1312">
        <v>3380</v>
      </c>
      <c r="B1312" t="s">
        <v>692</v>
      </c>
      <c r="C1312" t="s">
        <v>693</v>
      </c>
      <c r="D1312" t="s">
        <v>694</v>
      </c>
      <c r="E1312">
        <v>291</v>
      </c>
      <c r="F1312">
        <v>829</v>
      </c>
      <c r="G1312">
        <v>62.248372259999996</v>
      </c>
      <c r="H1312">
        <v>0</v>
      </c>
      <c r="I1312">
        <v>9.7297527999999994E-2</v>
      </c>
      <c r="J1312">
        <v>829</v>
      </c>
      <c r="K1312">
        <v>8520.2575749999996</v>
      </c>
      <c r="L1312">
        <v>0.755</v>
      </c>
      <c r="M1312">
        <v>0</v>
      </c>
      <c r="N1312">
        <v>0</v>
      </c>
      <c r="O1312" t="s">
        <v>620</v>
      </c>
      <c r="P1312">
        <f t="shared" si="182"/>
        <v>12.47459016</v>
      </c>
      <c r="Q1312">
        <f t="shared" si="183"/>
        <v>1.4E-2</v>
      </c>
      <c r="R1312">
        <f t="shared" si="184"/>
        <v>3.6999999999999998E-2</v>
      </c>
      <c r="S1312">
        <f t="shared" si="185"/>
        <v>0.755</v>
      </c>
      <c r="T1312">
        <f t="shared" si="186"/>
        <v>2.5449999999999999</v>
      </c>
      <c r="U1312">
        <f t="shared" si="187"/>
        <v>6.7178504669999999</v>
      </c>
      <c r="V1312">
        <f t="shared" si="188"/>
        <v>0.127</v>
      </c>
      <c r="W1312">
        <f t="shared" si="189"/>
        <v>7.5999999999999998E-2</v>
      </c>
      <c r="X1312">
        <f t="shared" si="190"/>
        <v>0.77200000000000002</v>
      </c>
      <c r="Y1312">
        <v>132.81045069999999</v>
      </c>
      <c r="Z1312">
        <v>0</v>
      </c>
      <c r="AA1312">
        <v>77808</v>
      </c>
      <c r="AB1312">
        <v>27489</v>
      </c>
      <c r="AC1312">
        <v>1.1225541E-2</v>
      </c>
      <c r="AD1312">
        <v>0.835708267</v>
      </c>
      <c r="AF1312">
        <v>12.47459016</v>
      </c>
      <c r="AG1312">
        <v>1.4E-2</v>
      </c>
      <c r="AH1312">
        <v>3.6999999999999998E-2</v>
      </c>
      <c r="AI1312">
        <v>0.755</v>
      </c>
      <c r="AJ1312">
        <v>2.5449999999999999</v>
      </c>
      <c r="AK1312">
        <v>6.7178504669999999</v>
      </c>
      <c r="AL1312">
        <v>0.127</v>
      </c>
      <c r="AM1312">
        <v>7.5999999999999998E-2</v>
      </c>
      <c r="AN1312">
        <v>0.77200000000000002</v>
      </c>
    </row>
    <row r="1313" spans="1:40">
      <c r="A1313">
        <v>3381</v>
      </c>
      <c r="B1313" t="s">
        <v>692</v>
      </c>
      <c r="C1313" t="s">
        <v>693</v>
      </c>
      <c r="D1313" t="s">
        <v>694</v>
      </c>
      <c r="E1313">
        <v>3</v>
      </c>
      <c r="F1313">
        <v>8</v>
      </c>
      <c r="G1313">
        <v>19.13963953</v>
      </c>
      <c r="H1313">
        <v>563</v>
      </c>
      <c r="I1313">
        <v>2.9918956E-2</v>
      </c>
      <c r="J1313">
        <v>571</v>
      </c>
      <c r="K1313">
        <v>19084.890530000001</v>
      </c>
      <c r="L1313">
        <v>0.83799999999999997</v>
      </c>
      <c r="M1313">
        <v>0.99469964700000002</v>
      </c>
      <c r="N1313">
        <v>0</v>
      </c>
      <c r="O1313" t="s">
        <v>620</v>
      </c>
      <c r="P1313">
        <f t="shared" si="182"/>
        <v>16.342765960000001</v>
      </c>
      <c r="Q1313">
        <f t="shared" si="183"/>
        <v>1.2E-2</v>
      </c>
      <c r="R1313">
        <f t="shared" si="184"/>
        <v>2.7E-2</v>
      </c>
      <c r="S1313">
        <f t="shared" si="185"/>
        <v>0.83799999999999997</v>
      </c>
      <c r="T1313">
        <f t="shared" si="186"/>
        <v>2.2577777779999999</v>
      </c>
      <c r="U1313">
        <f t="shared" si="187"/>
        <v>9.7659428570000006</v>
      </c>
      <c r="V1313">
        <f t="shared" si="188"/>
        <v>5.1999999999999998E-2</v>
      </c>
      <c r="W1313">
        <f t="shared" si="189"/>
        <v>7.0000000000000007E-2</v>
      </c>
      <c r="X1313">
        <f t="shared" si="190"/>
        <v>0.81699999999999995</v>
      </c>
      <c r="Y1313">
        <v>112.5326494</v>
      </c>
      <c r="Z1313">
        <v>0</v>
      </c>
      <c r="AA1313">
        <v>77808</v>
      </c>
      <c r="AB1313">
        <v>27489</v>
      </c>
      <c r="AC1313">
        <v>1.1225541E-2</v>
      </c>
      <c r="AD1313">
        <v>0.835708267</v>
      </c>
      <c r="AF1313">
        <v>16.342765960000001</v>
      </c>
      <c r="AG1313">
        <v>1.2E-2</v>
      </c>
      <c r="AH1313">
        <v>2.7E-2</v>
      </c>
      <c r="AI1313">
        <v>0.83799999999999997</v>
      </c>
      <c r="AJ1313">
        <v>2.2577777779999999</v>
      </c>
      <c r="AK1313">
        <v>9.7659428570000006</v>
      </c>
      <c r="AL1313">
        <v>5.1999999999999998E-2</v>
      </c>
      <c r="AM1313">
        <v>7.0000000000000007E-2</v>
      </c>
      <c r="AN1313">
        <v>0.81699999999999995</v>
      </c>
    </row>
    <row r="1314" spans="1:40">
      <c r="A1314">
        <v>3382</v>
      </c>
      <c r="B1314" t="s">
        <v>692</v>
      </c>
      <c r="C1314" t="s">
        <v>693</v>
      </c>
      <c r="D1314" t="s">
        <v>694</v>
      </c>
      <c r="E1314">
        <v>110</v>
      </c>
      <c r="F1314">
        <v>268</v>
      </c>
      <c r="G1314">
        <v>39.702054410000002</v>
      </c>
      <c r="H1314">
        <v>11</v>
      </c>
      <c r="I1314">
        <v>6.2054209999999999E-2</v>
      </c>
      <c r="J1314">
        <v>279</v>
      </c>
      <c r="K1314">
        <v>4496.0688399999999</v>
      </c>
      <c r="L1314">
        <v>0.872</v>
      </c>
      <c r="M1314">
        <v>9.0909090999999997E-2</v>
      </c>
      <c r="N1314">
        <v>0</v>
      </c>
      <c r="O1314" t="s">
        <v>625</v>
      </c>
      <c r="P1314">
        <f t="shared" si="182"/>
        <v>12.048974360000001</v>
      </c>
      <c r="Q1314">
        <f t="shared" si="183"/>
        <v>1.2828282828282822E-2</v>
      </c>
      <c r="R1314">
        <f t="shared" si="184"/>
        <v>1.2E-2</v>
      </c>
      <c r="S1314">
        <f t="shared" si="185"/>
        <v>0.872</v>
      </c>
      <c r="T1314">
        <f t="shared" si="186"/>
        <v>1.415</v>
      </c>
      <c r="U1314">
        <f t="shared" si="187"/>
        <v>6.7811188810000003</v>
      </c>
      <c r="V1314">
        <f t="shared" si="188"/>
        <v>4.9000000000000002E-2</v>
      </c>
      <c r="W1314">
        <f t="shared" si="189"/>
        <v>4.7929411764705873E-2</v>
      </c>
      <c r="X1314">
        <f t="shared" si="190"/>
        <v>0.95099999999999996</v>
      </c>
      <c r="Y1314">
        <v>112.4470439</v>
      </c>
      <c r="Z1314">
        <v>0</v>
      </c>
      <c r="AA1314">
        <v>77808</v>
      </c>
      <c r="AB1314">
        <v>27489</v>
      </c>
      <c r="AC1314">
        <v>1.1225541E-2</v>
      </c>
      <c r="AD1314">
        <v>0.835708267</v>
      </c>
      <c r="AF1314">
        <v>12.048974360000001</v>
      </c>
      <c r="AG1314">
        <v>0</v>
      </c>
      <c r="AH1314">
        <v>1.2E-2</v>
      </c>
      <c r="AI1314">
        <v>0.872</v>
      </c>
      <c r="AJ1314">
        <v>1.415</v>
      </c>
      <c r="AK1314">
        <v>6.7811188810000003</v>
      </c>
      <c r="AL1314">
        <v>4.9000000000000002E-2</v>
      </c>
      <c r="AM1314">
        <v>0</v>
      </c>
      <c r="AN1314">
        <v>0.95099999999999996</v>
      </c>
    </row>
    <row r="1315" spans="1:40">
      <c r="A1315">
        <v>3383</v>
      </c>
      <c r="B1315" t="s">
        <v>692</v>
      </c>
      <c r="C1315" t="s">
        <v>693</v>
      </c>
      <c r="D1315" t="s">
        <v>694</v>
      </c>
      <c r="E1315">
        <v>160</v>
      </c>
      <c r="F1315">
        <v>409</v>
      </c>
      <c r="G1315">
        <v>35.750326600000001</v>
      </c>
      <c r="H1315">
        <v>71</v>
      </c>
      <c r="I1315">
        <v>5.5879178000000002E-2</v>
      </c>
      <c r="J1315">
        <v>480</v>
      </c>
      <c r="K1315">
        <v>8589.9617209999997</v>
      </c>
      <c r="L1315">
        <v>0.88100000000000001</v>
      </c>
      <c r="M1315">
        <v>0.30735930700000003</v>
      </c>
      <c r="N1315">
        <v>0</v>
      </c>
      <c r="O1315" t="s">
        <v>620</v>
      </c>
      <c r="P1315">
        <f t="shared" si="182"/>
        <v>14.45243902</v>
      </c>
      <c r="Q1315">
        <f t="shared" si="183"/>
        <v>8.0000000000000002E-3</v>
      </c>
      <c r="R1315">
        <f t="shared" si="184"/>
        <v>1.6E-2</v>
      </c>
      <c r="S1315">
        <f t="shared" si="185"/>
        <v>0.88100000000000001</v>
      </c>
      <c r="T1315">
        <f t="shared" si="186"/>
        <v>1.3325</v>
      </c>
      <c r="U1315">
        <f t="shared" si="187"/>
        <v>8.8700450449999995</v>
      </c>
      <c r="V1315">
        <f t="shared" si="188"/>
        <v>4.7E-2</v>
      </c>
      <c r="W1315">
        <f t="shared" si="189"/>
        <v>4.7929411764705873E-2</v>
      </c>
      <c r="X1315">
        <f t="shared" si="190"/>
        <v>0.95299999999999996</v>
      </c>
      <c r="Y1315">
        <v>112.3214265</v>
      </c>
      <c r="Z1315">
        <v>0</v>
      </c>
      <c r="AA1315">
        <v>77808</v>
      </c>
      <c r="AB1315">
        <v>27489</v>
      </c>
      <c r="AC1315">
        <v>1.1225541E-2</v>
      </c>
      <c r="AD1315">
        <v>0.835708267</v>
      </c>
      <c r="AF1315">
        <v>14.45243902</v>
      </c>
      <c r="AG1315">
        <v>8.0000000000000002E-3</v>
      </c>
      <c r="AH1315">
        <v>1.6E-2</v>
      </c>
      <c r="AI1315">
        <v>0.88100000000000001</v>
      </c>
      <c r="AJ1315">
        <v>1.3325</v>
      </c>
      <c r="AK1315">
        <v>8.8700450449999995</v>
      </c>
      <c r="AL1315">
        <v>4.7E-2</v>
      </c>
      <c r="AM1315">
        <v>0</v>
      </c>
      <c r="AN1315">
        <v>0.95299999999999996</v>
      </c>
    </row>
    <row r="1316" spans="1:40">
      <c r="A1316">
        <v>3384</v>
      </c>
      <c r="B1316" t="s">
        <v>692</v>
      </c>
      <c r="C1316" t="s">
        <v>693</v>
      </c>
      <c r="D1316" t="s">
        <v>694</v>
      </c>
      <c r="E1316">
        <v>427</v>
      </c>
      <c r="F1316">
        <v>989</v>
      </c>
      <c r="G1316">
        <v>56.596496559999999</v>
      </c>
      <c r="H1316">
        <v>624</v>
      </c>
      <c r="I1316">
        <v>8.8459985000000005E-2</v>
      </c>
      <c r="J1316">
        <v>1613</v>
      </c>
      <c r="K1316">
        <v>18234.233250000001</v>
      </c>
      <c r="L1316">
        <v>0.76300000000000001</v>
      </c>
      <c r="M1316">
        <v>0.59372026600000005</v>
      </c>
      <c r="N1316">
        <v>0</v>
      </c>
      <c r="O1316" t="s">
        <v>620</v>
      </c>
      <c r="P1316">
        <f t="shared" si="182"/>
        <v>17.14818966</v>
      </c>
      <c r="Q1316">
        <f t="shared" si="183"/>
        <v>1.2E-2</v>
      </c>
      <c r="R1316">
        <f t="shared" si="184"/>
        <v>0.02</v>
      </c>
      <c r="S1316">
        <f t="shared" si="185"/>
        <v>0.76300000000000001</v>
      </c>
      <c r="T1316">
        <f t="shared" si="186"/>
        <v>1.586666667</v>
      </c>
      <c r="U1316">
        <f t="shared" si="187"/>
        <v>8.4948372780000003</v>
      </c>
      <c r="V1316">
        <f t="shared" si="188"/>
        <v>5.6000000000000001E-2</v>
      </c>
      <c r="W1316">
        <f t="shared" si="189"/>
        <v>4.9000000000000002E-2</v>
      </c>
      <c r="X1316">
        <f t="shared" si="190"/>
        <v>0.81100000000000005</v>
      </c>
      <c r="Y1316">
        <v>112.2939033</v>
      </c>
      <c r="Z1316">
        <v>0</v>
      </c>
      <c r="AA1316">
        <v>77808</v>
      </c>
      <c r="AB1316">
        <v>27489</v>
      </c>
      <c r="AC1316">
        <v>1.1225541E-2</v>
      </c>
      <c r="AD1316">
        <v>0.835708267</v>
      </c>
      <c r="AF1316">
        <v>17.14818966</v>
      </c>
      <c r="AG1316">
        <v>1.2E-2</v>
      </c>
      <c r="AH1316">
        <v>0.02</v>
      </c>
      <c r="AI1316">
        <v>0.76300000000000001</v>
      </c>
      <c r="AJ1316">
        <v>1.586666667</v>
      </c>
      <c r="AK1316">
        <v>8.4948372780000003</v>
      </c>
      <c r="AL1316">
        <v>5.6000000000000001E-2</v>
      </c>
      <c r="AM1316">
        <v>4.9000000000000002E-2</v>
      </c>
      <c r="AN1316">
        <v>0.81100000000000005</v>
      </c>
    </row>
    <row r="1317" spans="1:40">
      <c r="A1317">
        <v>3385</v>
      </c>
      <c r="B1317" t="s">
        <v>692</v>
      </c>
      <c r="C1317" t="s">
        <v>693</v>
      </c>
      <c r="D1317" t="s">
        <v>694</v>
      </c>
      <c r="E1317">
        <v>21</v>
      </c>
      <c r="F1317">
        <v>51</v>
      </c>
      <c r="G1317">
        <v>126.41294670000001</v>
      </c>
      <c r="H1317">
        <v>1784</v>
      </c>
      <c r="I1317">
        <v>0.197589282</v>
      </c>
      <c r="J1317">
        <v>1835</v>
      </c>
      <c r="K1317">
        <v>9286.9409790000009</v>
      </c>
      <c r="L1317">
        <v>0.90400000000000003</v>
      </c>
      <c r="M1317">
        <v>0.98836565099999996</v>
      </c>
      <c r="N1317">
        <v>0</v>
      </c>
      <c r="O1317" t="s">
        <v>620</v>
      </c>
      <c r="P1317">
        <f t="shared" si="182"/>
        <v>18.698510639999999</v>
      </c>
      <c r="Q1317">
        <f t="shared" si="183"/>
        <v>3.0000000000000001E-3</v>
      </c>
      <c r="R1317">
        <f t="shared" si="184"/>
        <v>1.7999999999999999E-2</v>
      </c>
      <c r="S1317">
        <f t="shared" si="185"/>
        <v>0.90400000000000003</v>
      </c>
      <c r="T1317">
        <f t="shared" si="186"/>
        <v>1.723181818</v>
      </c>
      <c r="U1317">
        <f t="shared" si="187"/>
        <v>11.402750230000001</v>
      </c>
      <c r="V1317">
        <f t="shared" si="188"/>
        <v>3.2000000000000001E-2</v>
      </c>
      <c r="W1317">
        <f t="shared" si="189"/>
        <v>8.0000000000000002E-3</v>
      </c>
      <c r="X1317">
        <f t="shared" si="190"/>
        <v>0.94799999999999995</v>
      </c>
      <c r="Y1317">
        <v>112.0716382</v>
      </c>
      <c r="Z1317">
        <v>0</v>
      </c>
      <c r="AA1317">
        <v>77808</v>
      </c>
      <c r="AB1317">
        <v>27489</v>
      </c>
      <c r="AC1317">
        <v>1.1225541E-2</v>
      </c>
      <c r="AD1317">
        <v>0.835708267</v>
      </c>
      <c r="AF1317">
        <v>18.698510639999999</v>
      </c>
      <c r="AG1317">
        <v>3.0000000000000001E-3</v>
      </c>
      <c r="AH1317">
        <v>1.7999999999999999E-2</v>
      </c>
      <c r="AI1317">
        <v>0.90400000000000003</v>
      </c>
      <c r="AJ1317">
        <v>1.723181818</v>
      </c>
      <c r="AK1317">
        <v>11.402750230000001</v>
      </c>
      <c r="AL1317">
        <v>3.2000000000000001E-2</v>
      </c>
      <c r="AM1317">
        <v>8.0000000000000002E-3</v>
      </c>
      <c r="AN1317">
        <v>0.94799999999999995</v>
      </c>
    </row>
    <row r="1318" spans="1:40">
      <c r="A1318">
        <v>3386</v>
      </c>
      <c r="B1318" t="s">
        <v>692</v>
      </c>
      <c r="C1318" t="s">
        <v>693</v>
      </c>
      <c r="D1318" t="s">
        <v>694</v>
      </c>
      <c r="E1318">
        <v>126</v>
      </c>
      <c r="F1318">
        <v>311</v>
      </c>
      <c r="G1318">
        <v>162.17667069999999</v>
      </c>
      <c r="H1318">
        <v>367</v>
      </c>
      <c r="I1318">
        <v>0.253495949</v>
      </c>
      <c r="J1318">
        <v>678</v>
      </c>
      <c r="K1318">
        <v>2674.598954</v>
      </c>
      <c r="L1318">
        <v>0.85299999999999998</v>
      </c>
      <c r="M1318">
        <v>0.74442190699999999</v>
      </c>
      <c r="N1318">
        <v>0</v>
      </c>
      <c r="O1318" t="s">
        <v>620</v>
      </c>
      <c r="P1318">
        <f t="shared" si="182"/>
        <v>14.32555556</v>
      </c>
      <c r="Q1318">
        <f t="shared" si="183"/>
        <v>1.2828282828282822E-2</v>
      </c>
      <c r="R1318">
        <f t="shared" si="184"/>
        <v>0.02</v>
      </c>
      <c r="S1318">
        <f t="shared" si="185"/>
        <v>0.85299999999999998</v>
      </c>
      <c r="T1318">
        <f t="shared" si="186"/>
        <v>1.725833333</v>
      </c>
      <c r="U1318">
        <f t="shared" si="187"/>
        <v>8.4715236049999998</v>
      </c>
      <c r="V1318">
        <f t="shared" si="188"/>
        <v>2.3E-2</v>
      </c>
      <c r="W1318">
        <f t="shared" si="189"/>
        <v>4.7929411764705873E-2</v>
      </c>
      <c r="X1318">
        <f t="shared" si="190"/>
        <v>0.93100000000000005</v>
      </c>
      <c r="Y1318">
        <v>112.2051053</v>
      </c>
      <c r="Z1318">
        <v>0</v>
      </c>
      <c r="AA1318">
        <v>77808</v>
      </c>
      <c r="AB1318">
        <v>27489</v>
      </c>
      <c r="AC1318">
        <v>1.1225541E-2</v>
      </c>
      <c r="AD1318">
        <v>0.835708267</v>
      </c>
      <c r="AF1318">
        <v>14.32555556</v>
      </c>
      <c r="AG1318">
        <v>0</v>
      </c>
      <c r="AH1318">
        <v>0.02</v>
      </c>
      <c r="AI1318">
        <v>0.85299999999999998</v>
      </c>
      <c r="AJ1318">
        <v>1.725833333</v>
      </c>
      <c r="AK1318">
        <v>8.4715236049999998</v>
      </c>
      <c r="AL1318">
        <v>2.3E-2</v>
      </c>
      <c r="AM1318">
        <v>0</v>
      </c>
      <c r="AN1318">
        <v>0.93100000000000005</v>
      </c>
    </row>
    <row r="1319" spans="1:40">
      <c r="A1319">
        <v>3387</v>
      </c>
      <c r="B1319" t="s">
        <v>692</v>
      </c>
      <c r="C1319" t="s">
        <v>693</v>
      </c>
      <c r="D1319" t="s">
        <v>694</v>
      </c>
      <c r="E1319">
        <v>0</v>
      </c>
      <c r="F1319">
        <v>0</v>
      </c>
      <c r="G1319">
        <v>111.9659458</v>
      </c>
      <c r="H1319">
        <v>4077</v>
      </c>
      <c r="I1319">
        <v>0.175020391</v>
      </c>
      <c r="J1319">
        <v>4077</v>
      </c>
      <c r="K1319">
        <v>23294.42859</v>
      </c>
      <c r="L1319">
        <v>0.88700000000000001</v>
      </c>
      <c r="M1319" s="515">
        <v>1</v>
      </c>
      <c r="N1319">
        <v>0</v>
      </c>
      <c r="O1319" t="s">
        <v>620</v>
      </c>
      <c r="P1319">
        <f t="shared" si="182"/>
        <v>17.52918773</v>
      </c>
      <c r="Q1319">
        <f t="shared" si="183"/>
        <v>3.0000000000000001E-3</v>
      </c>
      <c r="R1319">
        <f t="shared" si="184"/>
        <v>1.9E-2</v>
      </c>
      <c r="S1319">
        <f t="shared" si="185"/>
        <v>0.88700000000000001</v>
      </c>
      <c r="T1319">
        <f t="shared" si="186"/>
        <v>2.3696874999999999</v>
      </c>
      <c r="U1319">
        <f t="shared" si="187"/>
        <v>10.161804760000001</v>
      </c>
      <c r="V1319">
        <f t="shared" si="188"/>
        <v>4.3999999999999997E-2</v>
      </c>
      <c r="W1319">
        <f t="shared" si="189"/>
        <v>8.0000000000000002E-3</v>
      </c>
      <c r="X1319">
        <f t="shared" si="190"/>
        <v>0.93100000000000005</v>
      </c>
      <c r="Y1319">
        <v>112.2259846</v>
      </c>
      <c r="Z1319">
        <v>0</v>
      </c>
      <c r="AA1319">
        <v>77808</v>
      </c>
      <c r="AB1319">
        <v>27489</v>
      </c>
      <c r="AC1319">
        <v>1.1225541E-2</v>
      </c>
      <c r="AD1319">
        <v>0.835708267</v>
      </c>
      <c r="AF1319">
        <v>17.52918773</v>
      </c>
      <c r="AG1319">
        <v>3.0000000000000001E-3</v>
      </c>
      <c r="AH1319">
        <v>1.9E-2</v>
      </c>
      <c r="AI1319">
        <v>0.88700000000000001</v>
      </c>
      <c r="AJ1319">
        <v>2.3696874999999999</v>
      </c>
      <c r="AK1319">
        <v>10.161804760000001</v>
      </c>
      <c r="AL1319">
        <v>4.3999999999999997E-2</v>
      </c>
      <c r="AM1319">
        <v>8.0000000000000002E-3</v>
      </c>
      <c r="AN1319">
        <v>0.93100000000000005</v>
      </c>
    </row>
    <row r="1320" spans="1:40">
      <c r="A1320">
        <v>3388</v>
      </c>
      <c r="B1320" t="s">
        <v>692</v>
      </c>
      <c r="C1320" t="s">
        <v>693</v>
      </c>
      <c r="D1320" t="s">
        <v>694</v>
      </c>
      <c r="E1320">
        <v>0</v>
      </c>
      <c r="F1320">
        <v>0</v>
      </c>
      <c r="G1320">
        <v>164.76367310000001</v>
      </c>
      <c r="H1320">
        <v>367</v>
      </c>
      <c r="I1320">
        <v>0.25754595800000002</v>
      </c>
      <c r="J1320">
        <v>367</v>
      </c>
      <c r="K1320">
        <v>1424.98839</v>
      </c>
      <c r="L1320">
        <v>0.86899999999999999</v>
      </c>
      <c r="M1320" s="515">
        <v>1</v>
      </c>
      <c r="N1320">
        <v>0</v>
      </c>
      <c r="O1320" t="s">
        <v>620</v>
      </c>
      <c r="P1320">
        <f t="shared" si="182"/>
        <v>16.875471699999999</v>
      </c>
      <c r="Q1320">
        <f t="shared" si="183"/>
        <v>7.0000000000000001E-3</v>
      </c>
      <c r="R1320">
        <f t="shared" si="184"/>
        <v>7.0000000000000001E-3</v>
      </c>
      <c r="S1320">
        <f t="shared" si="185"/>
        <v>0.86899999999999999</v>
      </c>
      <c r="T1320">
        <f t="shared" si="186"/>
        <v>5.31</v>
      </c>
      <c r="U1320">
        <f t="shared" si="187"/>
        <v>10.97517375</v>
      </c>
      <c r="V1320">
        <f t="shared" si="188"/>
        <v>3.4000000000000002E-2</v>
      </c>
      <c r="W1320">
        <f t="shared" si="189"/>
        <v>3.4000000000000002E-2</v>
      </c>
      <c r="X1320">
        <f t="shared" si="190"/>
        <v>0.89800000000000002</v>
      </c>
      <c r="Y1320">
        <v>112.32792019999999</v>
      </c>
      <c r="Z1320">
        <v>0</v>
      </c>
      <c r="AA1320">
        <v>77808</v>
      </c>
      <c r="AB1320">
        <v>27489</v>
      </c>
      <c r="AC1320">
        <v>1.1225541E-2</v>
      </c>
      <c r="AD1320">
        <v>0.835708267</v>
      </c>
      <c r="AF1320">
        <v>16.875471699999999</v>
      </c>
      <c r="AG1320">
        <v>7.0000000000000001E-3</v>
      </c>
      <c r="AH1320">
        <v>7.0000000000000001E-3</v>
      </c>
      <c r="AI1320">
        <v>0.86899999999999999</v>
      </c>
      <c r="AJ1320">
        <v>5.31</v>
      </c>
      <c r="AK1320">
        <v>10.97517375</v>
      </c>
      <c r="AL1320">
        <v>3.4000000000000002E-2</v>
      </c>
      <c r="AM1320">
        <v>3.4000000000000002E-2</v>
      </c>
      <c r="AN1320">
        <v>0.89800000000000002</v>
      </c>
    </row>
    <row r="1321" spans="1:40">
      <c r="A1321">
        <v>3389</v>
      </c>
      <c r="B1321" t="s">
        <v>692</v>
      </c>
      <c r="C1321" t="s">
        <v>693</v>
      </c>
      <c r="D1321" t="s">
        <v>694</v>
      </c>
      <c r="E1321">
        <v>88</v>
      </c>
      <c r="F1321">
        <v>285</v>
      </c>
      <c r="G1321">
        <v>29.59146324</v>
      </c>
      <c r="H1321">
        <v>411</v>
      </c>
      <c r="I1321">
        <v>4.6253885000000002E-2</v>
      </c>
      <c r="J1321">
        <v>696</v>
      </c>
      <c r="K1321">
        <v>15047.384669999999</v>
      </c>
      <c r="L1321">
        <v>0.78100000000000003</v>
      </c>
      <c r="M1321">
        <v>0.823647295</v>
      </c>
      <c r="N1321">
        <v>0</v>
      </c>
      <c r="O1321" t="s">
        <v>620</v>
      </c>
      <c r="P1321">
        <f t="shared" si="182"/>
        <v>18.332999999999998</v>
      </c>
      <c r="Q1321">
        <f t="shared" si="183"/>
        <v>2E-3</v>
      </c>
      <c r="R1321">
        <f t="shared" si="184"/>
        <v>2.7E-2</v>
      </c>
      <c r="S1321">
        <f t="shared" si="185"/>
        <v>0.78100000000000003</v>
      </c>
      <c r="T1321">
        <f t="shared" si="186"/>
        <v>1.219411765</v>
      </c>
      <c r="U1321">
        <f t="shared" si="187"/>
        <v>9.4510000000000005</v>
      </c>
      <c r="V1321">
        <f t="shared" si="188"/>
        <v>3.7999999999999999E-2</v>
      </c>
      <c r="W1321">
        <f t="shared" si="189"/>
        <v>8.9999999999999993E-3</v>
      </c>
      <c r="X1321">
        <f t="shared" si="190"/>
        <v>0.84899999999999998</v>
      </c>
      <c r="Y1321">
        <v>97.060469299999994</v>
      </c>
      <c r="Z1321">
        <v>0</v>
      </c>
      <c r="AA1321">
        <v>77808</v>
      </c>
      <c r="AB1321">
        <v>27489</v>
      </c>
      <c r="AC1321">
        <v>1.1225541E-2</v>
      </c>
      <c r="AD1321">
        <v>0.835708267</v>
      </c>
      <c r="AF1321">
        <v>18.332999999999998</v>
      </c>
      <c r="AG1321">
        <v>2E-3</v>
      </c>
      <c r="AH1321">
        <v>2.7E-2</v>
      </c>
      <c r="AI1321">
        <v>0.78100000000000003</v>
      </c>
      <c r="AJ1321">
        <v>1.219411765</v>
      </c>
      <c r="AK1321">
        <v>9.4510000000000005</v>
      </c>
      <c r="AL1321">
        <v>3.7999999999999999E-2</v>
      </c>
      <c r="AM1321">
        <v>8.9999999999999993E-3</v>
      </c>
      <c r="AN1321">
        <v>0.84899999999999998</v>
      </c>
    </row>
    <row r="1322" spans="1:40">
      <c r="A1322">
        <v>3390</v>
      </c>
      <c r="B1322" t="s">
        <v>692</v>
      </c>
      <c r="C1322" t="s">
        <v>693</v>
      </c>
      <c r="D1322" t="s">
        <v>694</v>
      </c>
      <c r="E1322">
        <v>8</v>
      </c>
      <c r="F1322">
        <v>52</v>
      </c>
      <c r="G1322">
        <v>27.358104149999999</v>
      </c>
      <c r="H1322">
        <v>400</v>
      </c>
      <c r="I1322">
        <v>4.2767158E-2</v>
      </c>
      <c r="J1322">
        <v>452</v>
      </c>
      <c r="K1322">
        <v>10568.857529999999</v>
      </c>
      <c r="L1322">
        <v>0.89700000000000002</v>
      </c>
      <c r="M1322">
        <v>0.98039215700000004</v>
      </c>
      <c r="N1322">
        <v>0</v>
      </c>
      <c r="O1322" t="s">
        <v>620</v>
      </c>
      <c r="P1322">
        <f t="shared" si="182"/>
        <v>14.999545449999999</v>
      </c>
      <c r="Q1322">
        <f t="shared" si="183"/>
        <v>1.2828282828282822E-2</v>
      </c>
      <c r="R1322">
        <f t="shared" si="184"/>
        <v>1.7000000000000001E-2</v>
      </c>
      <c r="S1322">
        <f t="shared" si="185"/>
        <v>0.89700000000000002</v>
      </c>
      <c r="T1322">
        <f t="shared" si="186"/>
        <v>0.76666666699999997</v>
      </c>
      <c r="U1322">
        <f t="shared" si="187"/>
        <v>8.850866667</v>
      </c>
      <c r="V1322">
        <f t="shared" si="188"/>
        <v>2.8000000000000001E-2</v>
      </c>
      <c r="W1322">
        <f t="shared" si="189"/>
        <v>4.7929411764705873E-2</v>
      </c>
      <c r="X1322">
        <f t="shared" si="190"/>
        <v>0.91700000000000004</v>
      </c>
      <c r="Y1322">
        <v>117.1794763</v>
      </c>
      <c r="Z1322">
        <v>0</v>
      </c>
      <c r="AA1322">
        <v>77808</v>
      </c>
      <c r="AB1322">
        <v>27489</v>
      </c>
      <c r="AC1322">
        <v>1.1225541E-2</v>
      </c>
      <c r="AD1322">
        <v>0.835708267</v>
      </c>
      <c r="AF1322">
        <v>14.999545449999999</v>
      </c>
      <c r="AG1322">
        <v>0</v>
      </c>
      <c r="AH1322">
        <v>1.7000000000000001E-2</v>
      </c>
      <c r="AI1322">
        <v>0.89700000000000002</v>
      </c>
      <c r="AJ1322">
        <v>0.76666666699999997</v>
      </c>
      <c r="AK1322">
        <v>8.850866667</v>
      </c>
      <c r="AL1322">
        <v>2.8000000000000001E-2</v>
      </c>
      <c r="AM1322">
        <v>0</v>
      </c>
      <c r="AN1322">
        <v>0.91700000000000004</v>
      </c>
    </row>
    <row r="1323" spans="1:40">
      <c r="A1323">
        <v>3391</v>
      </c>
      <c r="B1323" t="s">
        <v>692</v>
      </c>
      <c r="C1323" t="s">
        <v>693</v>
      </c>
      <c r="D1323" t="s">
        <v>694</v>
      </c>
      <c r="E1323">
        <v>311</v>
      </c>
      <c r="F1323">
        <v>918</v>
      </c>
      <c r="G1323">
        <v>62.17152265</v>
      </c>
      <c r="H1323">
        <v>364</v>
      </c>
      <c r="I1323">
        <v>9.7177903999999996E-2</v>
      </c>
      <c r="J1323">
        <v>1282</v>
      </c>
      <c r="K1323">
        <v>13192.299349999999</v>
      </c>
      <c r="L1323">
        <v>0.80200000000000005</v>
      </c>
      <c r="M1323">
        <v>0.53925925900000005</v>
      </c>
      <c r="N1323">
        <v>0</v>
      </c>
      <c r="O1323" t="s">
        <v>620</v>
      </c>
      <c r="P1323">
        <f t="shared" si="182"/>
        <v>16.401525419999999</v>
      </c>
      <c r="Q1323">
        <f t="shared" si="183"/>
        <v>1.7999999999999999E-2</v>
      </c>
      <c r="R1323">
        <f t="shared" si="184"/>
        <v>2.5999999999999999E-2</v>
      </c>
      <c r="S1323">
        <f t="shared" si="185"/>
        <v>0.80200000000000005</v>
      </c>
      <c r="T1323">
        <f t="shared" si="186"/>
        <v>2.5295000000000001</v>
      </c>
      <c r="U1323">
        <f t="shared" si="187"/>
        <v>8.6734782609999996</v>
      </c>
      <c r="V1323">
        <f t="shared" si="188"/>
        <v>3.4000000000000002E-2</v>
      </c>
      <c r="W1323">
        <f t="shared" si="189"/>
        <v>3.4000000000000002E-2</v>
      </c>
      <c r="X1323">
        <f t="shared" si="190"/>
        <v>0.81399999999999995</v>
      </c>
      <c r="Y1323">
        <v>117.14356789999999</v>
      </c>
      <c r="Z1323">
        <v>0</v>
      </c>
      <c r="AA1323">
        <v>77808</v>
      </c>
      <c r="AB1323">
        <v>27489</v>
      </c>
      <c r="AC1323">
        <v>1.1225541E-2</v>
      </c>
      <c r="AD1323">
        <v>0.835708267</v>
      </c>
      <c r="AF1323">
        <v>16.401525419999999</v>
      </c>
      <c r="AG1323">
        <v>1.7999999999999999E-2</v>
      </c>
      <c r="AH1323">
        <v>2.5999999999999999E-2</v>
      </c>
      <c r="AI1323">
        <v>0.80200000000000005</v>
      </c>
      <c r="AJ1323">
        <v>2.5295000000000001</v>
      </c>
      <c r="AK1323">
        <v>8.6734782609999996</v>
      </c>
      <c r="AL1323">
        <v>3.4000000000000002E-2</v>
      </c>
      <c r="AM1323">
        <v>3.4000000000000002E-2</v>
      </c>
      <c r="AN1323">
        <v>0.81399999999999995</v>
      </c>
    </row>
    <row r="1324" spans="1:40">
      <c r="A1324">
        <v>3392</v>
      </c>
      <c r="B1324" t="s">
        <v>692</v>
      </c>
      <c r="C1324" t="s">
        <v>693</v>
      </c>
      <c r="D1324" t="s">
        <v>694</v>
      </c>
      <c r="E1324">
        <v>629</v>
      </c>
      <c r="F1324">
        <v>1850</v>
      </c>
      <c r="G1324">
        <v>113.461349</v>
      </c>
      <c r="H1324">
        <v>0</v>
      </c>
      <c r="I1324">
        <v>0.177354496</v>
      </c>
      <c r="J1324">
        <v>1850</v>
      </c>
      <c r="K1324">
        <v>10431.085999999999</v>
      </c>
      <c r="L1324">
        <v>0.81699999999999995</v>
      </c>
      <c r="M1324">
        <v>0</v>
      </c>
      <c r="N1324">
        <v>0</v>
      </c>
      <c r="O1324" t="s">
        <v>620</v>
      </c>
      <c r="P1324">
        <f t="shared" si="182"/>
        <v>16.458780489999999</v>
      </c>
      <c r="Q1324">
        <f t="shared" si="183"/>
        <v>2.1000000000000001E-2</v>
      </c>
      <c r="R1324">
        <f t="shared" si="184"/>
        <v>2.5999999999999999E-2</v>
      </c>
      <c r="S1324">
        <f t="shared" si="185"/>
        <v>0.81699999999999995</v>
      </c>
      <c r="T1324">
        <f t="shared" si="186"/>
        <v>2.1210714290000001</v>
      </c>
      <c r="U1324">
        <f t="shared" si="187"/>
        <v>7.3513472709999999</v>
      </c>
      <c r="V1324">
        <f t="shared" si="188"/>
        <v>3.4000000000000002E-2</v>
      </c>
      <c r="W1324">
        <f t="shared" si="189"/>
        <v>6.7000000000000004E-2</v>
      </c>
      <c r="X1324">
        <f t="shared" si="190"/>
        <v>0.86099999999999999</v>
      </c>
      <c r="Y1324">
        <v>117.33731</v>
      </c>
      <c r="Z1324">
        <v>0</v>
      </c>
      <c r="AA1324">
        <v>77808</v>
      </c>
      <c r="AB1324">
        <v>27489</v>
      </c>
      <c r="AC1324">
        <v>1.1225541E-2</v>
      </c>
      <c r="AD1324">
        <v>0.835708267</v>
      </c>
      <c r="AF1324">
        <v>16.458780489999999</v>
      </c>
      <c r="AG1324">
        <v>2.1000000000000001E-2</v>
      </c>
      <c r="AH1324">
        <v>2.5999999999999999E-2</v>
      </c>
      <c r="AI1324">
        <v>0.81699999999999995</v>
      </c>
      <c r="AJ1324">
        <v>2.1210714290000001</v>
      </c>
      <c r="AK1324">
        <v>7.3513472709999999</v>
      </c>
      <c r="AL1324">
        <v>3.4000000000000002E-2</v>
      </c>
      <c r="AM1324">
        <v>6.7000000000000004E-2</v>
      </c>
      <c r="AN1324">
        <v>0.86099999999999999</v>
      </c>
    </row>
    <row r="1325" spans="1:40">
      <c r="A1325">
        <v>3393</v>
      </c>
      <c r="B1325" t="s">
        <v>692</v>
      </c>
      <c r="C1325" t="s">
        <v>693</v>
      </c>
      <c r="D1325" t="s">
        <v>694</v>
      </c>
      <c r="E1325">
        <v>458</v>
      </c>
      <c r="F1325">
        <v>1253</v>
      </c>
      <c r="G1325">
        <v>258.06972380000002</v>
      </c>
      <c r="H1325">
        <v>4</v>
      </c>
      <c r="I1325">
        <v>0.40339039799999998</v>
      </c>
      <c r="J1325">
        <v>1257</v>
      </c>
      <c r="K1325">
        <v>3116.0880529999999</v>
      </c>
      <c r="L1325">
        <v>0.90500000000000003</v>
      </c>
      <c r="M1325">
        <v>8.6580089999999995E-3</v>
      </c>
      <c r="N1325">
        <v>0</v>
      </c>
      <c r="O1325" t="s">
        <v>625</v>
      </c>
      <c r="P1325">
        <f t="shared" si="182"/>
        <v>17.812574260000002</v>
      </c>
      <c r="Q1325">
        <f t="shared" si="183"/>
        <v>7.0000000000000001E-3</v>
      </c>
      <c r="R1325">
        <f t="shared" si="184"/>
        <v>2.5000000000000001E-2</v>
      </c>
      <c r="S1325">
        <f t="shared" si="185"/>
        <v>0.90500000000000003</v>
      </c>
      <c r="T1325">
        <f t="shared" si="186"/>
        <v>2.563571429</v>
      </c>
      <c r="U1325">
        <f t="shared" si="187"/>
        <v>10.28004024</v>
      </c>
      <c r="V1325">
        <f t="shared" si="188"/>
        <v>5.6000000000000001E-2</v>
      </c>
      <c r="W1325">
        <f t="shared" si="189"/>
        <v>4.7929411764705873E-2</v>
      </c>
      <c r="X1325">
        <f t="shared" si="190"/>
        <v>0.94399999999999995</v>
      </c>
      <c r="Y1325">
        <v>79.469444339999995</v>
      </c>
      <c r="Z1325">
        <v>0</v>
      </c>
      <c r="AA1325">
        <v>77808</v>
      </c>
      <c r="AB1325">
        <v>27489</v>
      </c>
      <c r="AC1325">
        <v>1.1225541E-2</v>
      </c>
      <c r="AD1325">
        <v>0.835708267</v>
      </c>
      <c r="AF1325">
        <v>17.812574260000002</v>
      </c>
      <c r="AG1325">
        <v>7.0000000000000001E-3</v>
      </c>
      <c r="AH1325">
        <v>2.5000000000000001E-2</v>
      </c>
      <c r="AI1325">
        <v>0.90500000000000003</v>
      </c>
      <c r="AJ1325">
        <v>2.563571429</v>
      </c>
      <c r="AK1325">
        <v>10.28004024</v>
      </c>
      <c r="AL1325">
        <v>5.6000000000000001E-2</v>
      </c>
      <c r="AM1325">
        <v>0</v>
      </c>
      <c r="AN1325">
        <v>0.94399999999999995</v>
      </c>
    </row>
    <row r="1326" spans="1:40">
      <c r="A1326">
        <v>3394</v>
      </c>
      <c r="B1326" t="s">
        <v>692</v>
      </c>
      <c r="C1326" t="s">
        <v>693</v>
      </c>
      <c r="D1326" t="s">
        <v>694</v>
      </c>
      <c r="E1326">
        <v>3</v>
      </c>
      <c r="F1326">
        <v>8</v>
      </c>
      <c r="G1326">
        <v>11.941594329999999</v>
      </c>
      <c r="H1326">
        <v>139</v>
      </c>
      <c r="I1326">
        <v>1.8665607000000001E-2</v>
      </c>
      <c r="J1326">
        <v>147</v>
      </c>
      <c r="K1326">
        <v>7875.4470719999999</v>
      </c>
      <c r="L1326">
        <v>0.86099999999999999</v>
      </c>
      <c r="M1326">
        <v>0.97887323900000001</v>
      </c>
      <c r="N1326">
        <v>0</v>
      </c>
      <c r="O1326" t="s">
        <v>620</v>
      </c>
      <c r="P1326">
        <f t="shared" si="182"/>
        <v>15.43314286</v>
      </c>
      <c r="Q1326">
        <f t="shared" si="183"/>
        <v>1.2828282828282822E-2</v>
      </c>
      <c r="R1326">
        <f t="shared" si="184"/>
        <v>1.9814814814814796E-2</v>
      </c>
      <c r="S1326">
        <f t="shared" si="185"/>
        <v>0.86099999999999999</v>
      </c>
      <c r="T1326">
        <f t="shared" si="186"/>
        <v>2.2234128568796301</v>
      </c>
      <c r="U1326">
        <f t="shared" si="187"/>
        <v>8.0950000000000006</v>
      </c>
      <c r="V1326">
        <f t="shared" si="188"/>
        <v>4.1084210526315765E-2</v>
      </c>
      <c r="W1326">
        <f t="shared" si="189"/>
        <v>4.7929411764705873E-2</v>
      </c>
      <c r="X1326">
        <f t="shared" si="190"/>
        <v>1</v>
      </c>
      <c r="Y1326">
        <v>151.204971</v>
      </c>
      <c r="Z1326">
        <v>0</v>
      </c>
      <c r="AA1326">
        <v>77808</v>
      </c>
      <c r="AB1326">
        <v>27489</v>
      </c>
      <c r="AC1326">
        <v>1.1225541E-2</v>
      </c>
      <c r="AD1326">
        <v>0.835708267</v>
      </c>
      <c r="AF1326">
        <v>15.43314286</v>
      </c>
      <c r="AG1326">
        <v>0</v>
      </c>
      <c r="AH1326">
        <v>0</v>
      </c>
      <c r="AI1326">
        <v>0.86099999999999999</v>
      </c>
      <c r="AK1326">
        <v>8.0950000000000006</v>
      </c>
      <c r="AL1326">
        <v>0</v>
      </c>
      <c r="AM1326">
        <v>0</v>
      </c>
      <c r="AN1326">
        <v>1</v>
      </c>
    </row>
    <row r="1327" spans="1:40">
      <c r="A1327">
        <v>3395</v>
      </c>
      <c r="B1327" t="s">
        <v>692</v>
      </c>
      <c r="C1327" t="s">
        <v>693</v>
      </c>
      <c r="D1327" t="s">
        <v>694</v>
      </c>
      <c r="E1327">
        <v>276</v>
      </c>
      <c r="F1327">
        <v>786</v>
      </c>
      <c r="G1327">
        <v>193.50505039999999</v>
      </c>
      <c r="H1327">
        <v>1501</v>
      </c>
      <c r="I1327">
        <v>0.30247562099999997</v>
      </c>
      <c r="J1327">
        <v>2287</v>
      </c>
      <c r="K1327">
        <v>7560.9399279999998</v>
      </c>
      <c r="L1327">
        <v>0.89800000000000002</v>
      </c>
      <c r="M1327">
        <v>0.84468204800000002</v>
      </c>
      <c r="N1327">
        <v>0</v>
      </c>
      <c r="O1327" t="s">
        <v>620</v>
      </c>
      <c r="P1327">
        <f t="shared" si="182"/>
        <v>15.264848479999999</v>
      </c>
      <c r="Q1327">
        <f t="shared" si="183"/>
        <v>3.0000000000000001E-3</v>
      </c>
      <c r="R1327">
        <f t="shared" si="184"/>
        <v>1.7999999999999999E-2</v>
      </c>
      <c r="S1327">
        <f t="shared" si="185"/>
        <v>0.89800000000000002</v>
      </c>
      <c r="T1327">
        <f t="shared" si="186"/>
        <v>1.3628125</v>
      </c>
      <c r="U1327">
        <f t="shared" si="187"/>
        <v>7.9467943810000001</v>
      </c>
      <c r="V1327">
        <f t="shared" si="188"/>
        <v>0.03</v>
      </c>
      <c r="W1327">
        <f t="shared" si="189"/>
        <v>1.2E-2</v>
      </c>
      <c r="X1327">
        <f t="shared" si="190"/>
        <v>0.90500000000000003</v>
      </c>
      <c r="Y1327">
        <v>151.18150030000001</v>
      </c>
      <c r="Z1327">
        <v>0</v>
      </c>
      <c r="AA1327">
        <v>77808</v>
      </c>
      <c r="AB1327">
        <v>27489</v>
      </c>
      <c r="AC1327">
        <v>1.1225541E-2</v>
      </c>
      <c r="AD1327">
        <v>0.835708267</v>
      </c>
      <c r="AF1327">
        <v>15.264848479999999</v>
      </c>
      <c r="AG1327">
        <v>3.0000000000000001E-3</v>
      </c>
      <c r="AH1327">
        <v>1.7999999999999999E-2</v>
      </c>
      <c r="AI1327">
        <v>0.89800000000000002</v>
      </c>
      <c r="AJ1327">
        <v>1.3628125</v>
      </c>
      <c r="AK1327">
        <v>7.9467943810000001</v>
      </c>
      <c r="AL1327">
        <v>0.03</v>
      </c>
      <c r="AM1327">
        <v>1.2E-2</v>
      </c>
      <c r="AN1327">
        <v>0.90500000000000003</v>
      </c>
    </row>
    <row r="1328" spans="1:40">
      <c r="A1328">
        <v>3396</v>
      </c>
      <c r="B1328" t="s">
        <v>692</v>
      </c>
      <c r="C1328" t="s">
        <v>693</v>
      </c>
      <c r="D1328" t="s">
        <v>694</v>
      </c>
      <c r="E1328">
        <v>549</v>
      </c>
      <c r="F1328">
        <v>1576</v>
      </c>
      <c r="G1328">
        <v>143.7104215</v>
      </c>
      <c r="H1328">
        <v>11</v>
      </c>
      <c r="I1328">
        <v>0.22463788200000001</v>
      </c>
      <c r="J1328">
        <v>1587</v>
      </c>
      <c r="K1328">
        <v>7064.7033609999999</v>
      </c>
      <c r="L1328">
        <v>0.872</v>
      </c>
      <c r="M1328">
        <v>1.9642857E-2</v>
      </c>
      <c r="N1328">
        <v>0</v>
      </c>
      <c r="O1328" t="s">
        <v>620</v>
      </c>
      <c r="P1328">
        <f t="shared" si="182"/>
        <v>16.840571430000001</v>
      </c>
      <c r="Q1328">
        <f t="shared" si="183"/>
        <v>2.1999999999999999E-2</v>
      </c>
      <c r="R1328">
        <f t="shared" si="184"/>
        <v>1.4999999999999999E-2</v>
      </c>
      <c r="S1328">
        <f t="shared" si="185"/>
        <v>0.872</v>
      </c>
      <c r="T1328">
        <f t="shared" si="186"/>
        <v>2.2450000000000001</v>
      </c>
      <c r="U1328">
        <f t="shared" si="187"/>
        <v>8.2824486799999999</v>
      </c>
      <c r="V1328">
        <f t="shared" si="188"/>
        <v>4.1084210526315765E-2</v>
      </c>
      <c r="W1328">
        <f t="shared" si="189"/>
        <v>0.11</v>
      </c>
      <c r="X1328">
        <f t="shared" si="190"/>
        <v>0.85399999999999998</v>
      </c>
      <c r="Y1328">
        <v>87.384431950000007</v>
      </c>
      <c r="Z1328">
        <v>0</v>
      </c>
      <c r="AA1328">
        <v>77808</v>
      </c>
      <c r="AB1328">
        <v>27489</v>
      </c>
      <c r="AC1328">
        <v>1.1225541E-2</v>
      </c>
      <c r="AD1328">
        <v>0.835708267</v>
      </c>
      <c r="AF1328">
        <v>16.840571430000001</v>
      </c>
      <c r="AG1328">
        <v>2.1999999999999999E-2</v>
      </c>
      <c r="AH1328">
        <v>1.4999999999999999E-2</v>
      </c>
      <c r="AI1328">
        <v>0.872</v>
      </c>
      <c r="AJ1328">
        <v>2.2450000000000001</v>
      </c>
      <c r="AK1328">
        <v>8.2824486799999999</v>
      </c>
      <c r="AL1328">
        <v>0</v>
      </c>
      <c r="AM1328">
        <v>0.11</v>
      </c>
      <c r="AN1328">
        <v>0.85399999999999998</v>
      </c>
    </row>
    <row r="1329" spans="1:40">
      <c r="A1329">
        <v>3397</v>
      </c>
      <c r="B1329" t="s">
        <v>692</v>
      </c>
      <c r="C1329" t="s">
        <v>693</v>
      </c>
      <c r="D1329" t="s">
        <v>694</v>
      </c>
      <c r="E1329">
        <v>321</v>
      </c>
      <c r="F1329">
        <v>945</v>
      </c>
      <c r="G1329">
        <v>30.52028984</v>
      </c>
      <c r="H1329">
        <v>11</v>
      </c>
      <c r="I1329">
        <v>4.7701944000000003E-2</v>
      </c>
      <c r="J1329">
        <v>956</v>
      </c>
      <c r="K1329">
        <v>20041.111949999999</v>
      </c>
      <c r="L1329">
        <v>0.81299999999999994</v>
      </c>
      <c r="M1329">
        <v>3.313253E-2</v>
      </c>
      <c r="N1329">
        <v>0</v>
      </c>
      <c r="O1329" t="s">
        <v>620</v>
      </c>
      <c r="P1329">
        <f t="shared" si="182"/>
        <v>17.588192769999999</v>
      </c>
      <c r="Q1329">
        <f t="shared" si="183"/>
        <v>1.6E-2</v>
      </c>
      <c r="R1329">
        <f t="shared" si="184"/>
        <v>3.4000000000000002E-2</v>
      </c>
      <c r="S1329">
        <f t="shared" si="185"/>
        <v>0.81299999999999994</v>
      </c>
      <c r="T1329">
        <f t="shared" si="186"/>
        <v>2.3475000000000001</v>
      </c>
      <c r="U1329">
        <f t="shared" si="187"/>
        <v>7.450904059</v>
      </c>
      <c r="V1329">
        <f t="shared" si="188"/>
        <v>2.1000000000000001E-2</v>
      </c>
      <c r="W1329">
        <f t="shared" si="189"/>
        <v>6.2E-2</v>
      </c>
      <c r="X1329">
        <f t="shared" si="190"/>
        <v>0.85599999999999998</v>
      </c>
      <c r="Y1329">
        <v>156.74034520000001</v>
      </c>
      <c r="Z1329">
        <v>0</v>
      </c>
      <c r="AA1329">
        <v>77808</v>
      </c>
      <c r="AB1329">
        <v>27489</v>
      </c>
      <c r="AC1329">
        <v>1.1225541E-2</v>
      </c>
      <c r="AD1329">
        <v>0.835708267</v>
      </c>
      <c r="AF1329">
        <v>17.588192769999999</v>
      </c>
      <c r="AG1329">
        <v>1.6E-2</v>
      </c>
      <c r="AH1329">
        <v>3.4000000000000002E-2</v>
      </c>
      <c r="AI1329">
        <v>0.81299999999999994</v>
      </c>
      <c r="AJ1329">
        <v>2.3475000000000001</v>
      </c>
      <c r="AK1329">
        <v>7.450904059</v>
      </c>
      <c r="AL1329">
        <v>2.1000000000000001E-2</v>
      </c>
      <c r="AM1329">
        <v>6.2E-2</v>
      </c>
      <c r="AN1329">
        <v>0.85599999999999998</v>
      </c>
    </row>
    <row r="1330" spans="1:40">
      <c r="A1330">
        <v>3398</v>
      </c>
      <c r="B1330" t="s">
        <v>692</v>
      </c>
      <c r="C1330" t="s">
        <v>693</v>
      </c>
      <c r="D1330" t="s">
        <v>694</v>
      </c>
      <c r="E1330">
        <v>328</v>
      </c>
      <c r="F1330">
        <v>964</v>
      </c>
      <c r="G1330">
        <v>56.047588910000002</v>
      </c>
      <c r="H1330">
        <v>35</v>
      </c>
      <c r="I1330">
        <v>8.7609693000000002E-2</v>
      </c>
      <c r="J1330">
        <v>999</v>
      </c>
      <c r="K1330">
        <v>11402.84786</v>
      </c>
      <c r="L1330">
        <v>0.88</v>
      </c>
      <c r="M1330">
        <v>9.6418733000000006E-2</v>
      </c>
      <c r="N1330">
        <v>0</v>
      </c>
      <c r="O1330" t="s">
        <v>625</v>
      </c>
      <c r="P1330">
        <f t="shared" si="182"/>
        <v>16.50976378</v>
      </c>
      <c r="Q1330">
        <f t="shared" si="183"/>
        <v>6.0000000000000001E-3</v>
      </c>
      <c r="R1330">
        <f t="shared" si="184"/>
        <v>2.3E-2</v>
      </c>
      <c r="S1330">
        <f t="shared" si="185"/>
        <v>0.88</v>
      </c>
      <c r="T1330">
        <f t="shared" si="186"/>
        <v>2.163125</v>
      </c>
      <c r="U1330">
        <f t="shared" si="187"/>
        <v>8.4828355700000007</v>
      </c>
      <c r="V1330">
        <f t="shared" si="188"/>
        <v>2.1999999999999999E-2</v>
      </c>
      <c r="W1330">
        <f t="shared" si="189"/>
        <v>2.9000000000000001E-2</v>
      </c>
      <c r="X1330">
        <f t="shared" si="190"/>
        <v>0.93400000000000005</v>
      </c>
      <c r="Y1330">
        <v>155.16312210000001</v>
      </c>
      <c r="Z1330">
        <v>0</v>
      </c>
      <c r="AA1330">
        <v>77808</v>
      </c>
      <c r="AB1330">
        <v>27489</v>
      </c>
      <c r="AC1330">
        <v>1.1225541E-2</v>
      </c>
      <c r="AD1330">
        <v>0.835708267</v>
      </c>
      <c r="AF1330">
        <v>16.50976378</v>
      </c>
      <c r="AG1330">
        <v>6.0000000000000001E-3</v>
      </c>
      <c r="AH1330">
        <v>2.3E-2</v>
      </c>
      <c r="AI1330">
        <v>0.88</v>
      </c>
      <c r="AJ1330">
        <v>2.163125</v>
      </c>
      <c r="AK1330">
        <v>8.4828355700000007</v>
      </c>
      <c r="AL1330">
        <v>2.1999999999999999E-2</v>
      </c>
      <c r="AM1330">
        <v>2.9000000000000001E-2</v>
      </c>
      <c r="AN1330">
        <v>0.93400000000000005</v>
      </c>
    </row>
    <row r="1331" spans="1:40">
      <c r="A1331">
        <v>3399</v>
      </c>
      <c r="B1331" t="s">
        <v>692</v>
      </c>
      <c r="C1331" t="s">
        <v>693</v>
      </c>
      <c r="D1331" t="s">
        <v>694</v>
      </c>
      <c r="E1331">
        <v>31</v>
      </c>
      <c r="F1331">
        <v>68</v>
      </c>
      <c r="G1331">
        <v>70.482869399999998</v>
      </c>
      <c r="H1331">
        <v>1849</v>
      </c>
      <c r="I1331">
        <v>0.110175829</v>
      </c>
      <c r="J1331">
        <v>1917</v>
      </c>
      <c r="K1331">
        <v>17399.460640000001</v>
      </c>
      <c r="L1331">
        <v>0.89</v>
      </c>
      <c r="M1331">
        <v>0.98351063800000005</v>
      </c>
      <c r="N1331">
        <v>1</v>
      </c>
      <c r="O1331" t="s">
        <v>620</v>
      </c>
      <c r="P1331">
        <f t="shared" si="182"/>
        <v>16.391841159999998</v>
      </c>
      <c r="Q1331">
        <f t="shared" si="183"/>
        <v>2.1999999999999999E-2</v>
      </c>
      <c r="R1331">
        <f t="shared" si="184"/>
        <v>5.0000000000000001E-3</v>
      </c>
      <c r="S1331">
        <f t="shared" si="185"/>
        <v>0.89</v>
      </c>
      <c r="T1331">
        <f t="shared" si="186"/>
        <v>2.46875</v>
      </c>
      <c r="U1331">
        <f t="shared" si="187"/>
        <v>9.5722010270000002</v>
      </c>
      <c r="V1331">
        <f t="shared" si="188"/>
        <v>1.2999999999999999E-2</v>
      </c>
      <c r="W1331">
        <f t="shared" si="189"/>
        <v>6.2E-2</v>
      </c>
      <c r="X1331">
        <f t="shared" si="190"/>
        <v>0.90200000000000002</v>
      </c>
      <c r="Y1331">
        <v>83.931518609999998</v>
      </c>
      <c r="Z1331">
        <v>0</v>
      </c>
      <c r="AA1331">
        <v>77808</v>
      </c>
      <c r="AB1331">
        <v>27489</v>
      </c>
      <c r="AC1331">
        <v>1.1225541E-2</v>
      </c>
      <c r="AD1331">
        <v>0.835708267</v>
      </c>
      <c r="AF1331">
        <v>16.391841159999998</v>
      </c>
      <c r="AG1331">
        <v>2.1999999999999999E-2</v>
      </c>
      <c r="AH1331">
        <v>5.0000000000000001E-3</v>
      </c>
      <c r="AI1331">
        <v>0.89</v>
      </c>
      <c r="AJ1331">
        <v>2.46875</v>
      </c>
      <c r="AK1331">
        <v>9.5722010270000002</v>
      </c>
      <c r="AL1331">
        <v>1.2999999999999999E-2</v>
      </c>
      <c r="AM1331">
        <v>6.2E-2</v>
      </c>
      <c r="AN1331">
        <v>0.90200000000000002</v>
      </c>
    </row>
    <row r="1332" spans="1:40">
      <c r="A1332">
        <v>3400</v>
      </c>
      <c r="B1332" t="s">
        <v>692</v>
      </c>
      <c r="C1332" t="s">
        <v>693</v>
      </c>
      <c r="D1332" t="s">
        <v>694</v>
      </c>
      <c r="E1332">
        <v>78</v>
      </c>
      <c r="F1332">
        <v>78</v>
      </c>
      <c r="G1332">
        <v>66.184551830000004</v>
      </c>
      <c r="H1332">
        <v>1186</v>
      </c>
      <c r="I1332">
        <v>0.103463742</v>
      </c>
      <c r="J1332">
        <v>1264</v>
      </c>
      <c r="K1332">
        <v>12216.840179999999</v>
      </c>
      <c r="L1332">
        <v>0.876</v>
      </c>
      <c r="M1332">
        <v>0.93829113900000005</v>
      </c>
      <c r="N1332">
        <v>0</v>
      </c>
      <c r="O1332" t="s">
        <v>620</v>
      </c>
      <c r="P1332">
        <f t="shared" si="182"/>
        <v>15.819189189999999</v>
      </c>
      <c r="Q1332">
        <f t="shared" si="183"/>
        <v>6.0000000000000001E-3</v>
      </c>
      <c r="R1332">
        <f t="shared" si="184"/>
        <v>1.4999999999999999E-2</v>
      </c>
      <c r="S1332">
        <f t="shared" si="185"/>
        <v>0.876</v>
      </c>
      <c r="T1332">
        <f t="shared" si="186"/>
        <v>2.9664285709999998</v>
      </c>
      <c r="U1332">
        <f t="shared" si="187"/>
        <v>9.9968982630000003</v>
      </c>
      <c r="V1332">
        <f t="shared" si="188"/>
        <v>2.5000000000000001E-2</v>
      </c>
      <c r="W1332">
        <f t="shared" si="189"/>
        <v>2.5000000000000001E-2</v>
      </c>
      <c r="X1332">
        <f t="shared" si="190"/>
        <v>0.92100000000000004</v>
      </c>
      <c r="Y1332">
        <v>84.01393272</v>
      </c>
      <c r="Z1332">
        <v>0</v>
      </c>
      <c r="AA1332">
        <v>77808</v>
      </c>
      <c r="AB1332">
        <v>27489</v>
      </c>
      <c r="AC1332">
        <v>1.1225541E-2</v>
      </c>
      <c r="AD1332">
        <v>0.835708267</v>
      </c>
      <c r="AF1332">
        <v>15.819189189999999</v>
      </c>
      <c r="AG1332">
        <v>6.0000000000000001E-3</v>
      </c>
      <c r="AH1332">
        <v>1.4999999999999999E-2</v>
      </c>
      <c r="AI1332">
        <v>0.876</v>
      </c>
      <c r="AJ1332">
        <v>2.9664285709999998</v>
      </c>
      <c r="AK1332">
        <v>9.9968982630000003</v>
      </c>
      <c r="AL1332">
        <v>2.5000000000000001E-2</v>
      </c>
      <c r="AM1332">
        <v>2.5000000000000001E-2</v>
      </c>
      <c r="AN1332">
        <v>0.92100000000000004</v>
      </c>
    </row>
    <row r="1333" spans="1:40">
      <c r="A1333">
        <v>3401</v>
      </c>
      <c r="B1333" t="s">
        <v>692</v>
      </c>
      <c r="C1333" t="s">
        <v>693</v>
      </c>
      <c r="D1333" t="s">
        <v>694</v>
      </c>
      <c r="E1333">
        <v>100</v>
      </c>
      <c r="F1333">
        <v>475</v>
      </c>
      <c r="G1333">
        <v>77.501826489999999</v>
      </c>
      <c r="H1333">
        <v>63</v>
      </c>
      <c r="I1333">
        <v>0.121138304</v>
      </c>
      <c r="J1333">
        <v>538</v>
      </c>
      <c r="K1333">
        <v>4441.2046579999997</v>
      </c>
      <c r="L1333">
        <v>0.79300000000000004</v>
      </c>
      <c r="M1333">
        <v>0.38650306699999998</v>
      </c>
      <c r="N1333">
        <v>0</v>
      </c>
      <c r="O1333" t="s">
        <v>625</v>
      </c>
      <c r="P1333">
        <f t="shared" si="182"/>
        <v>17.812045449999999</v>
      </c>
      <c r="Q1333">
        <f t="shared" si="183"/>
        <v>4.0000000000000001E-3</v>
      </c>
      <c r="R1333">
        <f t="shared" si="184"/>
        <v>1.9814814814814796E-2</v>
      </c>
      <c r="S1333">
        <f t="shared" si="185"/>
        <v>0.79300000000000004</v>
      </c>
      <c r="T1333">
        <f t="shared" si="186"/>
        <v>2.2234128568796301</v>
      </c>
      <c r="U1333">
        <f t="shared" si="187"/>
        <v>8.9679439250000001</v>
      </c>
      <c r="V1333">
        <f t="shared" si="188"/>
        <v>4.1084210526315765E-2</v>
      </c>
      <c r="W1333">
        <f t="shared" si="189"/>
        <v>4.7929411764705873E-2</v>
      </c>
      <c r="X1333">
        <f t="shared" si="190"/>
        <v>0.91700000000000004</v>
      </c>
      <c r="Y1333">
        <v>28.260749610000001</v>
      </c>
      <c r="Z1333">
        <v>0</v>
      </c>
      <c r="AA1333">
        <v>77808</v>
      </c>
      <c r="AB1333">
        <v>27489</v>
      </c>
      <c r="AC1333">
        <v>1.1225541E-2</v>
      </c>
      <c r="AD1333">
        <v>0.835708267</v>
      </c>
      <c r="AF1333">
        <v>17.812045449999999</v>
      </c>
      <c r="AG1333">
        <v>4.0000000000000001E-3</v>
      </c>
      <c r="AH1333">
        <v>0</v>
      </c>
      <c r="AI1333">
        <v>0.79300000000000004</v>
      </c>
      <c r="AK1333">
        <v>8.9679439250000001</v>
      </c>
      <c r="AL1333">
        <v>0</v>
      </c>
      <c r="AM1333">
        <v>0</v>
      </c>
      <c r="AN1333">
        <v>0.91700000000000004</v>
      </c>
    </row>
    <row r="1334" spans="1:40">
      <c r="A1334">
        <v>3402</v>
      </c>
      <c r="B1334" t="s">
        <v>692</v>
      </c>
      <c r="C1334" t="s">
        <v>693</v>
      </c>
      <c r="D1334" t="s">
        <v>694</v>
      </c>
      <c r="E1334">
        <v>154</v>
      </c>
      <c r="F1334">
        <v>532</v>
      </c>
      <c r="G1334">
        <v>47.72204971</v>
      </c>
      <c r="H1334">
        <v>254</v>
      </c>
      <c r="I1334">
        <v>7.4592796000000003E-2</v>
      </c>
      <c r="J1334">
        <v>786</v>
      </c>
      <c r="K1334">
        <v>10537.210590000001</v>
      </c>
      <c r="L1334">
        <v>0.747</v>
      </c>
      <c r="M1334">
        <v>0.62254902000000001</v>
      </c>
      <c r="N1334">
        <v>0</v>
      </c>
      <c r="O1334" t="s">
        <v>620</v>
      </c>
      <c r="P1334">
        <f t="shared" si="182"/>
        <v>15.679659089999999</v>
      </c>
      <c r="Q1334">
        <f t="shared" si="183"/>
        <v>1.9E-2</v>
      </c>
      <c r="R1334">
        <f t="shared" si="184"/>
        <v>3.4000000000000002E-2</v>
      </c>
      <c r="S1334">
        <f t="shared" si="185"/>
        <v>0.747</v>
      </c>
      <c r="T1334">
        <f t="shared" si="186"/>
        <v>1.771111111</v>
      </c>
      <c r="U1334">
        <f t="shared" si="187"/>
        <v>8.4071957669999993</v>
      </c>
      <c r="V1334">
        <f t="shared" si="188"/>
        <v>0.02</v>
      </c>
      <c r="W1334">
        <f t="shared" si="189"/>
        <v>3.9E-2</v>
      </c>
      <c r="X1334">
        <f t="shared" si="190"/>
        <v>0.86299999999999999</v>
      </c>
      <c r="Y1334">
        <v>106.0005326</v>
      </c>
      <c r="Z1334">
        <v>0</v>
      </c>
      <c r="AA1334">
        <v>77808</v>
      </c>
      <c r="AB1334">
        <v>27489</v>
      </c>
      <c r="AC1334">
        <v>1.1225541E-2</v>
      </c>
      <c r="AD1334">
        <v>0.835708267</v>
      </c>
      <c r="AF1334">
        <v>15.679659089999999</v>
      </c>
      <c r="AG1334">
        <v>1.9E-2</v>
      </c>
      <c r="AH1334">
        <v>3.4000000000000002E-2</v>
      </c>
      <c r="AI1334">
        <v>0.747</v>
      </c>
      <c r="AJ1334">
        <v>1.771111111</v>
      </c>
      <c r="AK1334">
        <v>8.4071957669999993</v>
      </c>
      <c r="AL1334">
        <v>0.02</v>
      </c>
      <c r="AM1334">
        <v>3.9E-2</v>
      </c>
      <c r="AN1334">
        <v>0.86299999999999999</v>
      </c>
    </row>
    <row r="1335" spans="1:40">
      <c r="A1335">
        <v>3403</v>
      </c>
      <c r="B1335" t="s">
        <v>692</v>
      </c>
      <c r="C1335" t="s">
        <v>693</v>
      </c>
      <c r="D1335" t="s">
        <v>694</v>
      </c>
      <c r="E1335">
        <v>135</v>
      </c>
      <c r="F1335">
        <v>430</v>
      </c>
      <c r="G1335">
        <v>27.31961532</v>
      </c>
      <c r="H1335">
        <v>0</v>
      </c>
      <c r="I1335">
        <v>4.2703696999999999E-2</v>
      </c>
      <c r="J1335">
        <v>430</v>
      </c>
      <c r="K1335">
        <v>10069.3858</v>
      </c>
      <c r="L1335">
        <v>0.76</v>
      </c>
      <c r="M1335">
        <v>0</v>
      </c>
      <c r="N1335">
        <v>0</v>
      </c>
      <c r="O1335" t="s">
        <v>620</v>
      </c>
      <c r="P1335">
        <f t="shared" si="182"/>
        <v>12.10210526</v>
      </c>
      <c r="Q1335">
        <f t="shared" si="183"/>
        <v>0.02</v>
      </c>
      <c r="R1335">
        <f t="shared" si="184"/>
        <v>4.1000000000000002E-2</v>
      </c>
      <c r="S1335">
        <f t="shared" si="185"/>
        <v>0.76</v>
      </c>
      <c r="T1335">
        <f t="shared" si="186"/>
        <v>1.0275000000000001</v>
      </c>
      <c r="U1335">
        <f t="shared" si="187"/>
        <v>6.1871917810000001</v>
      </c>
      <c r="V1335">
        <f t="shared" si="188"/>
        <v>5.6000000000000001E-2</v>
      </c>
      <c r="W1335">
        <f t="shared" si="189"/>
        <v>5.6000000000000001E-2</v>
      </c>
      <c r="X1335">
        <f t="shared" si="190"/>
        <v>0.52800000000000002</v>
      </c>
      <c r="Y1335">
        <v>164.54073260000001</v>
      </c>
      <c r="Z1335">
        <v>0</v>
      </c>
      <c r="AA1335">
        <v>77808</v>
      </c>
      <c r="AB1335">
        <v>27489</v>
      </c>
      <c r="AC1335">
        <v>1.1225541E-2</v>
      </c>
      <c r="AD1335">
        <v>0.835708267</v>
      </c>
      <c r="AF1335">
        <v>12.10210526</v>
      </c>
      <c r="AG1335">
        <v>0.02</v>
      </c>
      <c r="AH1335">
        <v>4.1000000000000002E-2</v>
      </c>
      <c r="AI1335">
        <v>0.76</v>
      </c>
      <c r="AJ1335">
        <v>1.0275000000000001</v>
      </c>
      <c r="AK1335">
        <v>6.1871917810000001</v>
      </c>
      <c r="AL1335">
        <v>5.6000000000000001E-2</v>
      </c>
      <c r="AM1335">
        <v>5.6000000000000001E-2</v>
      </c>
      <c r="AN1335">
        <v>0.52800000000000002</v>
      </c>
    </row>
    <row r="1336" spans="1:40">
      <c r="A1336">
        <v>3404</v>
      </c>
      <c r="B1336" t="s">
        <v>692</v>
      </c>
      <c r="C1336" t="s">
        <v>693</v>
      </c>
      <c r="D1336" t="s">
        <v>694</v>
      </c>
      <c r="E1336">
        <v>399</v>
      </c>
      <c r="F1336">
        <v>1157</v>
      </c>
      <c r="G1336">
        <v>126.9620707</v>
      </c>
      <c r="H1336">
        <v>107</v>
      </c>
      <c r="I1336">
        <v>0.19846335200000001</v>
      </c>
      <c r="J1336">
        <v>1264</v>
      </c>
      <c r="K1336">
        <v>6368.9340490000004</v>
      </c>
      <c r="L1336">
        <v>0.81399999999999995</v>
      </c>
      <c r="M1336">
        <v>0.211462451</v>
      </c>
      <c r="N1336">
        <v>0</v>
      </c>
      <c r="O1336" t="s">
        <v>620</v>
      </c>
      <c r="P1336">
        <f t="shared" si="182"/>
        <v>14.89060606</v>
      </c>
      <c r="Q1336">
        <f t="shared" si="183"/>
        <v>5.0000000000000001E-3</v>
      </c>
      <c r="R1336">
        <f t="shared" si="184"/>
        <v>0.03</v>
      </c>
      <c r="S1336">
        <f t="shared" si="185"/>
        <v>0.81399999999999995</v>
      </c>
      <c r="T1336">
        <f t="shared" si="186"/>
        <v>2.3465384619999998</v>
      </c>
      <c r="U1336">
        <f t="shared" si="187"/>
        <v>7.1292499999999999</v>
      </c>
      <c r="V1336">
        <f t="shared" si="188"/>
        <v>5.3999999999999999E-2</v>
      </c>
      <c r="W1336">
        <f t="shared" si="189"/>
        <v>1.7999999999999999E-2</v>
      </c>
      <c r="X1336">
        <f t="shared" si="190"/>
        <v>0.88400000000000001</v>
      </c>
      <c r="Y1336">
        <v>127.4706954</v>
      </c>
      <c r="Z1336">
        <v>0</v>
      </c>
      <c r="AA1336">
        <v>77808</v>
      </c>
      <c r="AB1336">
        <v>27489</v>
      </c>
      <c r="AC1336">
        <v>1.1225541E-2</v>
      </c>
      <c r="AD1336">
        <v>0.835708267</v>
      </c>
      <c r="AF1336">
        <v>14.89060606</v>
      </c>
      <c r="AG1336">
        <v>5.0000000000000001E-3</v>
      </c>
      <c r="AH1336">
        <v>0.03</v>
      </c>
      <c r="AI1336">
        <v>0.81399999999999995</v>
      </c>
      <c r="AJ1336">
        <v>2.3465384619999998</v>
      </c>
      <c r="AK1336">
        <v>7.1292499999999999</v>
      </c>
      <c r="AL1336">
        <v>5.3999999999999999E-2</v>
      </c>
      <c r="AM1336">
        <v>1.7999999999999999E-2</v>
      </c>
      <c r="AN1336">
        <v>0.88400000000000001</v>
      </c>
    </row>
    <row r="1337" spans="1:40">
      <c r="A1337">
        <v>3405</v>
      </c>
      <c r="B1337" t="s">
        <v>709</v>
      </c>
      <c r="C1337" t="s">
        <v>693</v>
      </c>
      <c r="D1337" t="s">
        <v>694</v>
      </c>
      <c r="E1337">
        <v>559</v>
      </c>
      <c r="F1337">
        <v>1715</v>
      </c>
      <c r="G1337">
        <v>239.0115816</v>
      </c>
      <c r="H1337">
        <v>53</v>
      </c>
      <c r="I1337">
        <v>0.37359648699999998</v>
      </c>
      <c r="J1337">
        <v>1768</v>
      </c>
      <c r="K1337">
        <v>4732.3785459999999</v>
      </c>
      <c r="L1337">
        <v>0.79300000000000004</v>
      </c>
      <c r="M1337">
        <v>8.6601307000000002E-2</v>
      </c>
      <c r="N1337">
        <v>0</v>
      </c>
      <c r="O1337" t="s">
        <v>625</v>
      </c>
      <c r="P1337">
        <f t="shared" si="182"/>
        <v>15.91671141</v>
      </c>
      <c r="Q1337">
        <f t="shared" si="183"/>
        <v>0.01</v>
      </c>
      <c r="R1337">
        <f t="shared" si="184"/>
        <v>2.8000000000000001E-2</v>
      </c>
      <c r="S1337">
        <f t="shared" si="185"/>
        <v>0.79300000000000004</v>
      </c>
      <c r="T1337">
        <f t="shared" si="186"/>
        <v>1.9215625000000001</v>
      </c>
      <c r="U1337">
        <f t="shared" si="187"/>
        <v>8.2734709819999992</v>
      </c>
      <c r="V1337">
        <f t="shared" si="188"/>
        <v>0.03</v>
      </c>
      <c r="W1337">
        <f t="shared" si="189"/>
        <v>6.7000000000000004E-2</v>
      </c>
      <c r="X1337">
        <f t="shared" si="190"/>
        <v>0.90300000000000002</v>
      </c>
      <c r="Y1337">
        <v>49.758758909999997</v>
      </c>
      <c r="Z1337">
        <v>0</v>
      </c>
      <c r="AA1337">
        <v>56865</v>
      </c>
      <c r="AB1337">
        <v>22398</v>
      </c>
      <c r="AC1337">
        <v>1.1143686E-2</v>
      </c>
      <c r="AD1337">
        <v>0.81944707100000003</v>
      </c>
      <c r="AF1337">
        <v>15.91671141</v>
      </c>
      <c r="AG1337">
        <v>0.01</v>
      </c>
      <c r="AH1337">
        <v>2.8000000000000001E-2</v>
      </c>
      <c r="AI1337">
        <v>0.79300000000000004</v>
      </c>
      <c r="AJ1337">
        <v>1.9215625000000001</v>
      </c>
      <c r="AK1337">
        <v>8.2734709819999992</v>
      </c>
      <c r="AL1337">
        <v>0.03</v>
      </c>
      <c r="AM1337">
        <v>6.7000000000000004E-2</v>
      </c>
      <c r="AN1337">
        <v>0.90300000000000002</v>
      </c>
    </row>
    <row r="1338" spans="1:40">
      <c r="A1338">
        <v>3406</v>
      </c>
      <c r="B1338" t="s">
        <v>692</v>
      </c>
      <c r="C1338" t="s">
        <v>693</v>
      </c>
      <c r="D1338" t="s">
        <v>694</v>
      </c>
      <c r="E1338">
        <v>98</v>
      </c>
      <c r="F1338">
        <v>308</v>
      </c>
      <c r="G1338">
        <v>24.558542190000001</v>
      </c>
      <c r="H1338">
        <v>310</v>
      </c>
      <c r="I1338">
        <v>3.8387340999999998E-2</v>
      </c>
      <c r="J1338">
        <v>618</v>
      </c>
      <c r="K1338">
        <v>16099.05724</v>
      </c>
      <c r="L1338">
        <v>0.876</v>
      </c>
      <c r="M1338">
        <v>0.75980392200000002</v>
      </c>
      <c r="N1338">
        <v>0</v>
      </c>
      <c r="O1338" t="s">
        <v>620</v>
      </c>
      <c r="P1338">
        <f t="shared" si="182"/>
        <v>15.86333333</v>
      </c>
      <c r="Q1338">
        <f t="shared" si="183"/>
        <v>1.2E-2</v>
      </c>
      <c r="R1338">
        <f t="shared" si="184"/>
        <v>2.3E-2</v>
      </c>
      <c r="S1338">
        <f t="shared" si="185"/>
        <v>0.876</v>
      </c>
      <c r="T1338">
        <f t="shared" si="186"/>
        <v>1.851</v>
      </c>
      <c r="U1338">
        <f t="shared" si="187"/>
        <v>8.6960724230000004</v>
      </c>
      <c r="V1338">
        <f t="shared" si="188"/>
        <v>2.3E-2</v>
      </c>
      <c r="W1338">
        <f t="shared" si="189"/>
        <v>2.3E-2</v>
      </c>
      <c r="X1338">
        <f t="shared" si="190"/>
        <v>0.93100000000000005</v>
      </c>
      <c r="Y1338">
        <v>84.395804069999997</v>
      </c>
      <c r="Z1338">
        <v>0</v>
      </c>
      <c r="AA1338">
        <v>77808</v>
      </c>
      <c r="AB1338">
        <v>27489</v>
      </c>
      <c r="AC1338">
        <v>1.1225541E-2</v>
      </c>
      <c r="AD1338">
        <v>0.835708267</v>
      </c>
      <c r="AF1338">
        <v>15.86333333</v>
      </c>
      <c r="AG1338">
        <v>1.2E-2</v>
      </c>
      <c r="AH1338">
        <v>2.3E-2</v>
      </c>
      <c r="AI1338">
        <v>0.876</v>
      </c>
      <c r="AJ1338">
        <v>1.851</v>
      </c>
      <c r="AK1338">
        <v>8.6960724230000004</v>
      </c>
      <c r="AL1338">
        <v>2.3E-2</v>
      </c>
      <c r="AM1338">
        <v>2.3E-2</v>
      </c>
      <c r="AN1338">
        <v>0.93100000000000005</v>
      </c>
    </row>
    <row r="1339" spans="1:40">
      <c r="A1339">
        <v>3407</v>
      </c>
      <c r="B1339" t="s">
        <v>692</v>
      </c>
      <c r="C1339" t="s">
        <v>693</v>
      </c>
      <c r="D1339" t="s">
        <v>694</v>
      </c>
      <c r="E1339">
        <v>229</v>
      </c>
      <c r="F1339">
        <v>747</v>
      </c>
      <c r="G1339">
        <v>102.6325452</v>
      </c>
      <c r="H1339">
        <v>179</v>
      </c>
      <c r="I1339">
        <v>0.160422646</v>
      </c>
      <c r="J1339">
        <v>926</v>
      </c>
      <c r="K1339">
        <v>5772.2523789999996</v>
      </c>
      <c r="L1339">
        <v>0.876</v>
      </c>
      <c r="M1339">
        <v>0.43872549</v>
      </c>
      <c r="N1339">
        <v>0</v>
      </c>
      <c r="O1339" t="s">
        <v>620</v>
      </c>
      <c r="P1339">
        <f t="shared" si="182"/>
        <v>17.74361446</v>
      </c>
      <c r="Q1339">
        <f t="shared" si="183"/>
        <v>1.4E-2</v>
      </c>
      <c r="R1339">
        <f t="shared" si="184"/>
        <v>1.4E-2</v>
      </c>
      <c r="S1339">
        <f t="shared" si="185"/>
        <v>0.876</v>
      </c>
      <c r="T1339">
        <f t="shared" si="186"/>
        <v>1.63</v>
      </c>
      <c r="U1339">
        <f t="shared" si="187"/>
        <v>8.3179586560000001</v>
      </c>
      <c r="V1339">
        <f t="shared" si="188"/>
        <v>4.2999999999999997E-2</v>
      </c>
      <c r="W1339">
        <f t="shared" si="189"/>
        <v>4.2999999999999997E-2</v>
      </c>
      <c r="X1339">
        <f t="shared" si="190"/>
        <v>0.89200000000000002</v>
      </c>
      <c r="Y1339">
        <v>84.568698909999995</v>
      </c>
      <c r="Z1339">
        <v>0</v>
      </c>
      <c r="AA1339">
        <v>77808</v>
      </c>
      <c r="AB1339">
        <v>27489</v>
      </c>
      <c r="AC1339">
        <v>1.1225541E-2</v>
      </c>
      <c r="AD1339">
        <v>0.835708267</v>
      </c>
      <c r="AF1339">
        <v>17.74361446</v>
      </c>
      <c r="AG1339">
        <v>1.4E-2</v>
      </c>
      <c r="AH1339">
        <v>1.4E-2</v>
      </c>
      <c r="AI1339">
        <v>0.876</v>
      </c>
      <c r="AJ1339">
        <v>1.63</v>
      </c>
      <c r="AK1339">
        <v>8.3179586560000001</v>
      </c>
      <c r="AL1339">
        <v>4.2999999999999997E-2</v>
      </c>
      <c r="AM1339">
        <v>4.2999999999999997E-2</v>
      </c>
      <c r="AN1339">
        <v>0.89200000000000002</v>
      </c>
    </row>
    <row r="1340" spans="1:40">
      <c r="A1340">
        <v>3408</v>
      </c>
      <c r="B1340" t="s">
        <v>692</v>
      </c>
      <c r="C1340" t="s">
        <v>693</v>
      </c>
      <c r="D1340" t="s">
        <v>694</v>
      </c>
      <c r="E1340">
        <v>11</v>
      </c>
      <c r="F1340">
        <v>35</v>
      </c>
      <c r="G1340">
        <v>76.219709140000006</v>
      </c>
      <c r="H1340">
        <v>6</v>
      </c>
      <c r="I1340">
        <v>0.119142045</v>
      </c>
      <c r="J1340">
        <v>41</v>
      </c>
      <c r="K1340">
        <v>344.12704600000001</v>
      </c>
      <c r="L1340">
        <v>0.91700000000000004</v>
      </c>
      <c r="M1340">
        <v>0.35294117600000002</v>
      </c>
      <c r="N1340">
        <v>0</v>
      </c>
      <c r="O1340" t="s">
        <v>620</v>
      </c>
      <c r="P1340">
        <f t="shared" si="182"/>
        <v>15.99</v>
      </c>
      <c r="Q1340">
        <f t="shared" si="183"/>
        <v>1.2828282828282822E-2</v>
      </c>
      <c r="R1340">
        <f t="shared" si="184"/>
        <v>1.9814814814814796E-2</v>
      </c>
      <c r="S1340">
        <f t="shared" si="185"/>
        <v>0.91700000000000004</v>
      </c>
      <c r="T1340">
        <f t="shared" si="186"/>
        <v>2.2234128568796301</v>
      </c>
      <c r="U1340">
        <f t="shared" si="187"/>
        <v>11.56181818</v>
      </c>
      <c r="V1340">
        <f t="shared" si="188"/>
        <v>4.1084210526315765E-2</v>
      </c>
      <c r="W1340">
        <f t="shared" si="189"/>
        <v>4.7929411764705873E-2</v>
      </c>
      <c r="X1340">
        <f t="shared" si="190"/>
        <v>1</v>
      </c>
      <c r="Y1340">
        <v>83.951616340000001</v>
      </c>
      <c r="Z1340">
        <v>0</v>
      </c>
      <c r="AA1340">
        <v>77808</v>
      </c>
      <c r="AB1340">
        <v>27489</v>
      </c>
      <c r="AC1340">
        <v>1.1225541E-2</v>
      </c>
      <c r="AD1340">
        <v>0.835708267</v>
      </c>
      <c r="AF1340">
        <v>15.99</v>
      </c>
      <c r="AG1340">
        <v>0</v>
      </c>
      <c r="AH1340">
        <v>0</v>
      </c>
      <c r="AI1340">
        <v>0.91700000000000004</v>
      </c>
      <c r="AK1340">
        <v>11.56181818</v>
      </c>
      <c r="AL1340">
        <v>0</v>
      </c>
      <c r="AM1340">
        <v>0</v>
      </c>
      <c r="AN1340">
        <v>1</v>
      </c>
    </row>
    <row r="1341" spans="1:40">
      <c r="A1341">
        <v>3409</v>
      </c>
      <c r="B1341" t="s">
        <v>709</v>
      </c>
      <c r="C1341" t="s">
        <v>693</v>
      </c>
      <c r="D1341" t="s">
        <v>694</v>
      </c>
      <c r="E1341">
        <v>503</v>
      </c>
      <c r="F1341">
        <v>1496</v>
      </c>
      <c r="G1341">
        <v>117.4722218</v>
      </c>
      <c r="H1341">
        <v>81</v>
      </c>
      <c r="I1341">
        <v>0.183627237</v>
      </c>
      <c r="J1341">
        <v>1577</v>
      </c>
      <c r="K1341">
        <v>8588.0505840000005</v>
      </c>
      <c r="L1341">
        <v>0.81200000000000006</v>
      </c>
      <c r="M1341">
        <v>0.13869862999999999</v>
      </c>
      <c r="N1341">
        <v>0</v>
      </c>
      <c r="O1341" t="s">
        <v>620</v>
      </c>
      <c r="P1341">
        <f t="shared" si="182"/>
        <v>12.667567569999999</v>
      </c>
      <c r="Q1341">
        <f t="shared" si="183"/>
        <v>5.0000000000000001E-3</v>
      </c>
      <c r="R1341">
        <f t="shared" si="184"/>
        <v>2.1000000000000001E-2</v>
      </c>
      <c r="S1341">
        <f t="shared" si="185"/>
        <v>0.81200000000000006</v>
      </c>
      <c r="T1341">
        <f t="shared" si="186"/>
        <v>1.8995652169999999</v>
      </c>
      <c r="U1341">
        <f t="shared" si="187"/>
        <v>5.9317411230000001</v>
      </c>
      <c r="V1341">
        <f t="shared" si="188"/>
        <v>0.04</v>
      </c>
      <c r="W1341">
        <f t="shared" si="189"/>
        <v>0.04</v>
      </c>
      <c r="X1341">
        <f t="shared" si="190"/>
        <v>0.89500000000000002</v>
      </c>
      <c r="Y1341">
        <v>79.168316669999996</v>
      </c>
      <c r="Z1341">
        <v>0</v>
      </c>
      <c r="AA1341">
        <v>56865</v>
      </c>
      <c r="AB1341">
        <v>22398</v>
      </c>
      <c r="AC1341">
        <v>1.1143686E-2</v>
      </c>
      <c r="AD1341">
        <v>0.81944707100000003</v>
      </c>
      <c r="AF1341">
        <v>12.667567569999999</v>
      </c>
      <c r="AG1341">
        <v>5.0000000000000001E-3</v>
      </c>
      <c r="AH1341">
        <v>2.1000000000000001E-2</v>
      </c>
      <c r="AI1341">
        <v>0.81200000000000006</v>
      </c>
      <c r="AJ1341">
        <v>1.8995652169999999</v>
      </c>
      <c r="AK1341">
        <v>5.9317411230000001</v>
      </c>
      <c r="AL1341">
        <v>0.04</v>
      </c>
      <c r="AM1341">
        <v>0.04</v>
      </c>
      <c r="AN1341">
        <v>0.89500000000000002</v>
      </c>
    </row>
    <row r="1342" spans="1:40">
      <c r="A1342">
        <v>3410</v>
      </c>
      <c r="B1342" t="s">
        <v>709</v>
      </c>
      <c r="C1342" t="s">
        <v>693</v>
      </c>
      <c r="D1342" t="s">
        <v>694</v>
      </c>
      <c r="E1342">
        <v>0</v>
      </c>
      <c r="F1342">
        <v>1</v>
      </c>
      <c r="G1342">
        <v>25.86610305</v>
      </c>
      <c r="H1342">
        <v>337</v>
      </c>
      <c r="I1342">
        <v>4.0435126000000002E-2</v>
      </c>
      <c r="J1342">
        <v>338</v>
      </c>
      <c r="K1342">
        <v>8359.0687959999996</v>
      </c>
      <c r="L1342">
        <v>0.88900000000000001</v>
      </c>
      <c r="M1342" s="515">
        <v>1</v>
      </c>
      <c r="N1342">
        <v>1</v>
      </c>
      <c r="O1342" t="s">
        <v>620</v>
      </c>
      <c r="P1342">
        <f t="shared" si="182"/>
        <v>14.06693548</v>
      </c>
      <c r="Q1342">
        <f t="shared" si="183"/>
        <v>2.3E-2</v>
      </c>
      <c r="R1342">
        <f t="shared" si="184"/>
        <v>1.6E-2</v>
      </c>
      <c r="S1342">
        <f t="shared" si="185"/>
        <v>0.88900000000000001</v>
      </c>
      <c r="T1342">
        <f t="shared" si="186"/>
        <v>2.6366666670000001</v>
      </c>
      <c r="U1342">
        <f t="shared" si="187"/>
        <v>9.0863829789999997</v>
      </c>
      <c r="V1342">
        <f t="shared" si="188"/>
        <v>5.0999999999999997E-2</v>
      </c>
      <c r="W1342">
        <f t="shared" si="189"/>
        <v>0.10299999999999999</v>
      </c>
      <c r="X1342">
        <f t="shared" si="190"/>
        <v>0.79500000000000004</v>
      </c>
      <c r="Y1342">
        <v>78.984958079999998</v>
      </c>
      <c r="Z1342">
        <v>0</v>
      </c>
      <c r="AA1342">
        <v>56865</v>
      </c>
      <c r="AB1342">
        <v>22398</v>
      </c>
      <c r="AC1342">
        <v>1.1143686E-2</v>
      </c>
      <c r="AD1342">
        <v>0.81944707100000003</v>
      </c>
      <c r="AF1342">
        <v>14.06693548</v>
      </c>
      <c r="AG1342">
        <v>2.3E-2</v>
      </c>
      <c r="AH1342">
        <v>1.6E-2</v>
      </c>
      <c r="AI1342">
        <v>0.88900000000000001</v>
      </c>
      <c r="AJ1342">
        <v>2.6366666670000001</v>
      </c>
      <c r="AK1342">
        <v>9.0863829789999997</v>
      </c>
      <c r="AL1342">
        <v>5.0999999999999997E-2</v>
      </c>
      <c r="AM1342">
        <v>0.10299999999999999</v>
      </c>
      <c r="AN1342">
        <v>0.79500000000000004</v>
      </c>
    </row>
    <row r="1343" spans="1:40">
      <c r="A1343">
        <v>3411</v>
      </c>
      <c r="B1343" t="s">
        <v>709</v>
      </c>
      <c r="C1343" t="s">
        <v>693</v>
      </c>
      <c r="D1343" t="s">
        <v>694</v>
      </c>
      <c r="E1343">
        <v>0</v>
      </c>
      <c r="F1343">
        <v>0</v>
      </c>
      <c r="G1343">
        <v>29.205741809999999</v>
      </c>
      <c r="H1343">
        <v>362</v>
      </c>
      <c r="I1343">
        <v>4.5653225999999998E-2</v>
      </c>
      <c r="J1343">
        <v>362</v>
      </c>
      <c r="K1343">
        <v>7929.3410720000002</v>
      </c>
      <c r="L1343">
        <v>0.90200000000000002</v>
      </c>
      <c r="M1343" s="515">
        <v>1</v>
      </c>
      <c r="N1343">
        <v>1</v>
      </c>
      <c r="O1343" t="s">
        <v>620</v>
      </c>
      <c r="P1343">
        <f t="shared" si="182"/>
        <v>16.838157890000002</v>
      </c>
      <c r="Q1343">
        <f t="shared" si="183"/>
        <v>1.0999999999999999E-2</v>
      </c>
      <c r="R1343">
        <f t="shared" si="184"/>
        <v>7.0000000000000001E-3</v>
      </c>
      <c r="S1343">
        <f t="shared" si="185"/>
        <v>0.90200000000000002</v>
      </c>
      <c r="T1343">
        <f t="shared" si="186"/>
        <v>2.3149999999999999</v>
      </c>
      <c r="U1343">
        <f t="shared" si="187"/>
        <v>8.3712266110000009</v>
      </c>
      <c r="V1343">
        <f t="shared" si="188"/>
        <v>0.05</v>
      </c>
      <c r="W1343">
        <f t="shared" si="189"/>
        <v>5.1076923076923055E-2</v>
      </c>
      <c r="X1343">
        <f t="shared" si="190"/>
        <v>0.95</v>
      </c>
      <c r="Y1343">
        <v>79.411666030000006</v>
      </c>
      <c r="Z1343">
        <v>0</v>
      </c>
      <c r="AA1343">
        <v>56865</v>
      </c>
      <c r="AB1343">
        <v>22398</v>
      </c>
      <c r="AC1343">
        <v>1.1143686E-2</v>
      </c>
      <c r="AD1343">
        <v>0.81944707100000003</v>
      </c>
      <c r="AF1343">
        <v>16.838157890000002</v>
      </c>
      <c r="AG1343">
        <v>1.0999999999999999E-2</v>
      </c>
      <c r="AH1343">
        <v>7.0000000000000001E-3</v>
      </c>
      <c r="AI1343">
        <v>0.90200000000000002</v>
      </c>
      <c r="AJ1343">
        <v>2.3149999999999999</v>
      </c>
      <c r="AK1343">
        <v>8.3712266110000009</v>
      </c>
      <c r="AL1343">
        <v>0.05</v>
      </c>
      <c r="AM1343">
        <v>0</v>
      </c>
      <c r="AN1343">
        <v>0.95</v>
      </c>
    </row>
    <row r="1344" spans="1:40">
      <c r="A1344">
        <v>3412</v>
      </c>
      <c r="B1344" t="s">
        <v>709</v>
      </c>
      <c r="C1344" t="s">
        <v>693</v>
      </c>
      <c r="D1344" t="s">
        <v>694</v>
      </c>
      <c r="E1344">
        <v>0</v>
      </c>
      <c r="F1344">
        <v>0</v>
      </c>
      <c r="G1344">
        <v>40.744388960000002</v>
      </c>
      <c r="H1344">
        <v>507</v>
      </c>
      <c r="I1344">
        <v>6.3688727000000001E-2</v>
      </c>
      <c r="J1344">
        <v>507</v>
      </c>
      <c r="K1344">
        <v>7960.5924610000002</v>
      </c>
      <c r="L1344">
        <v>0.90600000000000003</v>
      </c>
      <c r="M1344" s="515">
        <v>1</v>
      </c>
      <c r="N1344">
        <v>1</v>
      </c>
      <c r="O1344" t="s">
        <v>620</v>
      </c>
      <c r="P1344">
        <f t="shared" si="182"/>
        <v>16.120208330000001</v>
      </c>
      <c r="Q1344">
        <f t="shared" si="183"/>
        <v>8.9999999999999993E-3</v>
      </c>
      <c r="R1344">
        <f t="shared" si="184"/>
        <v>8.9999999999999993E-3</v>
      </c>
      <c r="S1344">
        <f t="shared" si="185"/>
        <v>0.90600000000000003</v>
      </c>
      <c r="T1344">
        <f t="shared" si="186"/>
        <v>1.996666667</v>
      </c>
      <c r="U1344">
        <f t="shared" si="187"/>
        <v>8.0568694099999991</v>
      </c>
      <c r="V1344">
        <f t="shared" si="188"/>
        <v>7.6999999999999999E-2</v>
      </c>
      <c r="W1344">
        <f t="shared" si="189"/>
        <v>5.1076923076923055E-2</v>
      </c>
      <c r="X1344">
        <f t="shared" si="190"/>
        <v>0.92300000000000004</v>
      </c>
      <c r="Y1344">
        <v>79.116846190000004</v>
      </c>
      <c r="Z1344">
        <v>0</v>
      </c>
      <c r="AA1344">
        <v>56865</v>
      </c>
      <c r="AB1344">
        <v>22398</v>
      </c>
      <c r="AC1344">
        <v>1.1143686E-2</v>
      </c>
      <c r="AD1344">
        <v>0.81944707100000003</v>
      </c>
      <c r="AF1344">
        <v>16.120208330000001</v>
      </c>
      <c r="AG1344">
        <v>8.9999999999999993E-3</v>
      </c>
      <c r="AH1344">
        <v>8.9999999999999993E-3</v>
      </c>
      <c r="AI1344">
        <v>0.90600000000000003</v>
      </c>
      <c r="AJ1344">
        <v>1.996666667</v>
      </c>
      <c r="AK1344">
        <v>8.0568694099999991</v>
      </c>
      <c r="AL1344">
        <v>7.6999999999999999E-2</v>
      </c>
      <c r="AM1344">
        <v>0</v>
      </c>
      <c r="AN1344">
        <v>0.92300000000000004</v>
      </c>
    </row>
    <row r="1345" spans="1:40">
      <c r="A1345">
        <v>3413</v>
      </c>
      <c r="B1345" t="s">
        <v>709</v>
      </c>
      <c r="C1345" t="s">
        <v>693</v>
      </c>
      <c r="D1345" t="s">
        <v>694</v>
      </c>
      <c r="E1345">
        <v>0</v>
      </c>
      <c r="F1345">
        <v>0</v>
      </c>
      <c r="G1345">
        <v>45.353184220000003</v>
      </c>
      <c r="H1345">
        <v>734</v>
      </c>
      <c r="I1345">
        <v>7.0893135999999995E-2</v>
      </c>
      <c r="J1345">
        <v>734</v>
      </c>
      <c r="K1345">
        <v>10353.61167</v>
      </c>
      <c r="L1345">
        <v>0.89800000000000002</v>
      </c>
      <c r="M1345" s="515">
        <v>1</v>
      </c>
      <c r="N1345">
        <v>1</v>
      </c>
      <c r="O1345" t="s">
        <v>620</v>
      </c>
      <c r="P1345">
        <f t="shared" si="182"/>
        <v>16.423730160000002</v>
      </c>
      <c r="Q1345">
        <f t="shared" si="183"/>
        <v>8.0000000000000002E-3</v>
      </c>
      <c r="R1345">
        <f t="shared" si="184"/>
        <v>1.9E-2</v>
      </c>
      <c r="S1345">
        <f t="shared" si="185"/>
        <v>0.89800000000000002</v>
      </c>
      <c r="T1345">
        <f t="shared" si="186"/>
        <v>2.1333333329999999</v>
      </c>
      <c r="U1345">
        <f t="shared" si="187"/>
        <v>9.7788434160000008</v>
      </c>
      <c r="V1345">
        <f t="shared" si="188"/>
        <v>1.4999999999999999E-2</v>
      </c>
      <c r="W1345">
        <f t="shared" si="189"/>
        <v>2.9000000000000001E-2</v>
      </c>
      <c r="X1345">
        <f t="shared" si="190"/>
        <v>0.92600000000000005</v>
      </c>
      <c r="Y1345">
        <v>79.861020640000007</v>
      </c>
      <c r="Z1345">
        <v>0</v>
      </c>
      <c r="AA1345">
        <v>56865</v>
      </c>
      <c r="AB1345">
        <v>22398</v>
      </c>
      <c r="AC1345">
        <v>1.1143686E-2</v>
      </c>
      <c r="AD1345">
        <v>0.81944707100000003</v>
      </c>
      <c r="AF1345">
        <v>16.423730160000002</v>
      </c>
      <c r="AG1345">
        <v>8.0000000000000002E-3</v>
      </c>
      <c r="AH1345">
        <v>1.9E-2</v>
      </c>
      <c r="AI1345">
        <v>0.89800000000000002</v>
      </c>
      <c r="AJ1345">
        <v>2.1333333329999999</v>
      </c>
      <c r="AK1345">
        <v>9.7788434160000008</v>
      </c>
      <c r="AL1345">
        <v>1.4999999999999999E-2</v>
      </c>
      <c r="AM1345">
        <v>2.9000000000000001E-2</v>
      </c>
      <c r="AN1345">
        <v>0.92600000000000005</v>
      </c>
    </row>
    <row r="1346" spans="1:40">
      <c r="A1346">
        <v>3414</v>
      </c>
      <c r="B1346" t="s">
        <v>709</v>
      </c>
      <c r="C1346" t="s">
        <v>693</v>
      </c>
      <c r="D1346" t="s">
        <v>694</v>
      </c>
      <c r="E1346">
        <v>0</v>
      </c>
      <c r="F1346">
        <v>0</v>
      </c>
      <c r="G1346">
        <v>60.901052919999998</v>
      </c>
      <c r="H1346">
        <v>598</v>
      </c>
      <c r="I1346">
        <v>9.5185282999999996E-2</v>
      </c>
      <c r="J1346">
        <v>598</v>
      </c>
      <c r="K1346">
        <v>6282.4838159999999</v>
      </c>
      <c r="L1346">
        <v>0.89700000000000002</v>
      </c>
      <c r="M1346" s="515">
        <v>1</v>
      </c>
      <c r="N1346">
        <v>0</v>
      </c>
      <c r="O1346" t="s">
        <v>620</v>
      </c>
      <c r="P1346">
        <f t="shared" si="182"/>
        <v>14.60434783</v>
      </c>
      <c r="Q1346">
        <f t="shared" si="183"/>
        <v>1.0999999999999999E-2</v>
      </c>
      <c r="R1346">
        <f t="shared" si="184"/>
        <v>8.0000000000000002E-3</v>
      </c>
      <c r="S1346">
        <f t="shared" si="185"/>
        <v>0.89700000000000002</v>
      </c>
      <c r="T1346">
        <f t="shared" si="186"/>
        <v>4.0274999999999999</v>
      </c>
      <c r="U1346">
        <f t="shared" si="187"/>
        <v>8.1747486029999994</v>
      </c>
      <c r="V1346">
        <f t="shared" si="188"/>
        <v>0.02</v>
      </c>
      <c r="W1346">
        <f t="shared" si="189"/>
        <v>0.02</v>
      </c>
      <c r="X1346">
        <f t="shared" si="190"/>
        <v>0.93899999999999995</v>
      </c>
      <c r="Y1346">
        <v>79.604279820000002</v>
      </c>
      <c r="Z1346">
        <v>0</v>
      </c>
      <c r="AA1346">
        <v>56865</v>
      </c>
      <c r="AB1346">
        <v>22398</v>
      </c>
      <c r="AC1346">
        <v>1.1143686E-2</v>
      </c>
      <c r="AD1346">
        <v>0.81944707100000003</v>
      </c>
      <c r="AF1346">
        <v>14.60434783</v>
      </c>
      <c r="AG1346">
        <v>1.0999999999999999E-2</v>
      </c>
      <c r="AH1346">
        <v>8.0000000000000002E-3</v>
      </c>
      <c r="AI1346">
        <v>0.89700000000000002</v>
      </c>
      <c r="AJ1346">
        <v>4.0274999999999999</v>
      </c>
      <c r="AK1346">
        <v>8.1747486029999994</v>
      </c>
      <c r="AL1346">
        <v>0.02</v>
      </c>
      <c r="AM1346">
        <v>0.02</v>
      </c>
      <c r="AN1346">
        <v>0.93899999999999995</v>
      </c>
    </row>
    <row r="1347" spans="1:40">
      <c r="A1347">
        <v>3415</v>
      </c>
      <c r="B1347" t="s">
        <v>709</v>
      </c>
      <c r="C1347" t="s">
        <v>693</v>
      </c>
      <c r="D1347" t="s">
        <v>694</v>
      </c>
      <c r="E1347">
        <v>0</v>
      </c>
      <c r="F1347">
        <v>82</v>
      </c>
      <c r="G1347">
        <v>12.030704890000001</v>
      </c>
      <c r="H1347">
        <v>230</v>
      </c>
      <c r="I1347">
        <v>1.8806151E-2</v>
      </c>
      <c r="J1347">
        <v>312</v>
      </c>
      <c r="K1347">
        <v>16590.316650000001</v>
      </c>
      <c r="L1347">
        <v>0.86799999999999999</v>
      </c>
      <c r="M1347" s="515">
        <v>1</v>
      </c>
      <c r="N1347">
        <v>0</v>
      </c>
      <c r="O1347" t="s">
        <v>620</v>
      </c>
      <c r="P1347">
        <f t="shared" si="182"/>
        <v>13.87619048</v>
      </c>
      <c r="Q1347">
        <f t="shared" si="183"/>
        <v>4.0000000000000001E-3</v>
      </c>
      <c r="R1347">
        <f t="shared" si="184"/>
        <v>7.0000000000000001E-3</v>
      </c>
      <c r="S1347">
        <f t="shared" si="185"/>
        <v>0.86799999999999999</v>
      </c>
      <c r="T1347">
        <f t="shared" si="186"/>
        <v>2.0375000000000001</v>
      </c>
      <c r="U1347">
        <f t="shared" si="187"/>
        <v>7.3941830069999996</v>
      </c>
      <c r="V1347">
        <f t="shared" si="188"/>
        <v>7.3999999999999996E-2</v>
      </c>
      <c r="W1347">
        <f t="shared" si="189"/>
        <v>3.6999999999999998E-2</v>
      </c>
      <c r="X1347">
        <f t="shared" si="190"/>
        <v>0.77800000000000002</v>
      </c>
      <c r="Y1347">
        <v>65.87590865</v>
      </c>
      <c r="Z1347">
        <v>0</v>
      </c>
      <c r="AA1347">
        <v>56865</v>
      </c>
      <c r="AB1347">
        <v>22398</v>
      </c>
      <c r="AC1347">
        <v>1.1143686E-2</v>
      </c>
      <c r="AD1347">
        <v>0.81944707100000003</v>
      </c>
      <c r="AF1347">
        <v>13.87619048</v>
      </c>
      <c r="AG1347">
        <v>4.0000000000000001E-3</v>
      </c>
      <c r="AH1347">
        <v>7.0000000000000001E-3</v>
      </c>
      <c r="AI1347">
        <v>0.86799999999999999</v>
      </c>
      <c r="AJ1347">
        <v>2.0375000000000001</v>
      </c>
      <c r="AK1347">
        <v>7.3941830069999996</v>
      </c>
      <c r="AL1347">
        <v>7.3999999999999996E-2</v>
      </c>
      <c r="AM1347">
        <v>3.6999999999999998E-2</v>
      </c>
      <c r="AN1347">
        <v>0.77800000000000002</v>
      </c>
    </row>
    <row r="1348" spans="1:40">
      <c r="A1348">
        <v>3416</v>
      </c>
      <c r="B1348" t="s">
        <v>709</v>
      </c>
      <c r="C1348" t="s">
        <v>693</v>
      </c>
      <c r="D1348" t="s">
        <v>694</v>
      </c>
      <c r="E1348">
        <v>265</v>
      </c>
      <c r="F1348">
        <v>739</v>
      </c>
      <c r="G1348">
        <v>45.360666700000003</v>
      </c>
      <c r="H1348">
        <v>646</v>
      </c>
      <c r="I1348">
        <v>7.0900141999999999E-2</v>
      </c>
      <c r="J1348">
        <v>1385</v>
      </c>
      <c r="K1348">
        <v>19534.516589999999</v>
      </c>
      <c r="L1348">
        <v>0.78400000000000003</v>
      </c>
      <c r="M1348">
        <v>0.70911086700000003</v>
      </c>
      <c r="N1348">
        <v>1</v>
      </c>
      <c r="O1348" t="s">
        <v>613</v>
      </c>
      <c r="P1348">
        <f t="shared" si="182"/>
        <v>16.281592920000001</v>
      </c>
      <c r="Q1348">
        <f t="shared" si="183"/>
        <v>1.2999999999999999E-2</v>
      </c>
      <c r="R1348">
        <f t="shared" si="184"/>
        <v>1.2999999999999999E-2</v>
      </c>
      <c r="S1348">
        <f t="shared" si="185"/>
        <v>0.78400000000000003</v>
      </c>
      <c r="T1348">
        <f t="shared" si="186"/>
        <v>2.0016666669999998</v>
      </c>
      <c r="U1348">
        <f t="shared" si="187"/>
        <v>7.7308469950000003</v>
      </c>
      <c r="V1348">
        <f t="shared" si="188"/>
        <v>1.4999999999999999E-2</v>
      </c>
      <c r="W1348">
        <f t="shared" si="189"/>
        <v>0.09</v>
      </c>
      <c r="X1348">
        <f t="shared" si="190"/>
        <v>0.84299999999999997</v>
      </c>
      <c r="Y1348">
        <v>66.897651870000004</v>
      </c>
      <c r="Z1348">
        <v>0</v>
      </c>
      <c r="AA1348">
        <v>56865</v>
      </c>
      <c r="AB1348">
        <v>22398</v>
      </c>
      <c r="AC1348">
        <v>1.1143686E-2</v>
      </c>
      <c r="AD1348">
        <v>0.81944707100000003</v>
      </c>
      <c r="AF1348">
        <v>16.281592920000001</v>
      </c>
      <c r="AG1348">
        <v>1.2999999999999999E-2</v>
      </c>
      <c r="AH1348">
        <v>1.2999999999999999E-2</v>
      </c>
      <c r="AI1348">
        <v>0.78400000000000003</v>
      </c>
      <c r="AJ1348">
        <v>2.0016666669999998</v>
      </c>
      <c r="AK1348">
        <v>7.7308469950000003</v>
      </c>
      <c r="AL1348">
        <v>1.4999999999999999E-2</v>
      </c>
      <c r="AM1348">
        <v>0.09</v>
      </c>
      <c r="AN1348">
        <v>0.84299999999999997</v>
      </c>
    </row>
    <row r="1349" spans="1:40">
      <c r="A1349">
        <v>3417</v>
      </c>
      <c r="B1349" t="s">
        <v>709</v>
      </c>
      <c r="C1349" t="s">
        <v>693</v>
      </c>
      <c r="D1349" t="s">
        <v>694</v>
      </c>
      <c r="E1349">
        <v>60</v>
      </c>
      <c r="F1349">
        <v>60</v>
      </c>
      <c r="G1349">
        <v>16.638384819999999</v>
      </c>
      <c r="H1349">
        <v>402</v>
      </c>
      <c r="I1349">
        <v>2.600558E-2</v>
      </c>
      <c r="J1349">
        <v>462</v>
      </c>
      <c r="K1349">
        <v>17765.41804</v>
      </c>
      <c r="L1349">
        <v>0.84</v>
      </c>
      <c r="M1349">
        <v>0.87012986999999997</v>
      </c>
      <c r="N1349">
        <v>1</v>
      </c>
      <c r="O1349" t="s">
        <v>620</v>
      </c>
      <c r="P1349">
        <f t="shared" si="182"/>
        <v>16.061718750000001</v>
      </c>
      <c r="Q1349">
        <f t="shared" si="183"/>
        <v>1E-3</v>
      </c>
      <c r="R1349">
        <f t="shared" si="184"/>
        <v>1.4999999999999999E-2</v>
      </c>
      <c r="S1349">
        <f t="shared" si="185"/>
        <v>0.84</v>
      </c>
      <c r="T1349">
        <f t="shared" si="186"/>
        <v>3.0983333329999998</v>
      </c>
      <c r="U1349">
        <f t="shared" si="187"/>
        <v>8.6390408809999997</v>
      </c>
      <c r="V1349">
        <f t="shared" si="188"/>
        <v>8.2000000000000003E-2</v>
      </c>
      <c r="W1349">
        <f t="shared" si="189"/>
        <v>1.4E-2</v>
      </c>
      <c r="X1349">
        <f t="shared" si="190"/>
        <v>0.877</v>
      </c>
      <c r="Y1349">
        <v>65.624810310000001</v>
      </c>
      <c r="Z1349">
        <v>0</v>
      </c>
      <c r="AA1349">
        <v>56865</v>
      </c>
      <c r="AB1349">
        <v>22398</v>
      </c>
      <c r="AC1349">
        <v>1.1143686E-2</v>
      </c>
      <c r="AD1349">
        <v>0.81944707100000003</v>
      </c>
      <c r="AF1349">
        <v>16.061718750000001</v>
      </c>
      <c r="AG1349">
        <v>1E-3</v>
      </c>
      <c r="AH1349">
        <v>1.4999999999999999E-2</v>
      </c>
      <c r="AI1349">
        <v>0.84</v>
      </c>
      <c r="AJ1349">
        <v>3.0983333329999998</v>
      </c>
      <c r="AK1349">
        <v>8.6390408809999997</v>
      </c>
      <c r="AL1349">
        <v>8.2000000000000003E-2</v>
      </c>
      <c r="AM1349">
        <v>1.4E-2</v>
      </c>
      <c r="AN1349">
        <v>0.877</v>
      </c>
    </row>
    <row r="1350" spans="1:40">
      <c r="A1350">
        <v>3418</v>
      </c>
      <c r="B1350" t="s">
        <v>709</v>
      </c>
      <c r="C1350" t="s">
        <v>693</v>
      </c>
      <c r="D1350" t="s">
        <v>694</v>
      </c>
      <c r="E1350">
        <v>220</v>
      </c>
      <c r="F1350">
        <v>624</v>
      </c>
      <c r="G1350">
        <v>21.841279459999999</v>
      </c>
      <c r="H1350">
        <v>122</v>
      </c>
      <c r="I1350">
        <v>3.4147920999999998E-2</v>
      </c>
      <c r="J1350">
        <v>746</v>
      </c>
      <c r="K1350">
        <v>21846.132300000001</v>
      </c>
      <c r="L1350">
        <v>0.73</v>
      </c>
      <c r="M1350">
        <v>0.35672514599999999</v>
      </c>
      <c r="N1350">
        <v>0</v>
      </c>
      <c r="O1350" t="s">
        <v>620</v>
      </c>
      <c r="P1350">
        <f t="shared" si="182"/>
        <v>15.26886792</v>
      </c>
      <c r="Q1350">
        <f t="shared" si="183"/>
        <v>7.0000000000000001E-3</v>
      </c>
      <c r="R1350">
        <f t="shared" si="184"/>
        <v>1.2999999999999999E-2</v>
      </c>
      <c r="S1350">
        <f t="shared" si="185"/>
        <v>0.73</v>
      </c>
      <c r="T1350">
        <f t="shared" si="186"/>
        <v>3.49</v>
      </c>
      <c r="U1350">
        <f t="shared" si="187"/>
        <v>7.8901886790000004</v>
      </c>
      <c r="V1350">
        <f t="shared" si="188"/>
        <v>3.5000000000000003E-2</v>
      </c>
      <c r="W1350">
        <f t="shared" si="189"/>
        <v>3.5000000000000003E-2</v>
      </c>
      <c r="X1350">
        <f t="shared" si="190"/>
        <v>0.93</v>
      </c>
      <c r="Y1350">
        <v>65.641008279999994</v>
      </c>
      <c r="Z1350">
        <v>0</v>
      </c>
      <c r="AA1350">
        <v>56865</v>
      </c>
      <c r="AB1350">
        <v>22398</v>
      </c>
      <c r="AC1350">
        <v>1.1143686E-2</v>
      </c>
      <c r="AD1350">
        <v>0.81944707100000003</v>
      </c>
      <c r="AF1350">
        <v>15.26886792</v>
      </c>
      <c r="AG1350">
        <v>7.0000000000000001E-3</v>
      </c>
      <c r="AH1350">
        <v>1.2999999999999999E-2</v>
      </c>
      <c r="AI1350">
        <v>0.73</v>
      </c>
      <c r="AJ1350">
        <v>3.49</v>
      </c>
      <c r="AK1350">
        <v>7.8901886790000004</v>
      </c>
      <c r="AL1350">
        <v>3.5000000000000003E-2</v>
      </c>
      <c r="AM1350">
        <v>3.5000000000000003E-2</v>
      </c>
      <c r="AN1350">
        <v>0.93</v>
      </c>
    </row>
    <row r="1351" spans="1:40">
      <c r="A1351">
        <v>3419</v>
      </c>
      <c r="B1351" t="s">
        <v>709</v>
      </c>
      <c r="C1351" t="s">
        <v>693</v>
      </c>
      <c r="D1351" t="s">
        <v>694</v>
      </c>
      <c r="E1351">
        <v>12</v>
      </c>
      <c r="F1351">
        <v>12</v>
      </c>
      <c r="G1351">
        <v>18.321380139999999</v>
      </c>
      <c r="H1351">
        <v>591</v>
      </c>
      <c r="I1351">
        <v>2.8639027000000001E-2</v>
      </c>
      <c r="J1351">
        <v>603</v>
      </c>
      <c r="K1351">
        <v>21055.184590000001</v>
      </c>
      <c r="L1351">
        <v>0.86599999999999999</v>
      </c>
      <c r="M1351">
        <v>0.98009950199999996</v>
      </c>
      <c r="N1351">
        <v>0</v>
      </c>
      <c r="O1351" t="s">
        <v>620</v>
      </c>
      <c r="P1351">
        <f t="shared" si="182"/>
        <v>16.866166669999998</v>
      </c>
      <c r="Q1351">
        <f t="shared" si="183"/>
        <v>4.0000000000000001E-3</v>
      </c>
      <c r="R1351">
        <f t="shared" si="184"/>
        <v>8.0000000000000002E-3</v>
      </c>
      <c r="S1351">
        <f t="shared" si="185"/>
        <v>0.86599999999999999</v>
      </c>
      <c r="T1351">
        <f t="shared" si="186"/>
        <v>3.54</v>
      </c>
      <c r="U1351">
        <f t="shared" si="187"/>
        <v>7.698711276</v>
      </c>
      <c r="V1351">
        <f t="shared" si="188"/>
        <v>4.6644067796610157E-2</v>
      </c>
      <c r="W1351">
        <f t="shared" si="189"/>
        <v>0.03</v>
      </c>
      <c r="X1351">
        <f t="shared" si="190"/>
        <v>0.89600000000000002</v>
      </c>
      <c r="Y1351">
        <v>65.688842039999997</v>
      </c>
      <c r="Z1351">
        <v>0</v>
      </c>
      <c r="AA1351">
        <v>56865</v>
      </c>
      <c r="AB1351">
        <v>22398</v>
      </c>
      <c r="AC1351">
        <v>1.1143686E-2</v>
      </c>
      <c r="AD1351">
        <v>0.81944707100000003</v>
      </c>
      <c r="AF1351">
        <v>16.866166669999998</v>
      </c>
      <c r="AG1351">
        <v>4.0000000000000001E-3</v>
      </c>
      <c r="AH1351">
        <v>8.0000000000000002E-3</v>
      </c>
      <c r="AI1351">
        <v>0.86599999999999999</v>
      </c>
      <c r="AJ1351">
        <v>3.54</v>
      </c>
      <c r="AK1351">
        <v>7.698711276</v>
      </c>
      <c r="AL1351">
        <v>0</v>
      </c>
      <c r="AM1351">
        <v>0.03</v>
      </c>
      <c r="AN1351">
        <v>0.89600000000000002</v>
      </c>
    </row>
    <row r="1352" spans="1:40">
      <c r="A1352">
        <v>3420</v>
      </c>
      <c r="B1352" t="s">
        <v>709</v>
      </c>
      <c r="C1352" t="s">
        <v>693</v>
      </c>
      <c r="D1352" t="s">
        <v>694</v>
      </c>
      <c r="E1352">
        <v>0</v>
      </c>
      <c r="F1352">
        <v>0</v>
      </c>
      <c r="G1352">
        <v>28.973728439999999</v>
      </c>
      <c r="H1352">
        <v>494</v>
      </c>
      <c r="I1352">
        <v>4.5288407000000003E-2</v>
      </c>
      <c r="J1352">
        <v>494</v>
      </c>
      <c r="K1352">
        <v>10907.868759999999</v>
      </c>
      <c r="L1352">
        <v>0.879</v>
      </c>
      <c r="M1352" s="515">
        <v>1</v>
      </c>
      <c r="N1352">
        <v>1</v>
      </c>
      <c r="O1352" t="s">
        <v>620</v>
      </c>
      <c r="P1352">
        <f t="shared" si="182"/>
        <v>18.81909091</v>
      </c>
      <c r="Q1352">
        <f t="shared" si="183"/>
        <v>1.4E-2</v>
      </c>
      <c r="R1352">
        <f t="shared" si="184"/>
        <v>6.0000000000000001E-3</v>
      </c>
      <c r="S1352">
        <f t="shared" si="185"/>
        <v>0.879</v>
      </c>
      <c r="T1352">
        <f t="shared" si="186"/>
        <v>3.0816666669999999</v>
      </c>
      <c r="U1352">
        <f t="shared" si="187"/>
        <v>7.679711191</v>
      </c>
      <c r="V1352">
        <f t="shared" si="188"/>
        <v>4.6644067796610157E-2</v>
      </c>
      <c r="W1352">
        <f t="shared" si="189"/>
        <v>5.3999999999999999E-2</v>
      </c>
      <c r="X1352">
        <f t="shared" si="190"/>
        <v>0.89200000000000002</v>
      </c>
      <c r="Y1352">
        <v>65.594072940000004</v>
      </c>
      <c r="Z1352">
        <v>0</v>
      </c>
      <c r="AA1352">
        <v>56865</v>
      </c>
      <c r="AB1352">
        <v>22398</v>
      </c>
      <c r="AC1352">
        <v>1.1143686E-2</v>
      </c>
      <c r="AD1352">
        <v>0.81944707100000003</v>
      </c>
      <c r="AF1352">
        <v>18.81909091</v>
      </c>
      <c r="AG1352">
        <v>1.4E-2</v>
      </c>
      <c r="AH1352">
        <v>6.0000000000000001E-3</v>
      </c>
      <c r="AI1352">
        <v>0.879</v>
      </c>
      <c r="AJ1352">
        <v>3.0816666669999999</v>
      </c>
      <c r="AK1352">
        <v>7.679711191</v>
      </c>
      <c r="AL1352">
        <v>0</v>
      </c>
      <c r="AM1352">
        <v>5.3999999999999999E-2</v>
      </c>
      <c r="AN1352">
        <v>0.89200000000000002</v>
      </c>
    </row>
    <row r="1353" spans="1:40">
      <c r="A1353">
        <v>3421</v>
      </c>
      <c r="B1353" t="s">
        <v>709</v>
      </c>
      <c r="C1353" t="s">
        <v>693</v>
      </c>
      <c r="D1353" t="s">
        <v>694</v>
      </c>
      <c r="E1353">
        <v>0</v>
      </c>
      <c r="F1353">
        <v>0</v>
      </c>
      <c r="G1353">
        <v>25.353253970000001</v>
      </c>
      <c r="H1353">
        <v>338</v>
      </c>
      <c r="I1353">
        <v>3.9634266000000001E-2</v>
      </c>
      <c r="J1353">
        <v>338</v>
      </c>
      <c r="K1353">
        <v>8527.9742530000003</v>
      </c>
      <c r="L1353">
        <v>0.84299999999999997</v>
      </c>
      <c r="M1353" s="515">
        <v>1</v>
      </c>
      <c r="N1353">
        <v>1</v>
      </c>
      <c r="O1353" t="s">
        <v>613</v>
      </c>
      <c r="P1353">
        <f t="shared" si="182"/>
        <v>18.68</v>
      </c>
      <c r="Q1353">
        <f t="shared" si="183"/>
        <v>1.9E-2</v>
      </c>
      <c r="R1353">
        <f t="shared" si="184"/>
        <v>6.0000000000000001E-3</v>
      </c>
      <c r="S1353">
        <f t="shared" si="185"/>
        <v>0.84299999999999997</v>
      </c>
      <c r="T1353">
        <f t="shared" si="186"/>
        <v>3.11</v>
      </c>
      <c r="U1353">
        <f t="shared" si="187"/>
        <v>9.2898054470000009</v>
      </c>
      <c r="V1353">
        <f t="shared" si="188"/>
        <v>2.5000000000000001E-2</v>
      </c>
      <c r="W1353">
        <f t="shared" si="189"/>
        <v>0.05</v>
      </c>
      <c r="X1353">
        <f t="shared" si="190"/>
        <v>0.875</v>
      </c>
      <c r="Y1353">
        <v>71.537697769999994</v>
      </c>
      <c r="Z1353">
        <v>0</v>
      </c>
      <c r="AA1353">
        <v>56865</v>
      </c>
      <c r="AB1353">
        <v>22398</v>
      </c>
      <c r="AC1353">
        <v>1.1143686E-2</v>
      </c>
      <c r="AD1353">
        <v>0.81944707100000003</v>
      </c>
      <c r="AF1353">
        <v>18.68</v>
      </c>
      <c r="AG1353">
        <v>1.9E-2</v>
      </c>
      <c r="AH1353">
        <v>6.0000000000000001E-3</v>
      </c>
      <c r="AI1353">
        <v>0.84299999999999997</v>
      </c>
      <c r="AJ1353">
        <v>3.11</v>
      </c>
      <c r="AK1353">
        <v>9.2898054470000009</v>
      </c>
      <c r="AL1353">
        <v>2.5000000000000001E-2</v>
      </c>
      <c r="AM1353">
        <v>0.05</v>
      </c>
      <c r="AN1353">
        <v>0.875</v>
      </c>
    </row>
    <row r="1354" spans="1:40">
      <c r="A1354">
        <v>3422</v>
      </c>
      <c r="B1354" t="s">
        <v>709</v>
      </c>
      <c r="C1354" t="s">
        <v>693</v>
      </c>
      <c r="D1354" t="s">
        <v>694</v>
      </c>
      <c r="E1354">
        <v>145</v>
      </c>
      <c r="F1354">
        <v>145</v>
      </c>
      <c r="G1354">
        <v>66.055624899999998</v>
      </c>
      <c r="H1354">
        <v>532</v>
      </c>
      <c r="I1354">
        <v>0.10325150800000001</v>
      </c>
      <c r="J1354">
        <v>677</v>
      </c>
      <c r="K1354">
        <v>6556.8049620000002</v>
      </c>
      <c r="L1354">
        <v>0.78600000000000003</v>
      </c>
      <c r="M1354">
        <v>0.78581979300000004</v>
      </c>
      <c r="N1354">
        <v>1</v>
      </c>
      <c r="O1354" t="s">
        <v>620</v>
      </c>
      <c r="P1354">
        <f t="shared" si="182"/>
        <v>15.053333329999999</v>
      </c>
      <c r="Q1354">
        <f t="shared" si="183"/>
        <v>8.9999999999999993E-3</v>
      </c>
      <c r="R1354">
        <f t="shared" si="184"/>
        <v>1.2E-2</v>
      </c>
      <c r="S1354">
        <f t="shared" si="185"/>
        <v>0.78600000000000003</v>
      </c>
      <c r="T1354">
        <f t="shared" si="186"/>
        <v>2.4037500000000001</v>
      </c>
      <c r="U1354">
        <f t="shared" si="187"/>
        <v>7.5736318410000001</v>
      </c>
      <c r="V1354">
        <f t="shared" si="188"/>
        <v>4.6644067796610157E-2</v>
      </c>
      <c r="W1354">
        <f t="shared" si="189"/>
        <v>2.5000000000000001E-2</v>
      </c>
      <c r="X1354">
        <f t="shared" si="190"/>
        <v>0.97499999999999998</v>
      </c>
      <c r="Y1354">
        <v>65.593998229999997</v>
      </c>
      <c r="Z1354">
        <v>0</v>
      </c>
      <c r="AA1354">
        <v>56865</v>
      </c>
      <c r="AB1354">
        <v>22398</v>
      </c>
      <c r="AC1354">
        <v>1.1143686E-2</v>
      </c>
      <c r="AD1354">
        <v>0.81944707100000003</v>
      </c>
      <c r="AF1354">
        <v>15.053333329999999</v>
      </c>
      <c r="AG1354">
        <v>8.9999999999999993E-3</v>
      </c>
      <c r="AH1354">
        <v>1.2E-2</v>
      </c>
      <c r="AI1354">
        <v>0.78600000000000003</v>
      </c>
      <c r="AJ1354">
        <v>2.4037500000000001</v>
      </c>
      <c r="AK1354">
        <v>7.5736318410000001</v>
      </c>
      <c r="AL1354">
        <v>0</v>
      </c>
      <c r="AM1354">
        <v>2.5000000000000001E-2</v>
      </c>
      <c r="AN1354">
        <v>0.97499999999999998</v>
      </c>
    </row>
    <row r="1355" spans="1:40">
      <c r="A1355">
        <v>3423</v>
      </c>
      <c r="B1355" t="s">
        <v>709</v>
      </c>
      <c r="C1355" t="s">
        <v>693</v>
      </c>
      <c r="D1355" t="s">
        <v>694</v>
      </c>
      <c r="E1355">
        <v>375</v>
      </c>
      <c r="F1355">
        <v>375</v>
      </c>
      <c r="G1355">
        <v>55.292490110000003</v>
      </c>
      <c r="H1355">
        <v>1513</v>
      </c>
      <c r="I1355">
        <v>8.6433599E-2</v>
      </c>
      <c r="J1355">
        <v>1888</v>
      </c>
      <c r="K1355">
        <v>21843.357469999999</v>
      </c>
      <c r="L1355">
        <v>0.82899999999999996</v>
      </c>
      <c r="M1355">
        <v>0.80137711899999997</v>
      </c>
      <c r="N1355">
        <v>1</v>
      </c>
      <c r="O1355" t="s">
        <v>613</v>
      </c>
      <c r="P1355">
        <f t="shared" si="182"/>
        <v>15.77541667</v>
      </c>
      <c r="Q1355">
        <f t="shared" si="183"/>
        <v>8.0000000000000002E-3</v>
      </c>
      <c r="R1355">
        <f t="shared" si="184"/>
        <v>1.2999999999999999E-2</v>
      </c>
      <c r="S1355">
        <f t="shared" si="185"/>
        <v>0.82899999999999996</v>
      </c>
      <c r="T1355">
        <f t="shared" si="186"/>
        <v>2.277391304</v>
      </c>
      <c r="U1355">
        <f t="shared" si="187"/>
        <v>8.2749676720000007</v>
      </c>
      <c r="V1355">
        <f t="shared" si="188"/>
        <v>2.1000000000000001E-2</v>
      </c>
      <c r="W1355">
        <f t="shared" si="189"/>
        <v>4.4999999999999998E-2</v>
      </c>
      <c r="X1355">
        <f t="shared" si="190"/>
        <v>0.92</v>
      </c>
      <c r="Y1355">
        <v>69.183352999999997</v>
      </c>
      <c r="Z1355">
        <v>0</v>
      </c>
      <c r="AA1355">
        <v>56865</v>
      </c>
      <c r="AB1355">
        <v>22398</v>
      </c>
      <c r="AC1355">
        <v>1.1143686E-2</v>
      </c>
      <c r="AD1355">
        <v>0.81944707100000003</v>
      </c>
      <c r="AF1355">
        <v>15.77541667</v>
      </c>
      <c r="AG1355">
        <v>8.0000000000000002E-3</v>
      </c>
      <c r="AH1355">
        <v>1.2999999999999999E-2</v>
      </c>
      <c r="AI1355">
        <v>0.82899999999999996</v>
      </c>
      <c r="AJ1355">
        <v>2.277391304</v>
      </c>
      <c r="AK1355">
        <v>8.2749676720000007</v>
      </c>
      <c r="AL1355">
        <v>2.1000000000000001E-2</v>
      </c>
      <c r="AM1355">
        <v>4.4999999999999998E-2</v>
      </c>
      <c r="AN1355">
        <v>0.92</v>
      </c>
    </row>
    <row r="1356" spans="1:40">
      <c r="A1356">
        <v>3424</v>
      </c>
      <c r="B1356" t="s">
        <v>709</v>
      </c>
      <c r="C1356" t="s">
        <v>693</v>
      </c>
      <c r="D1356" t="s">
        <v>694</v>
      </c>
      <c r="E1356">
        <v>368</v>
      </c>
      <c r="F1356">
        <v>1050</v>
      </c>
      <c r="G1356">
        <v>93.260979820000003</v>
      </c>
      <c r="H1356">
        <v>6</v>
      </c>
      <c r="I1356">
        <v>0.145774294</v>
      </c>
      <c r="J1356">
        <v>1056</v>
      </c>
      <c r="K1356">
        <v>7244.0755570000001</v>
      </c>
      <c r="L1356">
        <v>0.751</v>
      </c>
      <c r="M1356">
        <v>1.6042780999999999E-2</v>
      </c>
      <c r="N1356">
        <v>0</v>
      </c>
      <c r="O1356" t="s">
        <v>620</v>
      </c>
      <c r="P1356">
        <f t="shared" ref="P1356:P1419" si="191">IF(OR(IFERROR(AF1356=0,TRUE),ISERROR(AF1356)),AVERAGEIFS(AF:AF,$B:$B,$B1356,AF:AF,"&gt;0"),AF1356)</f>
        <v>15.90133333</v>
      </c>
      <c r="Q1356">
        <f t="shared" ref="Q1356:Q1419" si="192">IF(OR(IFERROR(AG1356=0,TRUE),ISERROR(AG1356)),AVERAGEIFS(AG:AG,$B:$B,$B1356,AG:AG,"&gt;0"),AG1356)</f>
        <v>8.0000000000000002E-3</v>
      </c>
      <c r="R1356">
        <f t="shared" ref="R1356:R1419" si="193">IF(OR(IFERROR(AH1356=0,TRUE),ISERROR(AH1356)),AVERAGEIFS(AH:AH,$B:$B,$B1356,AH:AH,"&gt;0"),AH1356)</f>
        <v>2.4E-2</v>
      </c>
      <c r="S1356">
        <f t="shared" ref="S1356:S1419" si="194">IF(OR(IFERROR(AI1356=0,TRUE),ISERROR(AI1356)),AVERAGEIFS(AI:AI,$B:$B,$B1356,AI:AI,"&gt;0"),AI1356)</f>
        <v>0.751</v>
      </c>
      <c r="T1356">
        <f t="shared" ref="T1356:T1419" si="195">IF(OR(IFERROR(AJ1356=0,TRUE),ISERROR(AJ1356)),AVERAGEIFS(AJ:AJ,$B:$B,$B1356,AJ:AJ,"&gt;0"),AJ1356)</f>
        <v>1.7649999999999999</v>
      </c>
      <c r="U1356">
        <f t="shared" ref="U1356:U1419" si="196">IF(OR(IFERROR(AK1356=0,TRUE),ISERROR(AK1356)),AVERAGEIFS(AK:AK,$B:$B,$B1356,AK:AK,"&gt;0"),AK1356)</f>
        <v>7.1205785119999998</v>
      </c>
      <c r="V1356">
        <f t="shared" ref="V1356:V1419" si="197">IF(OR(IFERROR(AL1356=0,TRUE),ISERROR(AL1356)),AVERAGEIFS(AL:AL,$B:$B,$B1356,AL:AL,"&gt;0"),AL1356)</f>
        <v>4.6644067796610157E-2</v>
      </c>
      <c r="W1356">
        <f t="shared" ref="W1356:W1419" si="198">IF(OR(IFERROR(AM1356=0,TRUE),ISERROR(AM1356)),AVERAGEIFS(AM:AM,$B:$B,$B1356,AM:AM,"&gt;0"),AM1356)</f>
        <v>6.0999999999999999E-2</v>
      </c>
      <c r="X1356">
        <f t="shared" ref="X1356:X1419" si="199">IF(OR(IFERROR(AN1356=0,TRUE),ISERROR(AN1356)),AVERAGEIFS(AN:AN,$B:$B,$B1356,AN:AN,"&gt;0"),AN1356)</f>
        <v>0.90900000000000003</v>
      </c>
      <c r="Y1356">
        <v>65.967812570000007</v>
      </c>
      <c r="Z1356">
        <v>0</v>
      </c>
      <c r="AA1356">
        <v>56865</v>
      </c>
      <c r="AB1356">
        <v>22398</v>
      </c>
      <c r="AC1356">
        <v>1.1143686E-2</v>
      </c>
      <c r="AD1356">
        <v>0.81944707100000003</v>
      </c>
      <c r="AF1356">
        <v>15.90133333</v>
      </c>
      <c r="AG1356">
        <v>8.0000000000000002E-3</v>
      </c>
      <c r="AH1356">
        <v>2.4E-2</v>
      </c>
      <c r="AI1356">
        <v>0.751</v>
      </c>
      <c r="AJ1356">
        <v>1.7649999999999999</v>
      </c>
      <c r="AK1356">
        <v>7.1205785119999998</v>
      </c>
      <c r="AL1356">
        <v>0</v>
      </c>
      <c r="AM1356">
        <v>6.0999999999999999E-2</v>
      </c>
      <c r="AN1356">
        <v>0.90900000000000003</v>
      </c>
    </row>
    <row r="1357" spans="1:40">
      <c r="A1357">
        <v>3425</v>
      </c>
      <c r="B1357" t="s">
        <v>709</v>
      </c>
      <c r="C1357" t="s">
        <v>693</v>
      </c>
      <c r="D1357" t="s">
        <v>694</v>
      </c>
      <c r="E1357">
        <v>32</v>
      </c>
      <c r="F1357">
        <v>32</v>
      </c>
      <c r="G1357">
        <v>36.020213750000003</v>
      </c>
      <c r="H1357">
        <v>696</v>
      </c>
      <c r="I1357">
        <v>5.6304236000000001E-2</v>
      </c>
      <c r="J1357">
        <v>728</v>
      </c>
      <c r="K1357">
        <v>12929.75541</v>
      </c>
      <c r="L1357">
        <v>0.86199999999999999</v>
      </c>
      <c r="M1357">
        <v>0.95604395600000003</v>
      </c>
      <c r="N1357">
        <v>1</v>
      </c>
      <c r="O1357" t="s">
        <v>620</v>
      </c>
      <c r="P1357">
        <f t="shared" si="191"/>
        <v>19.124743590000001</v>
      </c>
      <c r="Q1357">
        <f t="shared" si="192"/>
        <v>5.0000000000000001E-3</v>
      </c>
      <c r="R1357">
        <f t="shared" si="193"/>
        <v>1.4999999999999999E-2</v>
      </c>
      <c r="S1357">
        <f t="shared" si="194"/>
        <v>0.86199999999999999</v>
      </c>
      <c r="T1357">
        <f t="shared" si="195"/>
        <v>1.655</v>
      </c>
      <c r="U1357">
        <f t="shared" si="196"/>
        <v>10.917185630000001</v>
      </c>
      <c r="V1357">
        <f t="shared" si="197"/>
        <v>6.7000000000000004E-2</v>
      </c>
      <c r="W1357">
        <f t="shared" si="198"/>
        <v>2.1999999999999999E-2</v>
      </c>
      <c r="X1357">
        <f t="shared" si="199"/>
        <v>0.86699999999999999</v>
      </c>
      <c r="Y1357">
        <v>20.323209479999999</v>
      </c>
      <c r="Z1357">
        <v>0</v>
      </c>
      <c r="AA1357">
        <v>56865</v>
      </c>
      <c r="AB1357">
        <v>22398</v>
      </c>
      <c r="AC1357">
        <v>1.1143686E-2</v>
      </c>
      <c r="AD1357">
        <v>0.81944707100000003</v>
      </c>
      <c r="AF1357">
        <v>19.124743590000001</v>
      </c>
      <c r="AG1357">
        <v>5.0000000000000001E-3</v>
      </c>
      <c r="AH1357">
        <v>1.4999999999999999E-2</v>
      </c>
      <c r="AI1357">
        <v>0.86199999999999999</v>
      </c>
      <c r="AJ1357">
        <v>1.655</v>
      </c>
      <c r="AK1357">
        <v>10.917185630000001</v>
      </c>
      <c r="AL1357">
        <v>6.7000000000000004E-2</v>
      </c>
      <c r="AM1357">
        <v>2.1999999999999999E-2</v>
      </c>
      <c r="AN1357">
        <v>0.86699999999999999</v>
      </c>
    </row>
    <row r="1358" spans="1:40">
      <c r="A1358">
        <v>3426</v>
      </c>
      <c r="B1358" t="s">
        <v>698</v>
      </c>
      <c r="C1358" t="s">
        <v>693</v>
      </c>
      <c r="D1358" t="s">
        <v>694</v>
      </c>
      <c r="E1358">
        <v>2</v>
      </c>
      <c r="F1358">
        <v>48</v>
      </c>
      <c r="G1358">
        <v>14.599954629999999</v>
      </c>
      <c r="H1358">
        <v>326</v>
      </c>
      <c r="I1358">
        <v>2.2825852000000001E-2</v>
      </c>
      <c r="J1358">
        <v>374</v>
      </c>
      <c r="K1358">
        <v>16384.930560000001</v>
      </c>
      <c r="L1358">
        <v>0.76800000000000002</v>
      </c>
      <c r="M1358">
        <v>0.99390243899999997</v>
      </c>
      <c r="N1358">
        <v>0</v>
      </c>
      <c r="O1358" t="s">
        <v>620</v>
      </c>
      <c r="P1358">
        <f t="shared" si="191"/>
        <v>13.868437500000001</v>
      </c>
      <c r="Q1358">
        <f t="shared" si="192"/>
        <v>6.0000000000000001E-3</v>
      </c>
      <c r="R1358">
        <f t="shared" si="193"/>
        <v>1.7000000000000001E-2</v>
      </c>
      <c r="S1358">
        <f t="shared" si="194"/>
        <v>0.76800000000000002</v>
      </c>
      <c r="T1358">
        <f t="shared" si="195"/>
        <v>2.045833333</v>
      </c>
      <c r="U1358">
        <f t="shared" si="196"/>
        <v>7.8509885930000003</v>
      </c>
      <c r="V1358">
        <f t="shared" si="197"/>
        <v>7.0000000000000007E-2</v>
      </c>
      <c r="W1358">
        <f t="shared" si="198"/>
        <v>4.7E-2</v>
      </c>
      <c r="X1358">
        <f t="shared" si="199"/>
        <v>0.74399999999999999</v>
      </c>
      <c r="Y1358">
        <v>97.357004810000007</v>
      </c>
      <c r="Z1358">
        <v>0</v>
      </c>
      <c r="AA1358">
        <v>88250</v>
      </c>
      <c r="AB1358">
        <v>31723</v>
      </c>
      <c r="AC1358">
        <v>1.0795895999999999E-2</v>
      </c>
      <c r="AD1358">
        <v>0.817760245</v>
      </c>
      <c r="AF1358">
        <v>13.868437500000001</v>
      </c>
      <c r="AG1358">
        <v>6.0000000000000001E-3</v>
      </c>
      <c r="AH1358">
        <v>1.7000000000000001E-2</v>
      </c>
      <c r="AI1358">
        <v>0.76800000000000002</v>
      </c>
      <c r="AJ1358">
        <v>2.045833333</v>
      </c>
      <c r="AK1358">
        <v>7.8509885930000003</v>
      </c>
      <c r="AL1358">
        <v>7.0000000000000007E-2</v>
      </c>
      <c r="AM1358">
        <v>4.7E-2</v>
      </c>
      <c r="AN1358">
        <v>0.74399999999999999</v>
      </c>
    </row>
    <row r="1359" spans="1:40">
      <c r="A1359">
        <v>3427</v>
      </c>
      <c r="B1359" t="s">
        <v>698</v>
      </c>
      <c r="C1359" t="s">
        <v>693</v>
      </c>
      <c r="D1359" t="s">
        <v>694</v>
      </c>
      <c r="E1359">
        <v>356</v>
      </c>
      <c r="F1359">
        <v>877</v>
      </c>
      <c r="G1359">
        <v>51.010388200000001</v>
      </c>
      <c r="H1359">
        <v>104</v>
      </c>
      <c r="I1359">
        <v>7.9726147999999997E-2</v>
      </c>
      <c r="J1359">
        <v>981</v>
      </c>
      <c r="K1359">
        <v>12304.620559999999</v>
      </c>
      <c r="L1359">
        <v>0.73</v>
      </c>
      <c r="M1359">
        <v>0.22608695700000001</v>
      </c>
      <c r="N1359">
        <v>0</v>
      </c>
      <c r="O1359" t="s">
        <v>620</v>
      </c>
      <c r="P1359">
        <f t="shared" si="191"/>
        <v>17.412588240000002</v>
      </c>
      <c r="Q1359">
        <f t="shared" si="192"/>
        <v>3.0000000000000001E-3</v>
      </c>
      <c r="R1359">
        <f t="shared" si="193"/>
        <v>2.4E-2</v>
      </c>
      <c r="S1359">
        <f t="shared" si="194"/>
        <v>0.73</v>
      </c>
      <c r="T1359">
        <f t="shared" si="195"/>
        <v>1.5340909089999999</v>
      </c>
      <c r="U1359">
        <f t="shared" si="196"/>
        <v>6.6482527300000003</v>
      </c>
      <c r="V1359">
        <f t="shared" si="197"/>
        <v>8.2000000000000003E-2</v>
      </c>
      <c r="W1359">
        <f t="shared" si="198"/>
        <v>5.2166666666666632E-2</v>
      </c>
      <c r="X1359">
        <f t="shared" si="199"/>
        <v>0.876</v>
      </c>
      <c r="Y1359">
        <v>97.073016999999993</v>
      </c>
      <c r="Z1359">
        <v>0</v>
      </c>
      <c r="AA1359">
        <v>88250</v>
      </c>
      <c r="AB1359">
        <v>31723</v>
      </c>
      <c r="AC1359">
        <v>1.0795895999999999E-2</v>
      </c>
      <c r="AD1359">
        <v>0.817760245</v>
      </c>
      <c r="AF1359">
        <v>17.412588240000002</v>
      </c>
      <c r="AG1359">
        <v>3.0000000000000001E-3</v>
      </c>
      <c r="AH1359">
        <v>2.4E-2</v>
      </c>
      <c r="AI1359">
        <v>0.73</v>
      </c>
      <c r="AJ1359">
        <v>1.5340909089999999</v>
      </c>
      <c r="AK1359">
        <v>6.6482527300000003</v>
      </c>
      <c r="AL1359">
        <v>8.2000000000000003E-2</v>
      </c>
      <c r="AM1359">
        <v>0</v>
      </c>
      <c r="AN1359">
        <v>0.876</v>
      </c>
    </row>
    <row r="1360" spans="1:40">
      <c r="A1360">
        <v>3428</v>
      </c>
      <c r="B1360" t="s">
        <v>707</v>
      </c>
      <c r="C1360" t="s">
        <v>693</v>
      </c>
      <c r="D1360" t="s">
        <v>694</v>
      </c>
      <c r="E1360">
        <v>35</v>
      </c>
      <c r="F1360">
        <v>212</v>
      </c>
      <c r="G1360">
        <v>57.881597329999998</v>
      </c>
      <c r="H1360">
        <v>371</v>
      </c>
      <c r="I1360">
        <v>9.0474465000000004E-2</v>
      </c>
      <c r="J1360">
        <v>583</v>
      </c>
      <c r="K1360">
        <v>6443.8071010000003</v>
      </c>
      <c r="L1360">
        <v>0.82799999999999996</v>
      </c>
      <c r="M1360">
        <v>0.91379310300000005</v>
      </c>
      <c r="N1360">
        <v>0</v>
      </c>
      <c r="O1360" t="s">
        <v>620</v>
      </c>
      <c r="P1360">
        <f t="shared" si="191"/>
        <v>22.137454550000001</v>
      </c>
      <c r="Q1360">
        <f t="shared" si="192"/>
        <v>5.0000000000000001E-3</v>
      </c>
      <c r="R1360">
        <f t="shared" si="193"/>
        <v>3.2000000000000001E-2</v>
      </c>
      <c r="S1360">
        <f t="shared" si="194"/>
        <v>0.82799999999999996</v>
      </c>
      <c r="T1360">
        <f t="shared" si="195"/>
        <v>2.0505</v>
      </c>
      <c r="U1360">
        <f t="shared" si="196"/>
        <v>9.8461523440000001</v>
      </c>
      <c r="V1360">
        <f t="shared" si="197"/>
        <v>5.0999999999999997E-2</v>
      </c>
      <c r="W1360">
        <f t="shared" si="198"/>
        <v>8.5526315789473686E-2</v>
      </c>
      <c r="X1360">
        <f t="shared" si="199"/>
        <v>0.93200000000000005</v>
      </c>
      <c r="Y1360">
        <v>96.891266150000007</v>
      </c>
      <c r="Z1360">
        <v>0</v>
      </c>
      <c r="AA1360">
        <v>21149</v>
      </c>
      <c r="AB1360">
        <v>6968</v>
      </c>
      <c r="AC1360">
        <v>1.6645858999999999E-2</v>
      </c>
      <c r="AD1360">
        <v>0.89069218999999999</v>
      </c>
      <c r="AF1360">
        <v>22.137454550000001</v>
      </c>
      <c r="AG1360">
        <v>5.0000000000000001E-3</v>
      </c>
      <c r="AH1360">
        <v>3.2000000000000001E-2</v>
      </c>
      <c r="AI1360">
        <v>0.82799999999999996</v>
      </c>
      <c r="AJ1360">
        <v>2.0505</v>
      </c>
      <c r="AK1360">
        <v>9.8461523440000001</v>
      </c>
      <c r="AL1360">
        <v>5.0999999999999997E-2</v>
      </c>
      <c r="AM1360">
        <v>0</v>
      </c>
      <c r="AN1360">
        <v>0.93200000000000005</v>
      </c>
    </row>
    <row r="1361" spans="1:40">
      <c r="A1361">
        <v>3429</v>
      </c>
      <c r="B1361" t="s">
        <v>707</v>
      </c>
      <c r="C1361" t="s">
        <v>693</v>
      </c>
      <c r="D1361" t="s">
        <v>694</v>
      </c>
      <c r="E1361">
        <v>16</v>
      </c>
      <c r="F1361">
        <v>45</v>
      </c>
      <c r="G1361">
        <v>3276.8960740000002</v>
      </c>
      <c r="H1361">
        <v>60</v>
      </c>
      <c r="I1361" s="515">
        <v>5.1222035400320003</v>
      </c>
      <c r="J1361">
        <v>105</v>
      </c>
      <c r="K1361">
        <v>20.498990169999999</v>
      </c>
      <c r="L1361">
        <v>0.96899999999999997</v>
      </c>
      <c r="M1361">
        <v>0.78947368399999995</v>
      </c>
      <c r="N1361">
        <v>0</v>
      </c>
      <c r="O1361" t="s">
        <v>620</v>
      </c>
      <c r="P1361">
        <f t="shared" si="191"/>
        <v>20.835999999999999</v>
      </c>
      <c r="Q1361">
        <f t="shared" si="192"/>
        <v>3.1E-2</v>
      </c>
      <c r="R1361">
        <f t="shared" si="193"/>
        <v>7.2846153846153852E-2</v>
      </c>
      <c r="S1361">
        <f t="shared" si="194"/>
        <v>0.96899999999999997</v>
      </c>
      <c r="T1361">
        <f t="shared" si="195"/>
        <v>2.2191326312692303</v>
      </c>
      <c r="U1361">
        <f t="shared" si="196"/>
        <v>12.71586207</v>
      </c>
      <c r="V1361">
        <f t="shared" si="197"/>
        <v>0.11835714285714286</v>
      </c>
      <c r="W1361">
        <f t="shared" si="198"/>
        <v>0.16700000000000001</v>
      </c>
      <c r="X1361">
        <f t="shared" si="199"/>
        <v>0.83299999999999996</v>
      </c>
      <c r="Y1361">
        <v>8.1258095580000003</v>
      </c>
      <c r="Z1361">
        <v>0</v>
      </c>
      <c r="AA1361">
        <v>21149</v>
      </c>
      <c r="AB1361">
        <v>6968</v>
      </c>
      <c r="AC1361">
        <v>1.6645858999999999E-2</v>
      </c>
      <c r="AD1361">
        <v>0.89069218999999999</v>
      </c>
      <c r="AF1361">
        <v>20.835999999999999</v>
      </c>
      <c r="AG1361">
        <v>3.1E-2</v>
      </c>
      <c r="AH1361">
        <v>0</v>
      </c>
      <c r="AI1361">
        <v>0.96899999999999997</v>
      </c>
      <c r="AK1361">
        <v>12.71586207</v>
      </c>
      <c r="AL1361">
        <v>0</v>
      </c>
      <c r="AM1361">
        <v>0.16700000000000001</v>
      </c>
      <c r="AN1361">
        <v>0.83299999999999996</v>
      </c>
    </row>
    <row r="1362" spans="1:40">
      <c r="A1362">
        <v>3430</v>
      </c>
      <c r="B1362" t="s">
        <v>707</v>
      </c>
      <c r="C1362" t="s">
        <v>693</v>
      </c>
      <c r="D1362" t="s">
        <v>694</v>
      </c>
      <c r="E1362">
        <v>2</v>
      </c>
      <c r="F1362">
        <v>6</v>
      </c>
      <c r="G1362">
        <v>883.27824369999996</v>
      </c>
      <c r="H1362">
        <v>0</v>
      </c>
      <c r="I1362" s="515">
        <v>1.380673622</v>
      </c>
      <c r="J1362">
        <v>6</v>
      </c>
      <c r="K1362">
        <v>4.3457048110000001</v>
      </c>
      <c r="L1362" s="515">
        <v>1</v>
      </c>
      <c r="M1362">
        <v>0</v>
      </c>
      <c r="N1362">
        <v>0</v>
      </c>
      <c r="O1362" t="s">
        <v>625</v>
      </c>
      <c r="P1362">
        <f t="shared" si="191"/>
        <v>10.36</v>
      </c>
      <c r="Q1362">
        <f t="shared" si="192"/>
        <v>2.0450000000000006E-2</v>
      </c>
      <c r="R1362">
        <f t="shared" si="193"/>
        <v>7.2846153846153852E-2</v>
      </c>
      <c r="S1362">
        <f t="shared" si="194"/>
        <v>1</v>
      </c>
      <c r="T1362">
        <f t="shared" si="195"/>
        <v>2.2191326312692303</v>
      </c>
      <c r="U1362">
        <f t="shared" si="196"/>
        <v>10.36</v>
      </c>
      <c r="V1362">
        <f t="shared" si="197"/>
        <v>0.11835714285714286</v>
      </c>
      <c r="W1362">
        <f t="shared" si="198"/>
        <v>8.5526315789473686E-2</v>
      </c>
      <c r="X1362">
        <f t="shared" si="199"/>
        <v>1</v>
      </c>
      <c r="Y1362">
        <v>8.1456971060000001</v>
      </c>
      <c r="Z1362">
        <v>0</v>
      </c>
      <c r="AA1362">
        <v>21149</v>
      </c>
      <c r="AB1362">
        <v>6968</v>
      </c>
      <c r="AC1362">
        <v>1.6645858999999999E-2</v>
      </c>
      <c r="AD1362">
        <v>0.89069218999999999</v>
      </c>
      <c r="AF1362">
        <v>10.36</v>
      </c>
      <c r="AG1362">
        <v>0</v>
      </c>
      <c r="AH1362">
        <v>0</v>
      </c>
      <c r="AI1362">
        <v>1</v>
      </c>
      <c r="AK1362">
        <v>10.36</v>
      </c>
      <c r="AL1362">
        <v>0</v>
      </c>
      <c r="AM1362">
        <v>0</v>
      </c>
      <c r="AN1362">
        <v>1</v>
      </c>
    </row>
    <row r="1363" spans="1:40">
      <c r="A1363">
        <v>3431</v>
      </c>
      <c r="B1363" t="s">
        <v>709</v>
      </c>
      <c r="C1363" t="s">
        <v>693</v>
      </c>
      <c r="D1363" t="s">
        <v>694</v>
      </c>
      <c r="E1363">
        <v>0</v>
      </c>
      <c r="F1363">
        <v>23</v>
      </c>
      <c r="G1363">
        <v>62.853122970000001</v>
      </c>
      <c r="H1363">
        <v>0</v>
      </c>
      <c r="I1363">
        <v>9.8240474999999994E-2</v>
      </c>
      <c r="J1363">
        <v>23</v>
      </c>
      <c r="K1363">
        <v>234.1193892</v>
      </c>
      <c r="L1363"/>
      <c r="M1363">
        <v>0</v>
      </c>
      <c r="N1363">
        <v>0</v>
      </c>
      <c r="O1363" t="s">
        <v>625</v>
      </c>
      <c r="P1363">
        <f t="shared" si="191"/>
        <v>15.512410047246915</v>
      </c>
      <c r="Q1363">
        <f t="shared" si="192"/>
        <v>1.5184210526315797E-2</v>
      </c>
      <c r="R1363">
        <f t="shared" si="193"/>
        <v>2.3696202531645567E-2</v>
      </c>
      <c r="S1363">
        <f t="shared" si="194"/>
        <v>0.82278823529411782</v>
      </c>
      <c r="T1363">
        <f t="shared" si="195"/>
        <v>2.2169408982405066</v>
      </c>
      <c r="U1363">
        <f t="shared" si="196"/>
        <v>8.1975694672705899</v>
      </c>
      <c r="V1363">
        <f t="shared" si="197"/>
        <v>4.6644067796610157E-2</v>
      </c>
      <c r="W1363">
        <f t="shared" si="198"/>
        <v>5.1076923076923055E-2</v>
      </c>
      <c r="X1363">
        <f t="shared" si="199"/>
        <v>0.89225925925925942</v>
      </c>
      <c r="Y1363">
        <v>33.657979050000002</v>
      </c>
      <c r="Z1363">
        <v>0</v>
      </c>
      <c r="AA1363">
        <v>56865</v>
      </c>
      <c r="AB1363">
        <v>22398</v>
      </c>
      <c r="AC1363">
        <v>1.1143686E-2</v>
      </c>
      <c r="AD1363">
        <v>0.81944707100000003</v>
      </c>
    </row>
    <row r="1364" spans="1:40">
      <c r="A1364">
        <v>3432</v>
      </c>
      <c r="B1364" t="s">
        <v>698</v>
      </c>
      <c r="C1364" t="s">
        <v>693</v>
      </c>
      <c r="D1364" t="s">
        <v>694</v>
      </c>
      <c r="E1364">
        <v>0</v>
      </c>
      <c r="F1364">
        <v>29</v>
      </c>
      <c r="G1364">
        <v>127.8661154</v>
      </c>
      <c r="H1364">
        <v>956</v>
      </c>
      <c r="I1364">
        <v>0.199876953</v>
      </c>
      <c r="J1364">
        <v>985</v>
      </c>
      <c r="K1364">
        <v>4928.0318980000002</v>
      </c>
      <c r="L1364">
        <v>0.86599999999999999</v>
      </c>
      <c r="M1364" s="515">
        <v>1</v>
      </c>
      <c r="N1364">
        <v>0</v>
      </c>
      <c r="O1364" t="s">
        <v>620</v>
      </c>
      <c r="P1364">
        <f t="shared" si="191"/>
        <v>20.32075949</v>
      </c>
      <c r="Q1364">
        <f t="shared" si="192"/>
        <v>5.0000000000000001E-3</v>
      </c>
      <c r="R1364">
        <f t="shared" si="193"/>
        <v>2.7E-2</v>
      </c>
      <c r="S1364">
        <f t="shared" si="194"/>
        <v>0.86599999999999999</v>
      </c>
      <c r="T1364">
        <f t="shared" si="195"/>
        <v>2.5098148149999999</v>
      </c>
      <c r="U1364">
        <f t="shared" si="196"/>
        <v>7.4465540929999996</v>
      </c>
      <c r="V1364">
        <f t="shared" si="197"/>
        <v>4.7E-2</v>
      </c>
      <c r="W1364">
        <f t="shared" si="198"/>
        <v>5.2166666666666632E-2</v>
      </c>
      <c r="X1364">
        <f t="shared" si="199"/>
        <v>0.92900000000000005</v>
      </c>
      <c r="Y1364">
        <v>60.658830569999999</v>
      </c>
      <c r="Z1364">
        <v>0</v>
      </c>
      <c r="AA1364">
        <v>88250</v>
      </c>
      <c r="AB1364">
        <v>31723</v>
      </c>
      <c r="AC1364">
        <v>1.0795895999999999E-2</v>
      </c>
      <c r="AD1364">
        <v>0.817760245</v>
      </c>
      <c r="AF1364">
        <v>20.32075949</v>
      </c>
      <c r="AG1364">
        <v>5.0000000000000001E-3</v>
      </c>
      <c r="AH1364">
        <v>2.7E-2</v>
      </c>
      <c r="AI1364">
        <v>0.86599999999999999</v>
      </c>
      <c r="AJ1364">
        <v>2.5098148149999999</v>
      </c>
      <c r="AK1364">
        <v>7.4465540929999996</v>
      </c>
      <c r="AL1364">
        <v>4.7E-2</v>
      </c>
      <c r="AM1364">
        <v>0</v>
      </c>
      <c r="AN1364">
        <v>0.92900000000000005</v>
      </c>
    </row>
    <row r="1365" spans="1:40">
      <c r="A1365">
        <v>3433</v>
      </c>
      <c r="B1365" t="s">
        <v>707</v>
      </c>
      <c r="C1365" t="s">
        <v>693</v>
      </c>
      <c r="D1365" t="s">
        <v>694</v>
      </c>
      <c r="E1365">
        <v>1</v>
      </c>
      <c r="F1365">
        <v>2</v>
      </c>
      <c r="G1365">
        <v>99.615066400000003</v>
      </c>
      <c r="H1365">
        <v>1</v>
      </c>
      <c r="I1365">
        <v>0.15571001400000001</v>
      </c>
      <c r="J1365">
        <v>3</v>
      </c>
      <c r="K1365">
        <v>19.26658359</v>
      </c>
      <c r="L1365"/>
      <c r="M1365">
        <v>0.5</v>
      </c>
      <c r="N1365">
        <v>0</v>
      </c>
      <c r="O1365" t="s">
        <v>625</v>
      </c>
      <c r="P1365">
        <f t="shared" si="191"/>
        <v>18.273803565652177</v>
      </c>
      <c r="Q1365">
        <f t="shared" si="192"/>
        <v>2.0450000000000006E-2</v>
      </c>
      <c r="R1365">
        <f t="shared" si="193"/>
        <v>7.2846153846153852E-2</v>
      </c>
      <c r="S1365">
        <f t="shared" si="194"/>
        <v>0.9342307692307692</v>
      </c>
      <c r="T1365">
        <f t="shared" si="195"/>
        <v>2.2191326312692303</v>
      </c>
      <c r="U1365">
        <f t="shared" si="196"/>
        <v>11.877651061423077</v>
      </c>
      <c r="V1365">
        <f t="shared" si="197"/>
        <v>0.11835714285714286</v>
      </c>
      <c r="W1365">
        <f t="shared" si="198"/>
        <v>8.5526315789473686E-2</v>
      </c>
      <c r="X1365">
        <f t="shared" si="199"/>
        <v>0.94647826086956499</v>
      </c>
      <c r="Y1365">
        <v>54.7572081</v>
      </c>
      <c r="Z1365">
        <v>0</v>
      </c>
      <c r="AA1365">
        <v>21149</v>
      </c>
      <c r="AB1365">
        <v>6968</v>
      </c>
      <c r="AC1365">
        <v>1.6645858999999999E-2</v>
      </c>
      <c r="AD1365">
        <v>0.89069218999999999</v>
      </c>
    </row>
    <row r="1366" spans="1:40">
      <c r="A1366">
        <v>3434</v>
      </c>
      <c r="B1366" t="s">
        <v>709</v>
      </c>
      <c r="C1366" t="s">
        <v>693</v>
      </c>
      <c r="D1366" t="s">
        <v>694</v>
      </c>
      <c r="E1366">
        <v>0</v>
      </c>
      <c r="F1366">
        <v>0</v>
      </c>
      <c r="G1366">
        <v>29.9439575</v>
      </c>
      <c r="H1366">
        <v>0</v>
      </c>
      <c r="I1366">
        <v>4.6809699000000003E-2</v>
      </c>
      <c r="J1366">
        <v>0</v>
      </c>
      <c r="K1366">
        <v>0</v>
      </c>
      <c r="L1366"/>
      <c r="M1366">
        <v>0</v>
      </c>
      <c r="N1366">
        <v>0</v>
      </c>
      <c r="O1366" t="s">
        <v>625</v>
      </c>
      <c r="P1366">
        <f t="shared" si="191"/>
        <v>15.512410047246915</v>
      </c>
      <c r="Q1366">
        <f t="shared" si="192"/>
        <v>1.5184210526315797E-2</v>
      </c>
      <c r="R1366">
        <f t="shared" si="193"/>
        <v>2.3696202531645567E-2</v>
      </c>
      <c r="S1366">
        <f t="shared" si="194"/>
        <v>0.82278823529411782</v>
      </c>
      <c r="T1366">
        <f t="shared" si="195"/>
        <v>2.2169408982405066</v>
      </c>
      <c r="U1366">
        <f t="shared" si="196"/>
        <v>8.1975694672705899</v>
      </c>
      <c r="V1366">
        <f t="shared" si="197"/>
        <v>4.6644067796610157E-2</v>
      </c>
      <c r="W1366">
        <f t="shared" si="198"/>
        <v>5.1076923076923055E-2</v>
      </c>
      <c r="X1366">
        <f t="shared" si="199"/>
        <v>0.89225925925925942</v>
      </c>
      <c r="Y1366">
        <v>54.944832310000002</v>
      </c>
      <c r="Z1366">
        <v>0</v>
      </c>
      <c r="AA1366">
        <v>56865</v>
      </c>
      <c r="AB1366">
        <v>22398</v>
      </c>
      <c r="AC1366">
        <v>1.1143686E-2</v>
      </c>
      <c r="AD1366">
        <v>0.81944707100000003</v>
      </c>
    </row>
    <row r="1367" spans="1:40">
      <c r="A1367">
        <v>3435</v>
      </c>
      <c r="B1367" t="s">
        <v>698</v>
      </c>
      <c r="C1367" t="s">
        <v>693</v>
      </c>
      <c r="D1367" t="s">
        <v>694</v>
      </c>
      <c r="E1367">
        <v>129</v>
      </c>
      <c r="F1367">
        <v>412</v>
      </c>
      <c r="G1367">
        <v>28.05355278</v>
      </c>
      <c r="H1367">
        <v>2</v>
      </c>
      <c r="I1367">
        <v>4.3848748999999999E-2</v>
      </c>
      <c r="J1367">
        <v>414</v>
      </c>
      <c r="K1367">
        <v>9441.5464400000001</v>
      </c>
      <c r="L1367">
        <v>0.68300000000000005</v>
      </c>
      <c r="M1367">
        <v>1.5267176E-2</v>
      </c>
      <c r="N1367">
        <v>0</v>
      </c>
      <c r="O1367" t="s">
        <v>620</v>
      </c>
      <c r="P1367">
        <f t="shared" si="191"/>
        <v>20.458846149999999</v>
      </c>
      <c r="Q1367">
        <f t="shared" si="192"/>
        <v>6.0000000000000001E-3</v>
      </c>
      <c r="R1367">
        <f t="shared" si="193"/>
        <v>2.1999999999999999E-2</v>
      </c>
      <c r="S1367">
        <f t="shared" si="194"/>
        <v>0.68300000000000005</v>
      </c>
      <c r="T1367">
        <f t="shared" si="195"/>
        <v>1.62</v>
      </c>
      <c r="U1367">
        <f t="shared" si="196"/>
        <v>8.0667479669999995</v>
      </c>
      <c r="V1367">
        <f t="shared" si="197"/>
        <v>4.0705882352941189E-2</v>
      </c>
      <c r="W1367">
        <f t="shared" si="198"/>
        <v>5.2166666666666632E-2</v>
      </c>
      <c r="X1367">
        <f t="shared" si="199"/>
        <v>0.92900000000000005</v>
      </c>
      <c r="Y1367">
        <v>186.23423120000001</v>
      </c>
      <c r="Z1367">
        <v>0</v>
      </c>
      <c r="AA1367">
        <v>88250</v>
      </c>
      <c r="AB1367">
        <v>31723</v>
      </c>
      <c r="AC1367">
        <v>1.0795895999999999E-2</v>
      </c>
      <c r="AD1367">
        <v>0.817760245</v>
      </c>
      <c r="AF1367">
        <v>20.458846149999999</v>
      </c>
      <c r="AG1367">
        <v>6.0000000000000001E-3</v>
      </c>
      <c r="AH1367">
        <v>2.1999999999999999E-2</v>
      </c>
      <c r="AI1367">
        <v>0.68300000000000005</v>
      </c>
      <c r="AJ1367">
        <v>1.62</v>
      </c>
      <c r="AK1367">
        <v>8.0667479669999995</v>
      </c>
      <c r="AL1367">
        <v>0</v>
      </c>
      <c r="AM1367">
        <v>0</v>
      </c>
      <c r="AN1367">
        <v>0.92900000000000005</v>
      </c>
    </row>
    <row r="1368" spans="1:40">
      <c r="A1368">
        <v>3436</v>
      </c>
      <c r="B1368" t="s">
        <v>698</v>
      </c>
      <c r="C1368" t="s">
        <v>693</v>
      </c>
      <c r="D1368" t="s">
        <v>694</v>
      </c>
      <c r="E1368">
        <v>176</v>
      </c>
      <c r="F1368">
        <v>541</v>
      </c>
      <c r="G1368">
        <v>44.9575332</v>
      </c>
      <c r="H1368">
        <v>12</v>
      </c>
      <c r="I1368">
        <v>7.0273084E-2</v>
      </c>
      <c r="J1368">
        <v>553</v>
      </c>
      <c r="K1368">
        <v>7869.3002859999997</v>
      </c>
      <c r="L1368">
        <v>0.74099999999999999</v>
      </c>
      <c r="M1368">
        <v>6.3829786999999999E-2</v>
      </c>
      <c r="N1368">
        <v>0</v>
      </c>
      <c r="O1368" t="s">
        <v>620</v>
      </c>
      <c r="P1368">
        <f t="shared" si="191"/>
        <v>18.850789469999999</v>
      </c>
      <c r="Q1368">
        <f t="shared" si="192"/>
        <v>1.4E-2</v>
      </c>
      <c r="R1368">
        <f t="shared" si="193"/>
        <v>2.9000000000000001E-2</v>
      </c>
      <c r="S1368">
        <f t="shared" si="194"/>
        <v>0.74099999999999999</v>
      </c>
      <c r="T1368">
        <f t="shared" si="195"/>
        <v>1.601</v>
      </c>
      <c r="U1368">
        <f t="shared" si="196"/>
        <v>7.6421093750000004</v>
      </c>
      <c r="V1368">
        <f t="shared" si="197"/>
        <v>4.0705882352941189E-2</v>
      </c>
      <c r="W1368">
        <f t="shared" si="198"/>
        <v>5.2166666666666632E-2</v>
      </c>
      <c r="X1368">
        <f t="shared" si="199"/>
        <v>1</v>
      </c>
      <c r="Y1368">
        <v>161.14093</v>
      </c>
      <c r="Z1368">
        <v>0</v>
      </c>
      <c r="AA1368">
        <v>88250</v>
      </c>
      <c r="AB1368">
        <v>31723</v>
      </c>
      <c r="AC1368">
        <v>1.0795895999999999E-2</v>
      </c>
      <c r="AD1368">
        <v>0.817760245</v>
      </c>
      <c r="AF1368">
        <v>18.850789469999999</v>
      </c>
      <c r="AG1368">
        <v>1.4E-2</v>
      </c>
      <c r="AH1368">
        <v>2.9000000000000001E-2</v>
      </c>
      <c r="AI1368">
        <v>0.74099999999999999</v>
      </c>
      <c r="AJ1368">
        <v>1.601</v>
      </c>
      <c r="AK1368">
        <v>7.6421093750000004</v>
      </c>
      <c r="AL1368">
        <v>0</v>
      </c>
      <c r="AM1368">
        <v>0</v>
      </c>
      <c r="AN1368">
        <v>1</v>
      </c>
    </row>
    <row r="1369" spans="1:40">
      <c r="A1369">
        <v>3437</v>
      </c>
      <c r="B1369" t="s">
        <v>698</v>
      </c>
      <c r="C1369" t="s">
        <v>693</v>
      </c>
      <c r="D1369" t="s">
        <v>694</v>
      </c>
      <c r="E1369">
        <v>0</v>
      </c>
      <c r="F1369">
        <v>97</v>
      </c>
      <c r="G1369">
        <v>160.84641640000001</v>
      </c>
      <c r="H1369">
        <v>1139</v>
      </c>
      <c r="I1369">
        <v>0.251413057</v>
      </c>
      <c r="J1369">
        <v>1236</v>
      </c>
      <c r="K1369">
        <v>4916.2124460000005</v>
      </c>
      <c r="L1369">
        <v>0.88600000000000001</v>
      </c>
      <c r="M1369" s="515">
        <v>1</v>
      </c>
      <c r="N1369">
        <v>0</v>
      </c>
      <c r="O1369" t="s">
        <v>620</v>
      </c>
      <c r="P1369">
        <f t="shared" si="191"/>
        <v>17.214868419999998</v>
      </c>
      <c r="Q1369">
        <f t="shared" si="192"/>
        <v>7.0000000000000001E-3</v>
      </c>
      <c r="R1369">
        <f t="shared" si="193"/>
        <v>8.0000000000000002E-3</v>
      </c>
      <c r="S1369">
        <f t="shared" si="194"/>
        <v>0.88600000000000001</v>
      </c>
      <c r="T1369">
        <f t="shared" si="195"/>
        <v>1.7737499999999999</v>
      </c>
      <c r="U1369">
        <f t="shared" si="196"/>
        <v>9.0360436889999995</v>
      </c>
      <c r="V1369">
        <f t="shared" si="197"/>
        <v>1.7999999999999999E-2</v>
      </c>
      <c r="W1369">
        <f t="shared" si="198"/>
        <v>3.6999999999999998E-2</v>
      </c>
      <c r="X1369">
        <f t="shared" si="199"/>
        <v>0.93300000000000005</v>
      </c>
      <c r="Y1369">
        <v>83.956141000000002</v>
      </c>
      <c r="Z1369">
        <v>0</v>
      </c>
      <c r="AA1369">
        <v>88250</v>
      </c>
      <c r="AB1369">
        <v>31723</v>
      </c>
      <c r="AC1369">
        <v>1.0795895999999999E-2</v>
      </c>
      <c r="AD1369">
        <v>0.817760245</v>
      </c>
      <c r="AF1369">
        <v>17.214868419999998</v>
      </c>
      <c r="AG1369">
        <v>7.0000000000000001E-3</v>
      </c>
      <c r="AH1369">
        <v>8.0000000000000002E-3</v>
      </c>
      <c r="AI1369">
        <v>0.88600000000000001</v>
      </c>
      <c r="AJ1369">
        <v>1.7737499999999999</v>
      </c>
      <c r="AK1369">
        <v>9.0360436889999995</v>
      </c>
      <c r="AL1369">
        <v>1.7999999999999999E-2</v>
      </c>
      <c r="AM1369">
        <v>3.6999999999999998E-2</v>
      </c>
      <c r="AN1369">
        <v>0.93300000000000005</v>
      </c>
    </row>
    <row r="1370" spans="1:40">
      <c r="A1370">
        <v>3438</v>
      </c>
      <c r="B1370" t="s">
        <v>698</v>
      </c>
      <c r="C1370" t="s">
        <v>693</v>
      </c>
      <c r="D1370" t="s">
        <v>694</v>
      </c>
      <c r="E1370">
        <v>0</v>
      </c>
      <c r="F1370">
        <v>11</v>
      </c>
      <c r="G1370">
        <v>78.390656160000006</v>
      </c>
      <c r="H1370">
        <v>12</v>
      </c>
      <c r="I1370">
        <v>0.122526571</v>
      </c>
      <c r="J1370">
        <v>23</v>
      </c>
      <c r="K1370">
        <v>187.71438560000001</v>
      </c>
      <c r="L1370" s="515">
        <v>1</v>
      </c>
      <c r="M1370" s="515">
        <v>1</v>
      </c>
      <c r="N1370">
        <v>0</v>
      </c>
      <c r="O1370" t="s">
        <v>625</v>
      </c>
      <c r="P1370">
        <f t="shared" si="191"/>
        <v>37.340000000000003</v>
      </c>
      <c r="Q1370">
        <f t="shared" si="192"/>
        <v>1.452380952380952E-2</v>
      </c>
      <c r="R1370">
        <f t="shared" si="193"/>
        <v>2.0178861788617868E-2</v>
      </c>
      <c r="S1370">
        <f t="shared" si="194"/>
        <v>1</v>
      </c>
      <c r="T1370">
        <f t="shared" si="195"/>
        <v>2.0047367888780485</v>
      </c>
      <c r="U1370">
        <f t="shared" si="196"/>
        <v>10.76785714</v>
      </c>
      <c r="V1370">
        <f t="shared" si="197"/>
        <v>4.0705882352941189E-2</v>
      </c>
      <c r="W1370">
        <f t="shared" si="198"/>
        <v>5.2166666666666632E-2</v>
      </c>
      <c r="X1370">
        <f t="shared" si="199"/>
        <v>1</v>
      </c>
      <c r="Y1370">
        <v>83.715822079999995</v>
      </c>
      <c r="Z1370">
        <v>0</v>
      </c>
      <c r="AA1370">
        <v>88250</v>
      </c>
      <c r="AB1370">
        <v>31723</v>
      </c>
      <c r="AC1370">
        <v>1.0795895999999999E-2</v>
      </c>
      <c r="AD1370">
        <v>0.817760245</v>
      </c>
      <c r="AF1370">
        <v>37.340000000000003</v>
      </c>
      <c r="AG1370">
        <v>0</v>
      </c>
      <c r="AH1370">
        <v>0</v>
      </c>
      <c r="AI1370">
        <v>1</v>
      </c>
      <c r="AK1370">
        <v>10.76785714</v>
      </c>
      <c r="AL1370">
        <v>0</v>
      </c>
      <c r="AM1370">
        <v>0</v>
      </c>
      <c r="AN1370">
        <v>1</v>
      </c>
    </row>
    <row r="1371" spans="1:40">
      <c r="A1371">
        <v>3439</v>
      </c>
      <c r="B1371" t="s">
        <v>709</v>
      </c>
      <c r="C1371" t="s">
        <v>693</v>
      </c>
      <c r="D1371" t="s">
        <v>694</v>
      </c>
      <c r="E1371">
        <v>0</v>
      </c>
      <c r="F1371">
        <v>0</v>
      </c>
      <c r="G1371">
        <v>20.67584982</v>
      </c>
      <c r="H1371">
        <v>0</v>
      </c>
      <c r="I1371">
        <v>3.2322829999999997E-2</v>
      </c>
      <c r="J1371">
        <v>0</v>
      </c>
      <c r="K1371">
        <v>0</v>
      </c>
      <c r="L1371"/>
      <c r="M1371">
        <v>0</v>
      </c>
      <c r="N1371">
        <v>0</v>
      </c>
      <c r="O1371" t="s">
        <v>625</v>
      </c>
      <c r="P1371">
        <f t="shared" si="191"/>
        <v>15.512410047246915</v>
      </c>
      <c r="Q1371">
        <f t="shared" si="192"/>
        <v>1.5184210526315797E-2</v>
      </c>
      <c r="R1371">
        <f t="shared" si="193"/>
        <v>2.3696202531645567E-2</v>
      </c>
      <c r="S1371">
        <f t="shared" si="194"/>
        <v>0.82278823529411782</v>
      </c>
      <c r="T1371">
        <f t="shared" si="195"/>
        <v>2.2169408982405066</v>
      </c>
      <c r="U1371">
        <f t="shared" si="196"/>
        <v>8.1975694672705899</v>
      </c>
      <c r="V1371">
        <f t="shared" si="197"/>
        <v>4.6644067796610157E-2</v>
      </c>
      <c r="W1371">
        <f t="shared" si="198"/>
        <v>5.1076923076923055E-2</v>
      </c>
      <c r="X1371">
        <f t="shared" si="199"/>
        <v>0.89225925925925942</v>
      </c>
      <c r="Y1371">
        <v>33.657979050000002</v>
      </c>
      <c r="Z1371">
        <v>0</v>
      </c>
      <c r="AA1371">
        <v>56865</v>
      </c>
      <c r="AB1371">
        <v>22398</v>
      </c>
      <c r="AC1371">
        <v>1.1143686E-2</v>
      </c>
      <c r="AD1371">
        <v>0.81944707100000003</v>
      </c>
    </row>
    <row r="1372" spans="1:40">
      <c r="A1372">
        <v>3440</v>
      </c>
      <c r="B1372" t="s">
        <v>709</v>
      </c>
      <c r="C1372" t="s">
        <v>693</v>
      </c>
      <c r="D1372" t="s">
        <v>694</v>
      </c>
      <c r="E1372">
        <v>65</v>
      </c>
      <c r="F1372">
        <v>65</v>
      </c>
      <c r="G1372">
        <v>36.655116769999999</v>
      </c>
      <c r="H1372">
        <v>0</v>
      </c>
      <c r="I1372">
        <v>5.7295262999999999E-2</v>
      </c>
      <c r="J1372">
        <v>65</v>
      </c>
      <c r="K1372">
        <v>1134.4742409999999</v>
      </c>
      <c r="L1372">
        <v>0.90600000000000003</v>
      </c>
      <c r="M1372">
        <v>0</v>
      </c>
      <c r="N1372">
        <v>0</v>
      </c>
      <c r="O1372" t="s">
        <v>625</v>
      </c>
      <c r="P1372">
        <f t="shared" si="191"/>
        <v>15.512410047246915</v>
      </c>
      <c r="Q1372">
        <f t="shared" si="192"/>
        <v>1.5184210526315797E-2</v>
      </c>
      <c r="R1372">
        <f t="shared" si="193"/>
        <v>2.3696202531645567E-2</v>
      </c>
      <c r="S1372">
        <f t="shared" si="194"/>
        <v>0.90600000000000003</v>
      </c>
      <c r="T1372">
        <f t="shared" si="195"/>
        <v>2.2169408982405066</v>
      </c>
      <c r="U1372">
        <f t="shared" si="196"/>
        <v>5.762586207</v>
      </c>
      <c r="V1372">
        <f t="shared" si="197"/>
        <v>4.6644067796610157E-2</v>
      </c>
      <c r="W1372">
        <f t="shared" si="198"/>
        <v>5.1076923076923055E-2</v>
      </c>
      <c r="X1372">
        <f t="shared" si="199"/>
        <v>0.89225925925925942</v>
      </c>
      <c r="Y1372">
        <v>34.177904609999999</v>
      </c>
      <c r="Z1372">
        <v>0</v>
      </c>
      <c r="AA1372">
        <v>56865</v>
      </c>
      <c r="AB1372">
        <v>22398</v>
      </c>
      <c r="AC1372">
        <v>1.1143686E-2</v>
      </c>
      <c r="AD1372">
        <v>0.81944707100000003</v>
      </c>
      <c r="AG1372">
        <v>0</v>
      </c>
      <c r="AH1372">
        <v>0</v>
      </c>
      <c r="AI1372">
        <v>0.90600000000000003</v>
      </c>
      <c r="AK1372">
        <v>5.762586207</v>
      </c>
    </row>
    <row r="1373" spans="1:40">
      <c r="A1373">
        <v>3441</v>
      </c>
      <c r="B1373" t="s">
        <v>709</v>
      </c>
      <c r="C1373" t="s">
        <v>693</v>
      </c>
      <c r="D1373" t="s">
        <v>694</v>
      </c>
      <c r="E1373">
        <v>0</v>
      </c>
      <c r="F1373">
        <v>4</v>
      </c>
      <c r="G1373">
        <v>37.159073759999998</v>
      </c>
      <c r="H1373">
        <v>0</v>
      </c>
      <c r="I1373">
        <v>5.8089565000000003E-2</v>
      </c>
      <c r="J1373">
        <v>4</v>
      </c>
      <c r="K1373">
        <v>68.859183229999999</v>
      </c>
      <c r="L1373"/>
      <c r="M1373">
        <v>0</v>
      </c>
      <c r="N1373">
        <v>1</v>
      </c>
      <c r="O1373" t="s">
        <v>620</v>
      </c>
      <c r="P1373">
        <f t="shared" si="191"/>
        <v>15.512410047246915</v>
      </c>
      <c r="Q1373">
        <f t="shared" si="192"/>
        <v>1.5184210526315797E-2</v>
      </c>
      <c r="R1373">
        <f t="shared" si="193"/>
        <v>2.3696202531645567E-2</v>
      </c>
      <c r="S1373">
        <f t="shared" si="194"/>
        <v>0.82278823529411782</v>
      </c>
      <c r="T1373">
        <f t="shared" si="195"/>
        <v>2.2169408982405066</v>
      </c>
      <c r="U1373">
        <f t="shared" si="196"/>
        <v>8.1975694672705899</v>
      </c>
      <c r="V1373">
        <f t="shared" si="197"/>
        <v>4.6644067796610157E-2</v>
      </c>
      <c r="W1373">
        <f t="shared" si="198"/>
        <v>5.1076923076923055E-2</v>
      </c>
      <c r="X1373">
        <f t="shared" si="199"/>
        <v>0.89225925925925942</v>
      </c>
      <c r="Y1373">
        <v>121.6627635</v>
      </c>
      <c r="Z1373">
        <v>0</v>
      </c>
      <c r="AA1373">
        <v>56865</v>
      </c>
      <c r="AB1373">
        <v>22398</v>
      </c>
      <c r="AC1373">
        <v>1.1143686E-2</v>
      </c>
      <c r="AD1373">
        <v>0.81944707100000003</v>
      </c>
    </row>
    <row r="1374" spans="1:40">
      <c r="A1374">
        <v>3442</v>
      </c>
      <c r="B1374" t="s">
        <v>692</v>
      </c>
      <c r="C1374" t="s">
        <v>693</v>
      </c>
      <c r="D1374" t="s">
        <v>694</v>
      </c>
      <c r="E1374">
        <v>405</v>
      </c>
      <c r="F1374">
        <v>1155</v>
      </c>
      <c r="G1374">
        <v>18.88384499</v>
      </c>
      <c r="H1374">
        <v>157</v>
      </c>
      <c r="I1374">
        <v>2.9519531000000002E-2</v>
      </c>
      <c r="J1374">
        <v>1312</v>
      </c>
      <c r="K1374">
        <v>44445.150569999998</v>
      </c>
      <c r="L1374">
        <v>0.79100000000000004</v>
      </c>
      <c r="M1374">
        <v>0.27935943099999999</v>
      </c>
      <c r="N1374">
        <v>0</v>
      </c>
      <c r="O1374" t="s">
        <v>620</v>
      </c>
      <c r="P1374">
        <f t="shared" si="191"/>
        <v>13.266249999999999</v>
      </c>
      <c r="Q1374">
        <f t="shared" si="192"/>
        <v>8.9999999999999993E-3</v>
      </c>
      <c r="R1374">
        <f t="shared" si="193"/>
        <v>0.02</v>
      </c>
      <c r="S1374">
        <f t="shared" si="194"/>
        <v>0.79100000000000004</v>
      </c>
      <c r="T1374">
        <f t="shared" si="195"/>
        <v>2.474444444</v>
      </c>
      <c r="U1374">
        <f t="shared" si="196"/>
        <v>7.3293916909999997</v>
      </c>
      <c r="V1374">
        <f t="shared" si="197"/>
        <v>5.0999999999999997E-2</v>
      </c>
      <c r="W1374">
        <f t="shared" si="198"/>
        <v>1.7000000000000001E-2</v>
      </c>
      <c r="X1374">
        <f t="shared" si="199"/>
        <v>0.82099999999999995</v>
      </c>
      <c r="Y1374">
        <v>128.4992393</v>
      </c>
      <c r="Z1374">
        <v>0</v>
      </c>
      <c r="AA1374">
        <v>77808</v>
      </c>
      <c r="AB1374">
        <v>27489</v>
      </c>
      <c r="AC1374">
        <v>1.1225541E-2</v>
      </c>
      <c r="AD1374">
        <v>0.835708267</v>
      </c>
      <c r="AF1374">
        <v>13.266249999999999</v>
      </c>
      <c r="AG1374">
        <v>8.9999999999999993E-3</v>
      </c>
      <c r="AH1374">
        <v>0.02</v>
      </c>
      <c r="AI1374">
        <v>0.79100000000000004</v>
      </c>
      <c r="AJ1374">
        <v>2.474444444</v>
      </c>
      <c r="AK1374">
        <v>7.3293916909999997</v>
      </c>
      <c r="AL1374">
        <v>5.0999999999999997E-2</v>
      </c>
      <c r="AM1374">
        <v>1.7000000000000001E-2</v>
      </c>
      <c r="AN1374">
        <v>0.82099999999999995</v>
      </c>
    </row>
    <row r="1375" spans="1:40">
      <c r="A1375">
        <v>3443</v>
      </c>
      <c r="B1375" t="s">
        <v>692</v>
      </c>
      <c r="C1375" t="s">
        <v>693</v>
      </c>
      <c r="D1375" t="s">
        <v>694</v>
      </c>
      <c r="E1375">
        <v>211</v>
      </c>
      <c r="F1375">
        <v>211</v>
      </c>
      <c r="G1375">
        <v>80.71059984</v>
      </c>
      <c r="H1375">
        <v>1263</v>
      </c>
      <c r="I1375">
        <v>0.12616217099999999</v>
      </c>
      <c r="J1375">
        <v>1474</v>
      </c>
      <c r="K1375">
        <v>11683.37536</v>
      </c>
      <c r="L1375">
        <v>0.877</v>
      </c>
      <c r="M1375">
        <v>0.85685210300000003</v>
      </c>
      <c r="N1375">
        <v>0</v>
      </c>
      <c r="O1375" t="s">
        <v>620</v>
      </c>
      <c r="P1375">
        <f t="shared" si="191"/>
        <v>17.419548389999999</v>
      </c>
      <c r="Q1375">
        <f t="shared" si="192"/>
        <v>8.9999999999999993E-3</v>
      </c>
      <c r="R1375">
        <f t="shared" si="193"/>
        <v>1.2E-2</v>
      </c>
      <c r="S1375">
        <f t="shared" si="194"/>
        <v>0.877</v>
      </c>
      <c r="T1375">
        <f t="shared" si="195"/>
        <v>3.2934999999999999</v>
      </c>
      <c r="U1375">
        <f t="shared" si="196"/>
        <v>7.8279601989999996</v>
      </c>
      <c r="V1375">
        <f t="shared" si="197"/>
        <v>3.5999999999999997E-2</v>
      </c>
      <c r="W1375">
        <f t="shared" si="198"/>
        <v>1.7999999999999999E-2</v>
      </c>
      <c r="X1375">
        <f t="shared" si="199"/>
        <v>0.93400000000000005</v>
      </c>
      <c r="Y1375">
        <v>151.22420919999999</v>
      </c>
      <c r="Z1375">
        <v>0</v>
      </c>
      <c r="AA1375">
        <v>77808</v>
      </c>
      <c r="AB1375">
        <v>27489</v>
      </c>
      <c r="AC1375">
        <v>1.1225541E-2</v>
      </c>
      <c r="AD1375">
        <v>0.835708267</v>
      </c>
      <c r="AF1375">
        <v>17.419548389999999</v>
      </c>
      <c r="AG1375">
        <v>8.9999999999999993E-3</v>
      </c>
      <c r="AH1375">
        <v>1.2E-2</v>
      </c>
      <c r="AI1375">
        <v>0.877</v>
      </c>
      <c r="AJ1375">
        <v>3.2934999999999999</v>
      </c>
      <c r="AK1375">
        <v>7.8279601989999996</v>
      </c>
      <c r="AL1375">
        <v>3.5999999999999997E-2</v>
      </c>
      <c r="AM1375">
        <v>1.7999999999999999E-2</v>
      </c>
      <c r="AN1375">
        <v>0.93400000000000005</v>
      </c>
    </row>
    <row r="1376" spans="1:40">
      <c r="A1376">
        <v>3444</v>
      </c>
      <c r="B1376" t="s">
        <v>709</v>
      </c>
      <c r="C1376" t="s">
        <v>693</v>
      </c>
      <c r="D1376" t="s">
        <v>694</v>
      </c>
      <c r="E1376">
        <v>707</v>
      </c>
      <c r="F1376">
        <v>707</v>
      </c>
      <c r="G1376">
        <v>77.097108509999998</v>
      </c>
      <c r="H1376">
        <v>0</v>
      </c>
      <c r="I1376">
        <v>0.12050430299999999</v>
      </c>
      <c r="J1376">
        <v>707</v>
      </c>
      <c r="K1376">
        <v>5867.0104090000004</v>
      </c>
      <c r="L1376">
        <v>0.78900000000000003</v>
      </c>
      <c r="M1376">
        <v>0</v>
      </c>
      <c r="N1376">
        <v>0</v>
      </c>
      <c r="O1376" t="s">
        <v>620</v>
      </c>
      <c r="P1376">
        <f t="shared" si="191"/>
        <v>15.454545449999999</v>
      </c>
      <c r="Q1376">
        <f t="shared" si="192"/>
        <v>0.02</v>
      </c>
      <c r="R1376">
        <f t="shared" si="193"/>
        <v>0.03</v>
      </c>
      <c r="S1376">
        <f t="shared" si="194"/>
        <v>0.78900000000000003</v>
      </c>
      <c r="T1376">
        <f t="shared" si="195"/>
        <v>1.568333333</v>
      </c>
      <c r="U1376">
        <f t="shared" si="196"/>
        <v>6.7533682009999998</v>
      </c>
      <c r="V1376">
        <f t="shared" si="197"/>
        <v>4.6644067796610157E-2</v>
      </c>
      <c r="W1376">
        <f t="shared" si="198"/>
        <v>0.115</v>
      </c>
      <c r="X1376">
        <f t="shared" si="199"/>
        <v>0.84599999999999997</v>
      </c>
      <c r="Y1376">
        <v>99.505116700000002</v>
      </c>
      <c r="Z1376">
        <v>0</v>
      </c>
      <c r="AA1376">
        <v>56865</v>
      </c>
      <c r="AB1376">
        <v>22398</v>
      </c>
      <c r="AC1376">
        <v>1.1143686E-2</v>
      </c>
      <c r="AD1376">
        <v>0.81944707100000003</v>
      </c>
      <c r="AF1376">
        <v>15.454545449999999</v>
      </c>
      <c r="AG1376">
        <v>0.02</v>
      </c>
      <c r="AH1376">
        <v>0.03</v>
      </c>
      <c r="AI1376">
        <v>0.78900000000000003</v>
      </c>
      <c r="AJ1376">
        <v>1.568333333</v>
      </c>
      <c r="AK1376">
        <v>6.7533682009999998</v>
      </c>
      <c r="AL1376">
        <v>0</v>
      </c>
      <c r="AM1376">
        <v>0.115</v>
      </c>
      <c r="AN1376">
        <v>0.84599999999999997</v>
      </c>
    </row>
    <row r="1377" spans="1:40">
      <c r="A1377">
        <v>3445</v>
      </c>
      <c r="B1377" t="s">
        <v>709</v>
      </c>
      <c r="C1377" t="s">
        <v>693</v>
      </c>
      <c r="D1377" t="s">
        <v>694</v>
      </c>
      <c r="E1377">
        <v>655</v>
      </c>
      <c r="F1377">
        <v>1942</v>
      </c>
      <c r="G1377">
        <v>146.0101478</v>
      </c>
      <c r="H1377">
        <v>7</v>
      </c>
      <c r="I1377">
        <v>0.228233718</v>
      </c>
      <c r="J1377">
        <v>1949</v>
      </c>
      <c r="K1377">
        <v>8539.4919609999997</v>
      </c>
      <c r="L1377">
        <v>0.75</v>
      </c>
      <c r="M1377">
        <v>1.0574017999999999E-2</v>
      </c>
      <c r="N1377">
        <v>0</v>
      </c>
      <c r="O1377" t="s">
        <v>620</v>
      </c>
      <c r="P1377">
        <f t="shared" si="191"/>
        <v>16.551118880000001</v>
      </c>
      <c r="Q1377">
        <f t="shared" si="192"/>
        <v>1.7999999999999999E-2</v>
      </c>
      <c r="R1377">
        <f t="shared" si="193"/>
        <v>3.4000000000000002E-2</v>
      </c>
      <c r="S1377">
        <f t="shared" si="194"/>
        <v>0.75</v>
      </c>
      <c r="T1377">
        <f t="shared" si="195"/>
        <v>1.9484210529999999</v>
      </c>
      <c r="U1377">
        <f t="shared" si="196"/>
        <v>7.2276155720000004</v>
      </c>
      <c r="V1377">
        <f t="shared" si="197"/>
        <v>1.9E-2</v>
      </c>
      <c r="W1377">
        <f t="shared" si="198"/>
        <v>5.0999999999999997E-2</v>
      </c>
      <c r="X1377">
        <f t="shared" si="199"/>
        <v>0.91700000000000004</v>
      </c>
      <c r="Y1377">
        <v>55.147911129999997</v>
      </c>
      <c r="Z1377">
        <v>0</v>
      </c>
      <c r="AA1377">
        <v>56865</v>
      </c>
      <c r="AB1377">
        <v>22398</v>
      </c>
      <c r="AC1377">
        <v>1.1143686E-2</v>
      </c>
      <c r="AD1377">
        <v>0.81944707100000003</v>
      </c>
      <c r="AF1377">
        <v>16.551118880000001</v>
      </c>
      <c r="AG1377">
        <v>1.7999999999999999E-2</v>
      </c>
      <c r="AH1377">
        <v>3.4000000000000002E-2</v>
      </c>
      <c r="AI1377">
        <v>0.75</v>
      </c>
      <c r="AJ1377">
        <v>1.9484210529999999</v>
      </c>
      <c r="AK1377">
        <v>7.2276155720000004</v>
      </c>
      <c r="AL1377">
        <v>1.9E-2</v>
      </c>
      <c r="AM1377">
        <v>5.0999999999999997E-2</v>
      </c>
      <c r="AN1377">
        <v>0.91700000000000004</v>
      </c>
    </row>
    <row r="1378" spans="1:40">
      <c r="A1378">
        <v>3446</v>
      </c>
      <c r="B1378" t="s">
        <v>709</v>
      </c>
      <c r="C1378" t="s">
        <v>693</v>
      </c>
      <c r="D1378" t="s">
        <v>694</v>
      </c>
      <c r="E1378">
        <v>807</v>
      </c>
      <c r="F1378">
        <v>807</v>
      </c>
      <c r="G1378">
        <v>140.8897618</v>
      </c>
      <c r="H1378">
        <v>0</v>
      </c>
      <c r="I1378">
        <v>0.22022118199999999</v>
      </c>
      <c r="J1378">
        <v>807</v>
      </c>
      <c r="K1378">
        <v>3664.4976320000001</v>
      </c>
      <c r="L1378">
        <v>0.84099999999999997</v>
      </c>
      <c r="M1378">
        <v>0</v>
      </c>
      <c r="N1378">
        <v>0</v>
      </c>
      <c r="O1378" t="s">
        <v>625</v>
      </c>
      <c r="P1378">
        <f t="shared" si="191"/>
        <v>16.415319149999998</v>
      </c>
      <c r="Q1378">
        <f t="shared" si="192"/>
        <v>2E-3</v>
      </c>
      <c r="R1378">
        <f t="shared" si="193"/>
        <v>3.9E-2</v>
      </c>
      <c r="S1378">
        <f t="shared" si="194"/>
        <v>0.84099999999999997</v>
      </c>
      <c r="T1378">
        <f t="shared" si="195"/>
        <v>2.3372222219999998</v>
      </c>
      <c r="U1378">
        <f t="shared" si="196"/>
        <v>7.0691064389999996</v>
      </c>
      <c r="V1378">
        <f t="shared" si="197"/>
        <v>4.6644067796610157E-2</v>
      </c>
      <c r="W1378">
        <f t="shared" si="198"/>
        <v>4.1000000000000002E-2</v>
      </c>
      <c r="X1378">
        <f t="shared" si="199"/>
        <v>0.95899999999999996</v>
      </c>
      <c r="Y1378">
        <v>22.709493259999999</v>
      </c>
      <c r="Z1378">
        <v>0</v>
      </c>
      <c r="AA1378">
        <v>56865</v>
      </c>
      <c r="AB1378">
        <v>22398</v>
      </c>
      <c r="AC1378">
        <v>1.1143686E-2</v>
      </c>
      <c r="AD1378">
        <v>0.81944707100000003</v>
      </c>
      <c r="AF1378">
        <v>16.415319149999998</v>
      </c>
      <c r="AG1378">
        <v>2E-3</v>
      </c>
      <c r="AH1378">
        <v>3.9E-2</v>
      </c>
      <c r="AI1378">
        <v>0.84099999999999997</v>
      </c>
      <c r="AJ1378">
        <v>2.3372222219999998</v>
      </c>
      <c r="AK1378">
        <v>7.0691064389999996</v>
      </c>
      <c r="AL1378">
        <v>0</v>
      </c>
      <c r="AM1378">
        <v>4.1000000000000002E-2</v>
      </c>
      <c r="AN1378">
        <v>0.95899999999999996</v>
      </c>
    </row>
    <row r="1379" spans="1:40">
      <c r="A1379">
        <v>3447</v>
      </c>
      <c r="B1379" t="s">
        <v>709</v>
      </c>
      <c r="C1379" t="s">
        <v>693</v>
      </c>
      <c r="D1379" t="s">
        <v>694</v>
      </c>
      <c r="E1379">
        <v>950</v>
      </c>
      <c r="F1379">
        <v>4239</v>
      </c>
      <c r="G1379">
        <v>446.62386679999997</v>
      </c>
      <c r="H1379">
        <v>283</v>
      </c>
      <c r="I1379">
        <v>0.69812389699999999</v>
      </c>
      <c r="J1379">
        <v>4522</v>
      </c>
      <c r="K1379">
        <v>6477.3602790000004</v>
      </c>
      <c r="L1379">
        <v>0.73599999999999999</v>
      </c>
      <c r="M1379">
        <v>0.22952149199999999</v>
      </c>
      <c r="N1379">
        <v>0</v>
      </c>
      <c r="O1379" t="s">
        <v>620</v>
      </c>
      <c r="P1379">
        <f t="shared" si="191"/>
        <v>18.189162899999999</v>
      </c>
      <c r="Q1379">
        <f t="shared" si="192"/>
        <v>8.0000000000000002E-3</v>
      </c>
      <c r="R1379">
        <f t="shared" si="193"/>
        <v>4.7E-2</v>
      </c>
      <c r="S1379">
        <f t="shared" si="194"/>
        <v>0.73599999999999999</v>
      </c>
      <c r="T1379">
        <f t="shared" si="195"/>
        <v>1.275673077</v>
      </c>
      <c r="U1379">
        <f t="shared" si="196"/>
        <v>9.3819484600000003</v>
      </c>
      <c r="V1379">
        <f t="shared" si="197"/>
        <v>2.8000000000000001E-2</v>
      </c>
      <c r="W1379">
        <f t="shared" si="198"/>
        <v>2.8000000000000001E-2</v>
      </c>
      <c r="X1379">
        <f t="shared" si="199"/>
        <v>0.94199999999999995</v>
      </c>
      <c r="Y1379">
        <v>23.504598219999998</v>
      </c>
      <c r="Z1379">
        <v>0</v>
      </c>
      <c r="AA1379">
        <v>56865</v>
      </c>
      <c r="AB1379">
        <v>22398</v>
      </c>
      <c r="AC1379">
        <v>1.1143686E-2</v>
      </c>
      <c r="AD1379">
        <v>0.81944707100000003</v>
      </c>
      <c r="AF1379">
        <v>18.189162899999999</v>
      </c>
      <c r="AG1379">
        <v>8.0000000000000002E-3</v>
      </c>
      <c r="AH1379">
        <v>4.7E-2</v>
      </c>
      <c r="AI1379">
        <v>0.73599999999999999</v>
      </c>
      <c r="AJ1379">
        <v>1.275673077</v>
      </c>
      <c r="AK1379">
        <v>9.3819484600000003</v>
      </c>
      <c r="AL1379">
        <v>2.8000000000000001E-2</v>
      </c>
      <c r="AM1379">
        <v>2.8000000000000001E-2</v>
      </c>
      <c r="AN1379">
        <v>0.94199999999999995</v>
      </c>
    </row>
    <row r="1380" spans="1:40">
      <c r="A1380">
        <v>3448</v>
      </c>
      <c r="B1380" t="s">
        <v>709</v>
      </c>
      <c r="C1380" t="s">
        <v>693</v>
      </c>
      <c r="D1380" t="s">
        <v>694</v>
      </c>
      <c r="E1380">
        <v>0</v>
      </c>
      <c r="F1380">
        <v>4</v>
      </c>
      <c r="G1380">
        <v>64.718532179999997</v>
      </c>
      <c r="H1380">
        <v>3</v>
      </c>
      <c r="I1380">
        <v>0.101166161</v>
      </c>
      <c r="J1380">
        <v>7</v>
      </c>
      <c r="K1380">
        <v>69.193097089999995</v>
      </c>
      <c r="L1380">
        <v>0.83299999999999996</v>
      </c>
      <c r="M1380" s="515">
        <v>1</v>
      </c>
      <c r="N1380">
        <v>0</v>
      </c>
      <c r="O1380" t="s">
        <v>620</v>
      </c>
      <c r="P1380">
        <f t="shared" si="191"/>
        <v>17.670000000000002</v>
      </c>
      <c r="Q1380">
        <f t="shared" si="192"/>
        <v>1.5184210526315797E-2</v>
      </c>
      <c r="R1380">
        <f t="shared" si="193"/>
        <v>2.3696202531645567E-2</v>
      </c>
      <c r="S1380">
        <f t="shared" si="194"/>
        <v>0.83299999999999996</v>
      </c>
      <c r="T1380">
        <f t="shared" si="195"/>
        <v>2.2169408982405066</v>
      </c>
      <c r="U1380">
        <f t="shared" si="196"/>
        <v>11.89</v>
      </c>
      <c r="V1380">
        <f t="shared" si="197"/>
        <v>4.6644067796610157E-2</v>
      </c>
      <c r="W1380">
        <f t="shared" si="198"/>
        <v>5.1076923076923055E-2</v>
      </c>
      <c r="X1380">
        <f t="shared" si="199"/>
        <v>1</v>
      </c>
      <c r="Y1380">
        <v>104.81347890000001</v>
      </c>
      <c r="Z1380">
        <v>0</v>
      </c>
      <c r="AA1380">
        <v>56865</v>
      </c>
      <c r="AB1380">
        <v>22398</v>
      </c>
      <c r="AC1380">
        <v>1.1143686E-2</v>
      </c>
      <c r="AD1380">
        <v>0.81944707100000003</v>
      </c>
      <c r="AF1380">
        <v>17.670000000000002</v>
      </c>
      <c r="AG1380">
        <v>0</v>
      </c>
      <c r="AH1380">
        <v>0</v>
      </c>
      <c r="AI1380">
        <v>0.83299999999999996</v>
      </c>
      <c r="AK1380">
        <v>11.89</v>
      </c>
      <c r="AL1380">
        <v>0</v>
      </c>
      <c r="AM1380">
        <v>0</v>
      </c>
      <c r="AN1380">
        <v>1</v>
      </c>
    </row>
    <row r="1381" spans="1:40">
      <c r="A1381">
        <v>3449</v>
      </c>
      <c r="B1381" t="s">
        <v>709</v>
      </c>
      <c r="C1381" t="s">
        <v>693</v>
      </c>
      <c r="D1381" t="s">
        <v>694</v>
      </c>
      <c r="E1381">
        <v>718</v>
      </c>
      <c r="F1381">
        <v>718</v>
      </c>
      <c r="G1381">
        <v>46.083483700000002</v>
      </c>
      <c r="H1381">
        <v>0</v>
      </c>
      <c r="I1381">
        <v>7.2032583999999997E-2</v>
      </c>
      <c r="J1381">
        <v>718</v>
      </c>
      <c r="K1381">
        <v>9967.7112789999992</v>
      </c>
      <c r="L1381">
        <v>0.71899999999999997</v>
      </c>
      <c r="M1381">
        <v>0</v>
      </c>
      <c r="N1381">
        <v>0</v>
      </c>
      <c r="O1381" t="s">
        <v>620</v>
      </c>
      <c r="P1381">
        <f t="shared" si="191"/>
        <v>14.065</v>
      </c>
      <c r="Q1381">
        <f t="shared" si="192"/>
        <v>0.02</v>
      </c>
      <c r="R1381">
        <f t="shared" si="193"/>
        <v>3.4000000000000002E-2</v>
      </c>
      <c r="S1381">
        <f t="shared" si="194"/>
        <v>0.71899999999999997</v>
      </c>
      <c r="T1381">
        <f t="shared" si="195"/>
        <v>2.3938461539999998</v>
      </c>
      <c r="U1381">
        <f t="shared" si="196"/>
        <v>6.7712338860000001</v>
      </c>
      <c r="V1381">
        <f t="shared" si="197"/>
        <v>5.8999999999999997E-2</v>
      </c>
      <c r="W1381">
        <f t="shared" si="198"/>
        <v>7.8E-2</v>
      </c>
      <c r="X1381">
        <f t="shared" si="199"/>
        <v>0.86299999999999999</v>
      </c>
      <c r="Y1381">
        <v>100.3252323</v>
      </c>
      <c r="Z1381">
        <v>0</v>
      </c>
      <c r="AA1381">
        <v>56865</v>
      </c>
      <c r="AB1381">
        <v>22398</v>
      </c>
      <c r="AC1381">
        <v>1.1143686E-2</v>
      </c>
      <c r="AD1381">
        <v>0.81944707100000003</v>
      </c>
      <c r="AF1381">
        <v>14.065</v>
      </c>
      <c r="AG1381">
        <v>0.02</v>
      </c>
      <c r="AH1381">
        <v>3.4000000000000002E-2</v>
      </c>
      <c r="AI1381">
        <v>0.71899999999999997</v>
      </c>
      <c r="AJ1381">
        <v>2.3938461539999998</v>
      </c>
      <c r="AK1381">
        <v>6.7712338860000001</v>
      </c>
      <c r="AL1381">
        <v>5.8999999999999997E-2</v>
      </c>
      <c r="AM1381">
        <v>7.8E-2</v>
      </c>
      <c r="AN1381">
        <v>0.86299999999999999</v>
      </c>
    </row>
    <row r="1382" spans="1:40">
      <c r="A1382">
        <v>3450</v>
      </c>
      <c r="B1382" t="s">
        <v>709</v>
      </c>
      <c r="C1382" t="s">
        <v>693</v>
      </c>
      <c r="D1382" t="s">
        <v>694</v>
      </c>
      <c r="E1382">
        <v>581</v>
      </c>
      <c r="F1382">
        <v>581</v>
      </c>
      <c r="G1382">
        <v>164.5559767</v>
      </c>
      <c r="H1382">
        <v>15</v>
      </c>
      <c r="I1382">
        <v>0.25721258699999999</v>
      </c>
      <c r="J1382">
        <v>596</v>
      </c>
      <c r="K1382">
        <v>2317.149433</v>
      </c>
      <c r="L1382">
        <v>0.77800000000000002</v>
      </c>
      <c r="M1382">
        <v>2.5167785000000002E-2</v>
      </c>
      <c r="N1382">
        <v>0</v>
      </c>
      <c r="O1382" t="s">
        <v>620</v>
      </c>
      <c r="P1382">
        <f t="shared" si="191"/>
        <v>14.149863010000001</v>
      </c>
      <c r="Q1382">
        <f t="shared" si="192"/>
        <v>8.0000000000000002E-3</v>
      </c>
      <c r="R1382">
        <f t="shared" si="193"/>
        <v>3.6999999999999998E-2</v>
      </c>
      <c r="S1382">
        <f t="shared" si="194"/>
        <v>0.77800000000000002</v>
      </c>
      <c r="T1382">
        <f t="shared" si="195"/>
        <v>2.3859090909999998</v>
      </c>
      <c r="U1382">
        <f t="shared" si="196"/>
        <v>7.4408609270000001</v>
      </c>
      <c r="V1382">
        <f t="shared" si="197"/>
        <v>6.0999999999999999E-2</v>
      </c>
      <c r="W1382">
        <f t="shared" si="198"/>
        <v>4.9000000000000002E-2</v>
      </c>
      <c r="X1382">
        <f t="shared" si="199"/>
        <v>0.89</v>
      </c>
      <c r="Y1382">
        <v>56.326088200000001</v>
      </c>
      <c r="Z1382">
        <v>0</v>
      </c>
      <c r="AA1382">
        <v>56865</v>
      </c>
      <c r="AB1382">
        <v>22398</v>
      </c>
      <c r="AC1382">
        <v>1.1143686E-2</v>
      </c>
      <c r="AD1382">
        <v>0.81944707100000003</v>
      </c>
      <c r="AF1382">
        <v>14.149863010000001</v>
      </c>
      <c r="AG1382">
        <v>8.0000000000000002E-3</v>
      </c>
      <c r="AH1382">
        <v>3.6999999999999998E-2</v>
      </c>
      <c r="AI1382">
        <v>0.77800000000000002</v>
      </c>
      <c r="AJ1382">
        <v>2.3859090909999998</v>
      </c>
      <c r="AK1382">
        <v>7.4408609270000001</v>
      </c>
      <c r="AL1382">
        <v>6.0999999999999999E-2</v>
      </c>
      <c r="AM1382">
        <v>4.9000000000000002E-2</v>
      </c>
      <c r="AN1382">
        <v>0.89</v>
      </c>
    </row>
    <row r="1383" spans="1:40">
      <c r="A1383">
        <v>3451</v>
      </c>
      <c r="B1383" t="s">
        <v>709</v>
      </c>
      <c r="C1383" t="s">
        <v>693</v>
      </c>
      <c r="D1383" t="s">
        <v>694</v>
      </c>
      <c r="E1383">
        <v>94</v>
      </c>
      <c r="F1383">
        <v>105</v>
      </c>
      <c r="G1383">
        <v>58.24779109</v>
      </c>
      <c r="H1383">
        <v>50</v>
      </c>
      <c r="I1383">
        <v>9.1042145000000005E-2</v>
      </c>
      <c r="J1383">
        <v>155</v>
      </c>
      <c r="K1383">
        <v>1702.5082170000001</v>
      </c>
      <c r="L1383">
        <v>0.84</v>
      </c>
      <c r="M1383">
        <v>0.34722222200000002</v>
      </c>
      <c r="N1383">
        <v>0</v>
      </c>
      <c r="O1383" t="s">
        <v>625</v>
      </c>
      <c r="P1383">
        <f t="shared" si="191"/>
        <v>10.7628</v>
      </c>
      <c r="Q1383">
        <f t="shared" si="192"/>
        <v>1.4E-2</v>
      </c>
      <c r="R1383">
        <f t="shared" si="193"/>
        <v>2.8000000000000001E-2</v>
      </c>
      <c r="S1383">
        <f t="shared" si="194"/>
        <v>0.84</v>
      </c>
      <c r="T1383">
        <f t="shared" si="195"/>
        <v>1.5774999999999999</v>
      </c>
      <c r="U1383">
        <f t="shared" si="196"/>
        <v>8.0669421490000008</v>
      </c>
      <c r="V1383">
        <f t="shared" si="197"/>
        <v>6.9000000000000006E-2</v>
      </c>
      <c r="W1383">
        <f t="shared" si="198"/>
        <v>6.9000000000000006E-2</v>
      </c>
      <c r="X1383">
        <f t="shared" si="199"/>
        <v>0.86199999999999999</v>
      </c>
      <c r="Y1383">
        <v>54.995578309999999</v>
      </c>
      <c r="Z1383">
        <v>0</v>
      </c>
      <c r="AA1383">
        <v>56865</v>
      </c>
      <c r="AB1383">
        <v>22398</v>
      </c>
      <c r="AC1383">
        <v>1.1143686E-2</v>
      </c>
      <c r="AD1383">
        <v>0.81944707100000003</v>
      </c>
      <c r="AF1383">
        <v>10.7628</v>
      </c>
      <c r="AG1383">
        <v>1.4E-2</v>
      </c>
      <c r="AH1383">
        <v>2.8000000000000001E-2</v>
      </c>
      <c r="AI1383">
        <v>0.84</v>
      </c>
      <c r="AJ1383">
        <v>1.5774999999999999</v>
      </c>
      <c r="AK1383">
        <v>8.0669421490000008</v>
      </c>
      <c r="AL1383">
        <v>6.9000000000000006E-2</v>
      </c>
      <c r="AM1383">
        <v>6.9000000000000006E-2</v>
      </c>
      <c r="AN1383">
        <v>0.86199999999999999</v>
      </c>
    </row>
    <row r="1384" spans="1:40">
      <c r="A1384">
        <v>3452</v>
      </c>
      <c r="B1384" t="s">
        <v>709</v>
      </c>
      <c r="C1384" t="s">
        <v>693</v>
      </c>
      <c r="D1384" t="s">
        <v>694</v>
      </c>
      <c r="E1384">
        <v>0</v>
      </c>
      <c r="F1384">
        <v>0</v>
      </c>
      <c r="G1384">
        <v>60.334169660000001</v>
      </c>
      <c r="H1384">
        <v>0</v>
      </c>
      <c r="I1384">
        <v>9.4308586E-2</v>
      </c>
      <c r="J1384">
        <v>0</v>
      </c>
      <c r="K1384">
        <v>0</v>
      </c>
      <c r="L1384"/>
      <c r="M1384">
        <v>0</v>
      </c>
      <c r="N1384">
        <v>0</v>
      </c>
      <c r="O1384" t="s">
        <v>625</v>
      </c>
      <c r="P1384">
        <f t="shared" si="191"/>
        <v>15.512410047246915</v>
      </c>
      <c r="Q1384">
        <f t="shared" si="192"/>
        <v>1.5184210526315797E-2</v>
      </c>
      <c r="R1384">
        <f t="shared" si="193"/>
        <v>2.3696202531645567E-2</v>
      </c>
      <c r="S1384">
        <f t="shared" si="194"/>
        <v>0.82278823529411782</v>
      </c>
      <c r="T1384">
        <f t="shared" si="195"/>
        <v>2.2169408982405066</v>
      </c>
      <c r="U1384">
        <f t="shared" si="196"/>
        <v>8.1975694672705899</v>
      </c>
      <c r="V1384">
        <f t="shared" si="197"/>
        <v>4.6644067796610157E-2</v>
      </c>
      <c r="W1384">
        <f t="shared" si="198"/>
        <v>5.1076923076923055E-2</v>
      </c>
      <c r="X1384">
        <f t="shared" si="199"/>
        <v>0.89225925925925942</v>
      </c>
      <c r="Y1384">
        <v>54.990343199999998</v>
      </c>
      <c r="Z1384">
        <v>0</v>
      </c>
      <c r="AA1384">
        <v>56865</v>
      </c>
      <c r="AB1384">
        <v>22398</v>
      </c>
      <c r="AC1384">
        <v>1.1143686E-2</v>
      </c>
      <c r="AD1384">
        <v>0.81944707100000003</v>
      </c>
    </row>
    <row r="1385" spans="1:40">
      <c r="A1385">
        <v>3453</v>
      </c>
      <c r="B1385" t="s">
        <v>707</v>
      </c>
      <c r="C1385" t="s">
        <v>693</v>
      </c>
      <c r="D1385" t="s">
        <v>694</v>
      </c>
      <c r="E1385">
        <v>0</v>
      </c>
      <c r="F1385">
        <v>0</v>
      </c>
      <c r="G1385">
        <v>423.90148210000001</v>
      </c>
      <c r="H1385">
        <v>0</v>
      </c>
      <c r="I1385">
        <v>0.66259788500000005</v>
      </c>
      <c r="J1385">
        <v>0</v>
      </c>
      <c r="K1385">
        <v>0</v>
      </c>
      <c r="L1385"/>
      <c r="M1385">
        <v>0</v>
      </c>
      <c r="N1385">
        <v>0</v>
      </c>
      <c r="O1385" t="s">
        <v>625</v>
      </c>
      <c r="P1385">
        <f t="shared" si="191"/>
        <v>18.273803565652177</v>
      </c>
      <c r="Q1385">
        <f t="shared" si="192"/>
        <v>2.0450000000000006E-2</v>
      </c>
      <c r="R1385">
        <f t="shared" si="193"/>
        <v>7.2846153846153852E-2</v>
      </c>
      <c r="S1385">
        <f t="shared" si="194"/>
        <v>0.9342307692307692</v>
      </c>
      <c r="T1385">
        <f t="shared" si="195"/>
        <v>2.2191326312692303</v>
      </c>
      <c r="U1385">
        <f t="shared" si="196"/>
        <v>11.877651061423077</v>
      </c>
      <c r="V1385">
        <f t="shared" si="197"/>
        <v>0.11835714285714286</v>
      </c>
      <c r="W1385">
        <f t="shared" si="198"/>
        <v>8.5526315789473686E-2</v>
      </c>
      <c r="X1385">
        <f t="shared" si="199"/>
        <v>0.94647826086956499</v>
      </c>
      <c r="Y1385">
        <v>22.732119770000001</v>
      </c>
      <c r="Z1385">
        <v>0</v>
      </c>
      <c r="AA1385">
        <v>21149</v>
      </c>
      <c r="AB1385">
        <v>6968</v>
      </c>
      <c r="AC1385">
        <v>1.6645858999999999E-2</v>
      </c>
      <c r="AD1385">
        <v>0.89069218999999999</v>
      </c>
    </row>
    <row r="1386" spans="1:40">
      <c r="A1386">
        <v>3454</v>
      </c>
      <c r="B1386" t="s">
        <v>709</v>
      </c>
      <c r="C1386" t="s">
        <v>693</v>
      </c>
      <c r="D1386" t="s">
        <v>694</v>
      </c>
      <c r="E1386">
        <v>115</v>
      </c>
      <c r="F1386">
        <v>115</v>
      </c>
      <c r="G1386">
        <v>43.869689790000002</v>
      </c>
      <c r="H1386">
        <v>322</v>
      </c>
      <c r="I1386">
        <v>6.8571979000000005E-2</v>
      </c>
      <c r="J1386">
        <v>437</v>
      </c>
      <c r="K1386">
        <v>6372.865511</v>
      </c>
      <c r="L1386">
        <v>0.79400000000000004</v>
      </c>
      <c r="M1386">
        <v>0.73684210500000002</v>
      </c>
      <c r="N1386">
        <v>0</v>
      </c>
      <c r="O1386" t="s">
        <v>620</v>
      </c>
      <c r="P1386">
        <f t="shared" si="191"/>
        <v>13.2365625</v>
      </c>
      <c r="Q1386">
        <f t="shared" si="192"/>
        <v>1.5184210526315797E-2</v>
      </c>
      <c r="R1386">
        <f t="shared" si="193"/>
        <v>3.6999999999999998E-2</v>
      </c>
      <c r="S1386">
        <f t="shared" si="194"/>
        <v>0.79400000000000004</v>
      </c>
      <c r="T1386">
        <f t="shared" si="195"/>
        <v>1.9331578949999999</v>
      </c>
      <c r="U1386">
        <f t="shared" si="196"/>
        <v>7.5260509549999997</v>
      </c>
      <c r="V1386">
        <f t="shared" si="197"/>
        <v>5.8999999999999997E-2</v>
      </c>
      <c r="W1386">
        <f t="shared" si="198"/>
        <v>5.1076923076923055E-2</v>
      </c>
      <c r="X1386">
        <f t="shared" si="199"/>
        <v>0.94099999999999995</v>
      </c>
      <c r="Y1386">
        <v>100.3251918</v>
      </c>
      <c r="Z1386">
        <v>0</v>
      </c>
      <c r="AA1386">
        <v>56865</v>
      </c>
      <c r="AB1386">
        <v>22398</v>
      </c>
      <c r="AC1386">
        <v>1.1143686E-2</v>
      </c>
      <c r="AD1386">
        <v>0.81944707100000003</v>
      </c>
      <c r="AF1386">
        <v>13.2365625</v>
      </c>
      <c r="AG1386">
        <v>0</v>
      </c>
      <c r="AH1386">
        <v>3.6999999999999998E-2</v>
      </c>
      <c r="AI1386">
        <v>0.79400000000000004</v>
      </c>
      <c r="AJ1386">
        <v>1.9331578949999999</v>
      </c>
      <c r="AK1386">
        <v>7.5260509549999997</v>
      </c>
      <c r="AL1386">
        <v>5.8999999999999997E-2</v>
      </c>
      <c r="AM1386">
        <v>0</v>
      </c>
      <c r="AN1386">
        <v>0.94099999999999995</v>
      </c>
    </row>
    <row r="1387" spans="1:40">
      <c r="A1387">
        <v>3455</v>
      </c>
      <c r="B1387" t="s">
        <v>709</v>
      </c>
      <c r="C1387" t="s">
        <v>693</v>
      </c>
      <c r="D1387" t="s">
        <v>694</v>
      </c>
      <c r="E1387">
        <v>0</v>
      </c>
      <c r="F1387">
        <v>0</v>
      </c>
      <c r="G1387">
        <v>29.718335199999999</v>
      </c>
      <c r="H1387">
        <v>0</v>
      </c>
      <c r="I1387">
        <v>4.6452951999999999E-2</v>
      </c>
      <c r="J1387">
        <v>0</v>
      </c>
      <c r="K1387">
        <v>0</v>
      </c>
      <c r="L1387"/>
      <c r="M1387">
        <v>0</v>
      </c>
      <c r="N1387">
        <v>0</v>
      </c>
      <c r="O1387" t="s">
        <v>625</v>
      </c>
      <c r="P1387">
        <f t="shared" si="191"/>
        <v>15.512410047246915</v>
      </c>
      <c r="Q1387">
        <f t="shared" si="192"/>
        <v>1.5184210526315797E-2</v>
      </c>
      <c r="R1387">
        <f t="shared" si="193"/>
        <v>2.3696202531645567E-2</v>
      </c>
      <c r="S1387">
        <f t="shared" si="194"/>
        <v>0.82278823529411782</v>
      </c>
      <c r="T1387">
        <f t="shared" si="195"/>
        <v>2.2169408982405066</v>
      </c>
      <c r="U1387">
        <f t="shared" si="196"/>
        <v>8.1975694672705899</v>
      </c>
      <c r="V1387">
        <f t="shared" si="197"/>
        <v>4.6644067796610157E-2</v>
      </c>
      <c r="W1387">
        <f t="shared" si="198"/>
        <v>5.1076923076923055E-2</v>
      </c>
      <c r="X1387">
        <f t="shared" si="199"/>
        <v>0.89225925925925942</v>
      </c>
      <c r="Y1387">
        <v>54.87199451</v>
      </c>
      <c r="Z1387">
        <v>0</v>
      </c>
      <c r="AA1387">
        <v>56865</v>
      </c>
      <c r="AB1387">
        <v>22398</v>
      </c>
      <c r="AC1387">
        <v>1.1143686E-2</v>
      </c>
      <c r="AD1387">
        <v>0.81944707100000003</v>
      </c>
    </row>
    <row r="1388" spans="1:40">
      <c r="A1388">
        <v>3456</v>
      </c>
      <c r="B1388" t="s">
        <v>709</v>
      </c>
      <c r="C1388" t="s">
        <v>693</v>
      </c>
      <c r="D1388" t="s">
        <v>694</v>
      </c>
      <c r="E1388">
        <v>0</v>
      </c>
      <c r="F1388">
        <v>0</v>
      </c>
      <c r="G1388">
        <v>44.075361579999999</v>
      </c>
      <c r="H1388">
        <v>0</v>
      </c>
      <c r="I1388">
        <v>6.8894034000000007E-2</v>
      </c>
      <c r="J1388">
        <v>0</v>
      </c>
      <c r="K1388">
        <v>0</v>
      </c>
      <c r="L1388"/>
      <c r="M1388">
        <v>0</v>
      </c>
      <c r="N1388">
        <v>0</v>
      </c>
      <c r="O1388" t="s">
        <v>625</v>
      </c>
      <c r="P1388">
        <f t="shared" si="191"/>
        <v>15.512410047246915</v>
      </c>
      <c r="Q1388">
        <f t="shared" si="192"/>
        <v>1.5184210526315797E-2</v>
      </c>
      <c r="R1388">
        <f t="shared" si="193"/>
        <v>2.3696202531645567E-2</v>
      </c>
      <c r="S1388">
        <f t="shared" si="194"/>
        <v>0.82278823529411782</v>
      </c>
      <c r="T1388">
        <f t="shared" si="195"/>
        <v>2.2169408982405066</v>
      </c>
      <c r="U1388">
        <f t="shared" si="196"/>
        <v>8.1975694672705899</v>
      </c>
      <c r="V1388">
        <f t="shared" si="197"/>
        <v>4.6644067796610157E-2</v>
      </c>
      <c r="W1388">
        <f t="shared" si="198"/>
        <v>5.1076923076923055E-2</v>
      </c>
      <c r="X1388">
        <f t="shared" si="199"/>
        <v>0.89225925925925942</v>
      </c>
      <c r="Y1388">
        <v>55.072235970000001</v>
      </c>
      <c r="Z1388">
        <v>0</v>
      </c>
      <c r="AA1388">
        <v>56865</v>
      </c>
      <c r="AB1388">
        <v>22398</v>
      </c>
      <c r="AC1388">
        <v>1.1143686E-2</v>
      </c>
      <c r="AD1388">
        <v>0.81944707100000003</v>
      </c>
    </row>
    <row r="1389" spans="1:40">
      <c r="A1389">
        <v>3457</v>
      </c>
      <c r="B1389" t="s">
        <v>692</v>
      </c>
      <c r="C1389" t="s">
        <v>693</v>
      </c>
      <c r="D1389" t="s">
        <v>694</v>
      </c>
      <c r="E1389">
        <v>26</v>
      </c>
      <c r="F1389">
        <v>74</v>
      </c>
      <c r="G1389">
        <v>8.2022351980000003</v>
      </c>
      <c r="H1389">
        <v>11</v>
      </c>
      <c r="I1389">
        <v>1.2822357E-2</v>
      </c>
      <c r="J1389">
        <v>85</v>
      </c>
      <c r="K1389">
        <v>6629.0464380000003</v>
      </c>
      <c r="L1389" s="515">
        <v>1</v>
      </c>
      <c r="M1389">
        <v>0.29729729700000002</v>
      </c>
      <c r="N1389">
        <v>0</v>
      </c>
      <c r="O1389" t="s">
        <v>620</v>
      </c>
      <c r="P1389">
        <f t="shared" si="191"/>
        <v>9.9</v>
      </c>
      <c r="Q1389">
        <f t="shared" si="192"/>
        <v>1.2828282828282822E-2</v>
      </c>
      <c r="R1389">
        <f t="shared" si="193"/>
        <v>1.9814814814814796E-2</v>
      </c>
      <c r="S1389">
        <f t="shared" si="194"/>
        <v>1</v>
      </c>
      <c r="T1389">
        <f t="shared" si="195"/>
        <v>2.2234128568796301</v>
      </c>
      <c r="U1389">
        <f t="shared" si="196"/>
        <v>6.5143750000000002</v>
      </c>
      <c r="V1389">
        <f t="shared" si="197"/>
        <v>4.1084210526315765E-2</v>
      </c>
      <c r="W1389">
        <f t="shared" si="198"/>
        <v>4.7929411764705873E-2</v>
      </c>
      <c r="X1389">
        <f t="shared" si="199"/>
        <v>1</v>
      </c>
      <c r="Y1389">
        <v>128.52481829999999</v>
      </c>
      <c r="Z1389">
        <v>0</v>
      </c>
      <c r="AA1389">
        <v>77808</v>
      </c>
      <c r="AB1389">
        <v>27489</v>
      </c>
      <c r="AC1389">
        <v>1.1225541E-2</v>
      </c>
      <c r="AD1389">
        <v>0.835708267</v>
      </c>
      <c r="AF1389">
        <v>9.9</v>
      </c>
      <c r="AG1389">
        <v>0</v>
      </c>
      <c r="AH1389">
        <v>0</v>
      </c>
      <c r="AI1389">
        <v>1</v>
      </c>
      <c r="AK1389">
        <v>6.5143750000000002</v>
      </c>
      <c r="AL1389">
        <v>0</v>
      </c>
      <c r="AM1389">
        <v>0</v>
      </c>
      <c r="AN1389">
        <v>1</v>
      </c>
    </row>
    <row r="1390" spans="1:40">
      <c r="A1390">
        <v>3458</v>
      </c>
      <c r="B1390" t="s">
        <v>709</v>
      </c>
      <c r="C1390" t="s">
        <v>693</v>
      </c>
      <c r="D1390" t="s">
        <v>694</v>
      </c>
      <c r="E1390">
        <v>214</v>
      </c>
      <c r="F1390">
        <v>1360</v>
      </c>
      <c r="G1390">
        <v>60.856122149999997</v>
      </c>
      <c r="H1390">
        <v>41</v>
      </c>
      <c r="I1390">
        <v>9.5125312000000004E-2</v>
      </c>
      <c r="J1390">
        <v>1401</v>
      </c>
      <c r="K1390">
        <v>14727.94118</v>
      </c>
      <c r="L1390">
        <v>0.81</v>
      </c>
      <c r="M1390">
        <v>0.16078431400000001</v>
      </c>
      <c r="N1390">
        <v>0</v>
      </c>
      <c r="O1390" t="s">
        <v>620</v>
      </c>
      <c r="P1390">
        <f t="shared" si="191"/>
        <v>14.33992063</v>
      </c>
      <c r="Q1390">
        <f t="shared" si="192"/>
        <v>8.9999999999999993E-3</v>
      </c>
      <c r="R1390">
        <f t="shared" si="193"/>
        <v>2.5000000000000001E-2</v>
      </c>
      <c r="S1390">
        <f t="shared" si="194"/>
        <v>0.81</v>
      </c>
      <c r="T1390">
        <f t="shared" si="195"/>
        <v>2.3125</v>
      </c>
      <c r="U1390">
        <f t="shared" si="196"/>
        <v>7.8323242190000002</v>
      </c>
      <c r="V1390">
        <f t="shared" si="197"/>
        <v>4.4999999999999998E-2</v>
      </c>
      <c r="W1390">
        <f t="shared" si="198"/>
        <v>1.4999999999999999E-2</v>
      </c>
      <c r="X1390">
        <f t="shared" si="199"/>
        <v>0.94</v>
      </c>
      <c r="Y1390">
        <v>22.880949439999998</v>
      </c>
      <c r="Z1390">
        <v>0</v>
      </c>
      <c r="AA1390">
        <v>56865</v>
      </c>
      <c r="AB1390">
        <v>22398</v>
      </c>
      <c r="AC1390">
        <v>1.1143686E-2</v>
      </c>
      <c r="AD1390">
        <v>0.81944707100000003</v>
      </c>
      <c r="AF1390">
        <v>14.33992063</v>
      </c>
      <c r="AG1390">
        <v>8.9999999999999993E-3</v>
      </c>
      <c r="AH1390">
        <v>2.5000000000000001E-2</v>
      </c>
      <c r="AI1390">
        <v>0.81</v>
      </c>
      <c r="AJ1390">
        <v>2.3125</v>
      </c>
      <c r="AK1390">
        <v>7.8323242190000002</v>
      </c>
      <c r="AL1390">
        <v>4.4999999999999998E-2</v>
      </c>
      <c r="AM1390">
        <v>1.4999999999999999E-2</v>
      </c>
      <c r="AN1390">
        <v>0.94</v>
      </c>
    </row>
    <row r="1391" spans="1:40">
      <c r="A1391">
        <v>3459</v>
      </c>
      <c r="B1391" t="s">
        <v>709</v>
      </c>
      <c r="C1391" t="s">
        <v>693</v>
      </c>
      <c r="D1391" t="s">
        <v>694</v>
      </c>
      <c r="E1391">
        <v>250</v>
      </c>
      <c r="F1391">
        <v>1736</v>
      </c>
      <c r="G1391">
        <v>93.674196409999993</v>
      </c>
      <c r="H1391">
        <v>41</v>
      </c>
      <c r="I1391">
        <v>0.14643088400000001</v>
      </c>
      <c r="J1391">
        <v>1777</v>
      </c>
      <c r="K1391">
        <v>12135.418100000001</v>
      </c>
      <c r="L1391">
        <v>0.80500000000000005</v>
      </c>
      <c r="M1391">
        <v>0.14089347099999999</v>
      </c>
      <c r="N1391">
        <v>0</v>
      </c>
      <c r="O1391" t="s">
        <v>620</v>
      </c>
      <c r="P1391">
        <f t="shared" si="191"/>
        <v>18.820853660000001</v>
      </c>
      <c r="Q1391">
        <f t="shared" si="192"/>
        <v>0.02</v>
      </c>
      <c r="R1391">
        <f t="shared" si="193"/>
        <v>0.02</v>
      </c>
      <c r="S1391">
        <f t="shared" si="194"/>
        <v>0.80500000000000005</v>
      </c>
      <c r="T1391">
        <f t="shared" si="195"/>
        <v>1.6178571429999999</v>
      </c>
      <c r="U1391">
        <f t="shared" si="196"/>
        <v>10.187191410000001</v>
      </c>
      <c r="V1391">
        <f t="shared" si="197"/>
        <v>1.0999999999999999E-2</v>
      </c>
      <c r="W1391">
        <f t="shared" si="198"/>
        <v>6.7000000000000004E-2</v>
      </c>
      <c r="X1391">
        <f t="shared" si="199"/>
        <v>0.92100000000000004</v>
      </c>
      <c r="Y1391">
        <v>22.83887275</v>
      </c>
      <c r="Z1391">
        <v>0</v>
      </c>
      <c r="AA1391">
        <v>56865</v>
      </c>
      <c r="AB1391">
        <v>22398</v>
      </c>
      <c r="AC1391">
        <v>1.1143686E-2</v>
      </c>
      <c r="AD1391">
        <v>0.81944707100000003</v>
      </c>
      <c r="AF1391">
        <v>18.820853660000001</v>
      </c>
      <c r="AG1391">
        <v>0.02</v>
      </c>
      <c r="AH1391">
        <v>0.02</v>
      </c>
      <c r="AI1391">
        <v>0.80500000000000005</v>
      </c>
      <c r="AJ1391">
        <v>1.6178571429999999</v>
      </c>
      <c r="AK1391">
        <v>10.187191410000001</v>
      </c>
      <c r="AL1391">
        <v>1.0999999999999999E-2</v>
      </c>
      <c r="AM1391">
        <v>6.7000000000000004E-2</v>
      </c>
      <c r="AN1391">
        <v>0.92100000000000004</v>
      </c>
    </row>
    <row r="1392" spans="1:40">
      <c r="A1392">
        <v>3460</v>
      </c>
      <c r="B1392" t="s">
        <v>707</v>
      </c>
      <c r="C1392" t="s">
        <v>693</v>
      </c>
      <c r="D1392" t="s">
        <v>694</v>
      </c>
      <c r="E1392">
        <v>24</v>
      </c>
      <c r="F1392">
        <v>74</v>
      </c>
      <c r="G1392">
        <v>1960.6741010000001</v>
      </c>
      <c r="H1392">
        <v>40</v>
      </c>
      <c r="I1392" s="515">
        <v>3.06480786219818</v>
      </c>
      <c r="J1392">
        <v>114</v>
      </c>
      <c r="K1392">
        <v>37.196458999999997</v>
      </c>
      <c r="L1392">
        <v>0.97299999999999998</v>
      </c>
      <c r="M1392">
        <v>0.625</v>
      </c>
      <c r="N1392">
        <v>0</v>
      </c>
      <c r="O1392" t="s">
        <v>625</v>
      </c>
      <c r="P1392">
        <f t="shared" si="191"/>
        <v>12.4</v>
      </c>
      <c r="Q1392">
        <f t="shared" si="192"/>
        <v>2.0450000000000006E-2</v>
      </c>
      <c r="R1392">
        <f t="shared" si="193"/>
        <v>2.7E-2</v>
      </c>
      <c r="S1392">
        <f t="shared" si="194"/>
        <v>0.97299999999999998</v>
      </c>
      <c r="T1392">
        <f t="shared" si="195"/>
        <v>1.69</v>
      </c>
      <c r="U1392">
        <f t="shared" si="196"/>
        <v>7.6404166670000002</v>
      </c>
      <c r="V1392">
        <f t="shared" si="197"/>
        <v>0.11835714285714286</v>
      </c>
      <c r="W1392">
        <f t="shared" si="198"/>
        <v>8.5526315789473686E-2</v>
      </c>
      <c r="X1392">
        <f t="shared" si="199"/>
        <v>1</v>
      </c>
      <c r="Y1392">
        <v>8.1075976950000008</v>
      </c>
      <c r="Z1392">
        <v>0</v>
      </c>
      <c r="AA1392">
        <v>21149</v>
      </c>
      <c r="AB1392">
        <v>6968</v>
      </c>
      <c r="AC1392">
        <v>1.6645858999999999E-2</v>
      </c>
      <c r="AD1392">
        <v>0.89069218999999999</v>
      </c>
      <c r="AF1392">
        <v>12.4</v>
      </c>
      <c r="AG1392">
        <v>0</v>
      </c>
      <c r="AH1392">
        <v>2.7E-2</v>
      </c>
      <c r="AI1392">
        <v>0.97299999999999998</v>
      </c>
      <c r="AJ1392">
        <v>1.69</v>
      </c>
      <c r="AK1392">
        <v>7.6404166670000002</v>
      </c>
      <c r="AL1392">
        <v>0</v>
      </c>
      <c r="AM1392">
        <v>0</v>
      </c>
      <c r="AN1392">
        <v>1</v>
      </c>
    </row>
    <row r="1393" spans="1:40">
      <c r="A1393">
        <v>3461</v>
      </c>
      <c r="B1393" t="s">
        <v>707</v>
      </c>
      <c r="C1393" t="s">
        <v>693</v>
      </c>
      <c r="D1393" t="s">
        <v>694</v>
      </c>
      <c r="E1393">
        <v>0</v>
      </c>
      <c r="F1393">
        <v>0</v>
      </c>
      <c r="G1393">
        <v>288.80476979999997</v>
      </c>
      <c r="H1393">
        <v>0</v>
      </c>
      <c r="I1393">
        <v>0.45142697999999998</v>
      </c>
      <c r="J1393">
        <v>0</v>
      </c>
      <c r="K1393">
        <v>0</v>
      </c>
      <c r="L1393"/>
      <c r="M1393">
        <v>0</v>
      </c>
      <c r="N1393">
        <v>0</v>
      </c>
      <c r="O1393" t="s">
        <v>625</v>
      </c>
      <c r="P1393">
        <f t="shared" si="191"/>
        <v>18.273803565652177</v>
      </c>
      <c r="Q1393">
        <f t="shared" si="192"/>
        <v>2.0450000000000006E-2</v>
      </c>
      <c r="R1393">
        <f t="shared" si="193"/>
        <v>7.2846153846153852E-2</v>
      </c>
      <c r="S1393">
        <f t="shared" si="194"/>
        <v>0.9342307692307692</v>
      </c>
      <c r="T1393">
        <f t="shared" si="195"/>
        <v>2.2191326312692303</v>
      </c>
      <c r="U1393">
        <f t="shared" si="196"/>
        <v>11.877651061423077</v>
      </c>
      <c r="V1393">
        <f t="shared" si="197"/>
        <v>0.11835714285714286</v>
      </c>
      <c r="W1393">
        <f t="shared" si="198"/>
        <v>8.5526315789473686E-2</v>
      </c>
      <c r="X1393">
        <f t="shared" si="199"/>
        <v>0.94647826086956499</v>
      </c>
      <c r="Y1393">
        <v>5.894226454</v>
      </c>
      <c r="Z1393">
        <v>0</v>
      </c>
      <c r="AA1393">
        <v>21149</v>
      </c>
      <c r="AB1393">
        <v>6968</v>
      </c>
      <c r="AC1393">
        <v>1.6645858999999999E-2</v>
      </c>
      <c r="AD1393">
        <v>0.89069218999999999</v>
      </c>
    </row>
    <row r="1394" spans="1:40">
      <c r="A1394">
        <v>3462</v>
      </c>
      <c r="B1394" t="s">
        <v>698</v>
      </c>
      <c r="C1394" t="s">
        <v>693</v>
      </c>
      <c r="D1394" t="s">
        <v>694</v>
      </c>
      <c r="E1394">
        <v>42</v>
      </c>
      <c r="F1394">
        <v>232</v>
      </c>
      <c r="G1394">
        <v>53.038758119999997</v>
      </c>
      <c r="H1394">
        <v>0</v>
      </c>
      <c r="I1394">
        <v>8.2901621999999994E-2</v>
      </c>
      <c r="J1394">
        <v>232</v>
      </c>
      <c r="K1394">
        <v>2798.4977180000001</v>
      </c>
      <c r="L1394">
        <v>0.84099999999999997</v>
      </c>
      <c r="M1394">
        <v>0</v>
      </c>
      <c r="N1394">
        <v>0</v>
      </c>
      <c r="O1394" t="s">
        <v>625</v>
      </c>
      <c r="P1394">
        <f t="shared" si="191"/>
        <v>18.637368420000001</v>
      </c>
      <c r="Q1394">
        <f t="shared" si="192"/>
        <v>0.03</v>
      </c>
      <c r="R1394">
        <f t="shared" si="193"/>
        <v>1.4999999999999999E-2</v>
      </c>
      <c r="S1394">
        <f t="shared" si="194"/>
        <v>0.84099999999999997</v>
      </c>
      <c r="T1394">
        <f t="shared" si="195"/>
        <v>4.49</v>
      </c>
      <c r="U1394">
        <f t="shared" si="196"/>
        <v>9.8134259260000007</v>
      </c>
      <c r="V1394">
        <f t="shared" si="197"/>
        <v>4.0705882352941189E-2</v>
      </c>
      <c r="W1394">
        <f t="shared" si="198"/>
        <v>0.13600000000000001</v>
      </c>
      <c r="X1394">
        <f t="shared" si="199"/>
        <v>0.86399999999999999</v>
      </c>
      <c r="Y1394">
        <v>8.1215668389999998</v>
      </c>
      <c r="Z1394">
        <v>0</v>
      </c>
      <c r="AA1394">
        <v>88250</v>
      </c>
      <c r="AB1394">
        <v>31723</v>
      </c>
      <c r="AC1394">
        <v>1.0795895999999999E-2</v>
      </c>
      <c r="AD1394">
        <v>0.817760245</v>
      </c>
      <c r="AF1394">
        <v>18.637368420000001</v>
      </c>
      <c r="AG1394">
        <v>0.03</v>
      </c>
      <c r="AH1394">
        <v>1.4999999999999999E-2</v>
      </c>
      <c r="AI1394">
        <v>0.84099999999999997</v>
      </c>
      <c r="AJ1394">
        <v>4.49</v>
      </c>
      <c r="AK1394">
        <v>9.8134259260000007</v>
      </c>
      <c r="AL1394">
        <v>0</v>
      </c>
      <c r="AM1394">
        <v>0.13600000000000001</v>
      </c>
      <c r="AN1394">
        <v>0.86399999999999999</v>
      </c>
    </row>
    <row r="1395" spans="1:40">
      <c r="A1395">
        <v>3463</v>
      </c>
      <c r="B1395" t="s">
        <v>698</v>
      </c>
      <c r="C1395" t="s">
        <v>693</v>
      </c>
      <c r="D1395" t="s">
        <v>694</v>
      </c>
      <c r="E1395">
        <v>166</v>
      </c>
      <c r="F1395">
        <v>315</v>
      </c>
      <c r="G1395">
        <v>57.702727189999997</v>
      </c>
      <c r="H1395">
        <v>21</v>
      </c>
      <c r="I1395">
        <v>9.0198414000000005E-2</v>
      </c>
      <c r="J1395">
        <v>336</v>
      </c>
      <c r="K1395">
        <v>3725.1209319999998</v>
      </c>
      <c r="L1395">
        <v>0.83699999999999997</v>
      </c>
      <c r="M1395">
        <v>0.112299465</v>
      </c>
      <c r="N1395">
        <v>0</v>
      </c>
      <c r="O1395" t="s">
        <v>620</v>
      </c>
      <c r="P1395">
        <f t="shared" si="191"/>
        <v>22.138095239999998</v>
      </c>
      <c r="Q1395">
        <f t="shared" si="192"/>
        <v>7.0000000000000001E-3</v>
      </c>
      <c r="R1395">
        <f t="shared" si="193"/>
        <v>2.1999999999999999E-2</v>
      </c>
      <c r="S1395">
        <f t="shared" si="194"/>
        <v>0.83699999999999997</v>
      </c>
      <c r="T1395">
        <f t="shared" si="195"/>
        <v>0.38166666700000001</v>
      </c>
      <c r="U1395">
        <f t="shared" si="196"/>
        <v>10.13248756</v>
      </c>
      <c r="V1395">
        <f t="shared" si="197"/>
        <v>4.0705882352941189E-2</v>
      </c>
      <c r="W1395">
        <f t="shared" si="198"/>
        <v>5.2166666666666632E-2</v>
      </c>
      <c r="X1395">
        <f t="shared" si="199"/>
        <v>1</v>
      </c>
      <c r="Y1395">
        <v>111.19826810000001</v>
      </c>
      <c r="Z1395">
        <v>0</v>
      </c>
      <c r="AA1395">
        <v>88250</v>
      </c>
      <c r="AB1395">
        <v>31723</v>
      </c>
      <c r="AC1395">
        <v>1.0795895999999999E-2</v>
      </c>
      <c r="AD1395">
        <v>0.817760245</v>
      </c>
      <c r="AF1395">
        <v>22.138095239999998</v>
      </c>
      <c r="AG1395">
        <v>7.0000000000000001E-3</v>
      </c>
      <c r="AH1395">
        <v>2.1999999999999999E-2</v>
      </c>
      <c r="AI1395">
        <v>0.83699999999999997</v>
      </c>
      <c r="AJ1395">
        <v>0.38166666700000001</v>
      </c>
      <c r="AK1395">
        <v>10.13248756</v>
      </c>
      <c r="AL1395">
        <v>0</v>
      </c>
      <c r="AM1395">
        <v>0</v>
      </c>
      <c r="AN1395">
        <v>1</v>
      </c>
    </row>
    <row r="1396" spans="1:40">
      <c r="A1396">
        <v>3464</v>
      </c>
      <c r="B1396" t="s">
        <v>698</v>
      </c>
      <c r="C1396" t="s">
        <v>693</v>
      </c>
      <c r="D1396" t="s">
        <v>694</v>
      </c>
      <c r="E1396">
        <v>257</v>
      </c>
      <c r="F1396">
        <v>717</v>
      </c>
      <c r="G1396">
        <v>27.827280040000002</v>
      </c>
      <c r="H1396">
        <v>8</v>
      </c>
      <c r="I1396">
        <v>4.3501868999999999E-2</v>
      </c>
      <c r="J1396">
        <v>725</v>
      </c>
      <c r="K1396">
        <v>16665.95061</v>
      </c>
      <c r="L1396">
        <v>0.83799999999999997</v>
      </c>
      <c r="M1396">
        <v>3.0188679E-2</v>
      </c>
      <c r="N1396">
        <v>0</v>
      </c>
      <c r="O1396" t="s">
        <v>625</v>
      </c>
      <c r="P1396">
        <f t="shared" si="191"/>
        <v>15.611212119999999</v>
      </c>
      <c r="Q1396">
        <f t="shared" si="192"/>
        <v>1.2999999999999999E-2</v>
      </c>
      <c r="R1396">
        <f t="shared" si="193"/>
        <v>1.2999999999999999E-2</v>
      </c>
      <c r="S1396">
        <f t="shared" si="194"/>
        <v>0.83799999999999997</v>
      </c>
      <c r="T1396">
        <f t="shared" si="195"/>
        <v>1.0774999999999999</v>
      </c>
      <c r="U1396">
        <f t="shared" si="196"/>
        <v>8.0511406839999999</v>
      </c>
      <c r="V1396">
        <f t="shared" si="197"/>
        <v>4.0705882352941189E-2</v>
      </c>
      <c r="W1396">
        <f t="shared" si="198"/>
        <v>5.2166666666666632E-2</v>
      </c>
      <c r="X1396">
        <f t="shared" si="199"/>
        <v>0.98499999999999999</v>
      </c>
      <c r="Y1396">
        <v>27.147382700000001</v>
      </c>
      <c r="Z1396">
        <v>0</v>
      </c>
      <c r="AA1396">
        <v>88250</v>
      </c>
      <c r="AB1396">
        <v>31723</v>
      </c>
      <c r="AC1396">
        <v>1.0795895999999999E-2</v>
      </c>
      <c r="AD1396">
        <v>0.817760245</v>
      </c>
      <c r="AF1396">
        <v>15.611212119999999</v>
      </c>
      <c r="AG1396">
        <v>1.2999999999999999E-2</v>
      </c>
      <c r="AH1396">
        <v>1.2999999999999999E-2</v>
      </c>
      <c r="AI1396">
        <v>0.83799999999999997</v>
      </c>
      <c r="AJ1396">
        <v>1.0774999999999999</v>
      </c>
      <c r="AK1396">
        <v>8.0511406839999999</v>
      </c>
      <c r="AL1396">
        <v>0</v>
      </c>
      <c r="AM1396">
        <v>0</v>
      </c>
      <c r="AN1396">
        <v>0.98499999999999999</v>
      </c>
    </row>
    <row r="1397" spans="1:40">
      <c r="A1397">
        <v>3465</v>
      </c>
      <c r="B1397" t="s">
        <v>698</v>
      </c>
      <c r="C1397" t="s">
        <v>693</v>
      </c>
      <c r="D1397" t="s">
        <v>694</v>
      </c>
      <c r="E1397">
        <v>17</v>
      </c>
      <c r="F1397">
        <v>17</v>
      </c>
      <c r="G1397">
        <v>49.670019799999999</v>
      </c>
      <c r="H1397">
        <v>53</v>
      </c>
      <c r="I1397">
        <v>7.7641149000000007E-2</v>
      </c>
      <c r="J1397">
        <v>70</v>
      </c>
      <c r="K1397">
        <v>901.58377229999996</v>
      </c>
      <c r="L1397">
        <v>0.89800000000000002</v>
      </c>
      <c r="M1397">
        <v>0.75714285699999995</v>
      </c>
      <c r="N1397">
        <v>0</v>
      </c>
      <c r="O1397" t="s">
        <v>620</v>
      </c>
      <c r="P1397">
        <f t="shared" si="191"/>
        <v>29.662727270000001</v>
      </c>
      <c r="Q1397">
        <f t="shared" si="192"/>
        <v>1.452380952380952E-2</v>
      </c>
      <c r="R1397">
        <f t="shared" si="193"/>
        <v>2.0178861788617868E-2</v>
      </c>
      <c r="S1397">
        <f t="shared" si="194"/>
        <v>0.89800000000000002</v>
      </c>
      <c r="T1397">
        <f t="shared" si="195"/>
        <v>2.0047367888780485</v>
      </c>
      <c r="U1397">
        <f t="shared" si="196"/>
        <v>8.2185227269999999</v>
      </c>
      <c r="V1397">
        <f t="shared" si="197"/>
        <v>4.0705882352941189E-2</v>
      </c>
      <c r="W1397">
        <f t="shared" si="198"/>
        <v>5.2166666666666632E-2</v>
      </c>
      <c r="X1397">
        <f t="shared" si="199"/>
        <v>1</v>
      </c>
      <c r="Y1397">
        <v>27.379622080000001</v>
      </c>
      <c r="Z1397">
        <v>0</v>
      </c>
      <c r="AA1397">
        <v>88250</v>
      </c>
      <c r="AB1397">
        <v>31723</v>
      </c>
      <c r="AC1397">
        <v>1.0795895999999999E-2</v>
      </c>
      <c r="AD1397">
        <v>0.817760245</v>
      </c>
      <c r="AF1397">
        <v>29.662727270000001</v>
      </c>
      <c r="AG1397">
        <v>0</v>
      </c>
      <c r="AH1397">
        <v>0</v>
      </c>
      <c r="AI1397">
        <v>0.89800000000000002</v>
      </c>
      <c r="AK1397">
        <v>8.2185227269999999</v>
      </c>
      <c r="AL1397">
        <v>0</v>
      </c>
      <c r="AM1397">
        <v>0</v>
      </c>
      <c r="AN1397">
        <v>1</v>
      </c>
    </row>
    <row r="1398" spans="1:40">
      <c r="A1398">
        <v>3466</v>
      </c>
      <c r="B1398" t="s">
        <v>698</v>
      </c>
      <c r="C1398" t="s">
        <v>693</v>
      </c>
      <c r="D1398" t="s">
        <v>694</v>
      </c>
      <c r="E1398">
        <v>0</v>
      </c>
      <c r="F1398">
        <v>0</v>
      </c>
      <c r="G1398">
        <v>42.840581559999997</v>
      </c>
      <c r="H1398">
        <v>136</v>
      </c>
      <c r="I1398">
        <v>6.6965500999999997E-2</v>
      </c>
      <c r="J1398">
        <v>136</v>
      </c>
      <c r="K1398">
        <v>2030.8964759999999</v>
      </c>
      <c r="L1398">
        <v>0.89200000000000002</v>
      </c>
      <c r="M1398" s="515">
        <v>1</v>
      </c>
      <c r="N1398">
        <v>0</v>
      </c>
      <c r="O1398" t="s">
        <v>625</v>
      </c>
      <c r="P1398">
        <f t="shared" si="191"/>
        <v>21.013999999999999</v>
      </c>
      <c r="Q1398">
        <f t="shared" si="192"/>
        <v>1.452380952380952E-2</v>
      </c>
      <c r="R1398">
        <f t="shared" si="193"/>
        <v>1.7000000000000001E-2</v>
      </c>
      <c r="S1398">
        <f t="shared" si="194"/>
        <v>0.89200000000000002</v>
      </c>
      <c r="T1398">
        <f t="shared" si="195"/>
        <v>0.72499999999999998</v>
      </c>
      <c r="U1398">
        <f t="shared" si="196"/>
        <v>10.18242991</v>
      </c>
      <c r="V1398">
        <f t="shared" si="197"/>
        <v>4.0705882352941189E-2</v>
      </c>
      <c r="W1398">
        <f t="shared" si="198"/>
        <v>5.2166666666666632E-2</v>
      </c>
      <c r="X1398">
        <f t="shared" si="199"/>
        <v>1</v>
      </c>
      <c r="Y1398">
        <v>5.8938741319999997</v>
      </c>
      <c r="Z1398">
        <v>0</v>
      </c>
      <c r="AA1398">
        <v>88250</v>
      </c>
      <c r="AB1398">
        <v>31723</v>
      </c>
      <c r="AC1398">
        <v>1.0795895999999999E-2</v>
      </c>
      <c r="AD1398">
        <v>0.817760245</v>
      </c>
      <c r="AF1398">
        <v>21.013999999999999</v>
      </c>
      <c r="AG1398">
        <v>0</v>
      </c>
      <c r="AH1398">
        <v>1.7000000000000001E-2</v>
      </c>
      <c r="AI1398">
        <v>0.89200000000000002</v>
      </c>
      <c r="AJ1398">
        <v>0.72499999999999998</v>
      </c>
      <c r="AK1398">
        <v>10.18242991</v>
      </c>
      <c r="AL1398">
        <v>0</v>
      </c>
      <c r="AM1398">
        <v>0</v>
      </c>
      <c r="AN1398">
        <v>1</v>
      </c>
    </row>
    <row r="1399" spans="1:40">
      <c r="A1399">
        <v>3467</v>
      </c>
      <c r="B1399" t="s">
        <v>698</v>
      </c>
      <c r="C1399" t="s">
        <v>693</v>
      </c>
      <c r="D1399" t="s">
        <v>694</v>
      </c>
      <c r="E1399">
        <v>1</v>
      </c>
      <c r="F1399">
        <v>4</v>
      </c>
      <c r="G1399">
        <v>171.3234985</v>
      </c>
      <c r="H1399">
        <v>1024</v>
      </c>
      <c r="I1399">
        <v>0.26779087200000001</v>
      </c>
      <c r="J1399">
        <v>1028</v>
      </c>
      <c r="K1399">
        <v>3838.816433</v>
      </c>
      <c r="L1399">
        <v>0.875</v>
      </c>
      <c r="M1399">
        <v>0.99902438999999998</v>
      </c>
      <c r="N1399">
        <v>0</v>
      </c>
      <c r="O1399" t="s">
        <v>620</v>
      </c>
      <c r="P1399">
        <f t="shared" si="191"/>
        <v>20.177363639999999</v>
      </c>
      <c r="Q1399">
        <f t="shared" si="192"/>
        <v>1.452380952380952E-2</v>
      </c>
      <c r="R1399">
        <f t="shared" si="193"/>
        <v>8.9999999999999993E-3</v>
      </c>
      <c r="S1399">
        <f t="shared" si="194"/>
        <v>0.875</v>
      </c>
      <c r="T1399">
        <f t="shared" si="195"/>
        <v>2.3612500000000001</v>
      </c>
      <c r="U1399">
        <f t="shared" si="196"/>
        <v>10.115672959999999</v>
      </c>
      <c r="V1399">
        <f t="shared" si="197"/>
        <v>4.0705882352941189E-2</v>
      </c>
      <c r="W1399">
        <f t="shared" si="198"/>
        <v>5.2166666666666632E-2</v>
      </c>
      <c r="X1399">
        <f t="shared" si="199"/>
        <v>1</v>
      </c>
      <c r="Y1399">
        <v>5.8938741319999997</v>
      </c>
      <c r="Z1399">
        <v>0</v>
      </c>
      <c r="AA1399">
        <v>88250</v>
      </c>
      <c r="AB1399">
        <v>31723</v>
      </c>
      <c r="AC1399">
        <v>1.0795895999999999E-2</v>
      </c>
      <c r="AD1399">
        <v>0.817760245</v>
      </c>
      <c r="AF1399">
        <v>20.177363639999999</v>
      </c>
      <c r="AG1399">
        <v>0</v>
      </c>
      <c r="AH1399">
        <v>8.9999999999999993E-3</v>
      </c>
      <c r="AI1399">
        <v>0.875</v>
      </c>
      <c r="AJ1399">
        <v>2.3612500000000001</v>
      </c>
      <c r="AK1399">
        <v>10.115672959999999</v>
      </c>
      <c r="AL1399">
        <v>0</v>
      </c>
      <c r="AM1399">
        <v>0</v>
      </c>
      <c r="AN1399">
        <v>1</v>
      </c>
    </row>
    <row r="1400" spans="1:40">
      <c r="A1400">
        <v>3468</v>
      </c>
      <c r="B1400" t="s">
        <v>698</v>
      </c>
      <c r="C1400" t="s">
        <v>693</v>
      </c>
      <c r="D1400" t="s">
        <v>694</v>
      </c>
      <c r="E1400">
        <v>45</v>
      </c>
      <c r="F1400">
        <v>174</v>
      </c>
      <c r="G1400">
        <v>63.963061070000002</v>
      </c>
      <c r="H1400">
        <v>3</v>
      </c>
      <c r="I1400">
        <v>9.9992062000000007E-2</v>
      </c>
      <c r="J1400">
        <v>177</v>
      </c>
      <c r="K1400">
        <v>1770.1405139999999</v>
      </c>
      <c r="L1400">
        <v>0.95499999999999996</v>
      </c>
      <c r="M1400">
        <v>6.25E-2</v>
      </c>
      <c r="N1400">
        <v>0</v>
      </c>
      <c r="O1400" t="s">
        <v>625</v>
      </c>
      <c r="P1400">
        <f t="shared" si="191"/>
        <v>4.91</v>
      </c>
      <c r="Q1400">
        <f t="shared" si="192"/>
        <v>1.452380952380952E-2</v>
      </c>
      <c r="R1400">
        <f t="shared" si="193"/>
        <v>2.0178861788617868E-2</v>
      </c>
      <c r="S1400">
        <f t="shared" si="194"/>
        <v>0.95499999999999996</v>
      </c>
      <c r="T1400">
        <f t="shared" si="195"/>
        <v>2.0047367888780485</v>
      </c>
      <c r="U1400">
        <f t="shared" si="196"/>
        <v>7.041428571</v>
      </c>
      <c r="V1400">
        <f t="shared" si="197"/>
        <v>4.0705882352941189E-2</v>
      </c>
      <c r="W1400">
        <f t="shared" si="198"/>
        <v>5.2166666666666632E-2</v>
      </c>
      <c r="X1400">
        <f t="shared" si="199"/>
        <v>1</v>
      </c>
      <c r="Y1400">
        <v>5.8938741319999997</v>
      </c>
      <c r="Z1400">
        <v>0</v>
      </c>
      <c r="AA1400">
        <v>88250</v>
      </c>
      <c r="AB1400">
        <v>31723</v>
      </c>
      <c r="AC1400">
        <v>1.0795895999999999E-2</v>
      </c>
      <c r="AD1400">
        <v>0.817760245</v>
      </c>
      <c r="AF1400">
        <v>4.91</v>
      </c>
      <c r="AG1400">
        <v>0</v>
      </c>
      <c r="AH1400">
        <v>0</v>
      </c>
      <c r="AI1400">
        <v>0.95499999999999996</v>
      </c>
      <c r="AK1400">
        <v>7.041428571</v>
      </c>
      <c r="AL1400">
        <v>0</v>
      </c>
      <c r="AM1400">
        <v>0</v>
      </c>
      <c r="AN1400">
        <v>1</v>
      </c>
    </row>
    <row r="1401" spans="1:40">
      <c r="A1401">
        <v>3469</v>
      </c>
      <c r="B1401" t="s">
        <v>698</v>
      </c>
      <c r="C1401" t="s">
        <v>693</v>
      </c>
      <c r="D1401" t="s">
        <v>694</v>
      </c>
      <c r="E1401">
        <v>56</v>
      </c>
      <c r="F1401">
        <v>56</v>
      </c>
      <c r="G1401">
        <v>178.24986430000001</v>
      </c>
      <c r="H1401">
        <v>2082</v>
      </c>
      <c r="I1401">
        <v>0.278627811</v>
      </c>
      <c r="J1401">
        <v>2138</v>
      </c>
      <c r="K1401">
        <v>7673.3187269999999</v>
      </c>
      <c r="L1401">
        <v>0.81399999999999995</v>
      </c>
      <c r="M1401">
        <v>0.97380729700000002</v>
      </c>
      <c r="N1401">
        <v>0</v>
      </c>
      <c r="O1401" t="s">
        <v>620</v>
      </c>
      <c r="P1401">
        <f t="shared" si="191"/>
        <v>19.14930403</v>
      </c>
      <c r="Q1401">
        <f t="shared" si="192"/>
        <v>1.0999999999999999E-2</v>
      </c>
      <c r="R1401">
        <f t="shared" si="193"/>
        <v>2.8000000000000001E-2</v>
      </c>
      <c r="S1401">
        <f t="shared" si="194"/>
        <v>0.81399999999999995</v>
      </c>
      <c r="T1401">
        <f t="shared" si="195"/>
        <v>1.9320689660000001</v>
      </c>
      <c r="U1401">
        <f t="shared" si="196"/>
        <v>9.7816828680000008</v>
      </c>
      <c r="V1401">
        <f t="shared" si="197"/>
        <v>0.04</v>
      </c>
      <c r="W1401">
        <f t="shared" si="198"/>
        <v>6.8000000000000005E-2</v>
      </c>
      <c r="X1401">
        <f t="shared" si="199"/>
        <v>0.84499999999999997</v>
      </c>
      <c r="Y1401">
        <v>5.9175531750000001</v>
      </c>
      <c r="Z1401">
        <v>0</v>
      </c>
      <c r="AA1401">
        <v>88250</v>
      </c>
      <c r="AB1401">
        <v>31723</v>
      </c>
      <c r="AC1401">
        <v>1.0795895999999999E-2</v>
      </c>
      <c r="AD1401">
        <v>0.817760245</v>
      </c>
      <c r="AF1401">
        <v>19.14930403</v>
      </c>
      <c r="AG1401">
        <v>1.0999999999999999E-2</v>
      </c>
      <c r="AH1401">
        <v>2.8000000000000001E-2</v>
      </c>
      <c r="AI1401">
        <v>0.81399999999999995</v>
      </c>
      <c r="AJ1401">
        <v>1.9320689660000001</v>
      </c>
      <c r="AK1401">
        <v>9.7816828680000008</v>
      </c>
      <c r="AL1401">
        <v>0.04</v>
      </c>
      <c r="AM1401">
        <v>6.8000000000000005E-2</v>
      </c>
      <c r="AN1401">
        <v>0.84499999999999997</v>
      </c>
    </row>
    <row r="1402" spans="1:40">
      <c r="A1402">
        <v>3470</v>
      </c>
      <c r="B1402" t="s">
        <v>698</v>
      </c>
      <c r="C1402" t="s">
        <v>693</v>
      </c>
      <c r="D1402" t="s">
        <v>694</v>
      </c>
      <c r="E1402">
        <v>0</v>
      </c>
      <c r="F1402">
        <v>0</v>
      </c>
      <c r="G1402">
        <v>93.372407559999999</v>
      </c>
      <c r="H1402">
        <v>2320</v>
      </c>
      <c r="I1402">
        <v>0.14594927899999999</v>
      </c>
      <c r="J1402">
        <v>2320</v>
      </c>
      <c r="K1402">
        <v>15895.93327</v>
      </c>
      <c r="L1402">
        <v>0.80400000000000005</v>
      </c>
      <c r="M1402" s="515">
        <v>1</v>
      </c>
      <c r="N1402">
        <v>0</v>
      </c>
      <c r="O1402" t="s">
        <v>620</v>
      </c>
      <c r="P1402">
        <f t="shared" si="191"/>
        <v>20.383564360000001</v>
      </c>
      <c r="Q1402">
        <f t="shared" si="192"/>
        <v>2.1000000000000001E-2</v>
      </c>
      <c r="R1402">
        <f t="shared" si="193"/>
        <v>3.3000000000000002E-2</v>
      </c>
      <c r="S1402">
        <f t="shared" si="194"/>
        <v>0.80400000000000005</v>
      </c>
      <c r="T1402">
        <f t="shared" si="195"/>
        <v>3.0117857140000002</v>
      </c>
      <c r="U1402">
        <f t="shared" si="196"/>
        <v>15.57469985</v>
      </c>
      <c r="V1402">
        <f t="shared" si="197"/>
        <v>4.1000000000000002E-2</v>
      </c>
      <c r="W1402">
        <f t="shared" si="198"/>
        <v>5.2999999999999999E-2</v>
      </c>
      <c r="X1402">
        <f t="shared" si="199"/>
        <v>0.88900000000000001</v>
      </c>
      <c r="Y1402">
        <v>5.8938741319999997</v>
      </c>
      <c r="Z1402">
        <v>0</v>
      </c>
      <c r="AA1402">
        <v>88250</v>
      </c>
      <c r="AB1402">
        <v>31723</v>
      </c>
      <c r="AC1402">
        <v>1.0795895999999999E-2</v>
      </c>
      <c r="AD1402">
        <v>0.817760245</v>
      </c>
      <c r="AF1402">
        <v>20.383564360000001</v>
      </c>
      <c r="AG1402">
        <v>2.1000000000000001E-2</v>
      </c>
      <c r="AH1402">
        <v>3.3000000000000002E-2</v>
      </c>
      <c r="AI1402">
        <v>0.80400000000000005</v>
      </c>
      <c r="AJ1402">
        <v>3.0117857140000002</v>
      </c>
      <c r="AK1402">
        <v>15.57469985</v>
      </c>
      <c r="AL1402">
        <v>4.1000000000000002E-2</v>
      </c>
      <c r="AM1402">
        <v>5.2999999999999999E-2</v>
      </c>
      <c r="AN1402">
        <v>0.88900000000000001</v>
      </c>
    </row>
    <row r="1403" spans="1:40">
      <c r="A1403">
        <v>3471</v>
      </c>
      <c r="B1403" t="s">
        <v>698</v>
      </c>
      <c r="C1403" t="s">
        <v>693</v>
      </c>
      <c r="D1403" t="s">
        <v>694</v>
      </c>
      <c r="E1403">
        <v>0</v>
      </c>
      <c r="F1403">
        <v>0</v>
      </c>
      <c r="G1403">
        <v>96.879967109999996</v>
      </c>
      <c r="H1403">
        <v>1039</v>
      </c>
      <c r="I1403">
        <v>0.151431643</v>
      </c>
      <c r="J1403">
        <v>1039</v>
      </c>
      <c r="K1403">
        <v>6861.1815829999996</v>
      </c>
      <c r="L1403">
        <v>0.90500000000000003</v>
      </c>
      <c r="M1403" s="515">
        <v>1</v>
      </c>
      <c r="N1403">
        <v>0</v>
      </c>
      <c r="O1403" t="s">
        <v>620</v>
      </c>
      <c r="P1403">
        <f t="shared" si="191"/>
        <v>20.303965519999998</v>
      </c>
      <c r="Q1403">
        <f t="shared" si="192"/>
        <v>1.452380952380952E-2</v>
      </c>
      <c r="R1403">
        <f t="shared" si="193"/>
        <v>0.01</v>
      </c>
      <c r="S1403">
        <f t="shared" si="194"/>
        <v>0.90500000000000003</v>
      </c>
      <c r="T1403">
        <f t="shared" si="195"/>
        <v>2.2949999999999999</v>
      </c>
      <c r="U1403">
        <f t="shared" si="196"/>
        <v>15.9825876</v>
      </c>
      <c r="V1403">
        <f t="shared" si="197"/>
        <v>2.1999999999999999E-2</v>
      </c>
      <c r="W1403">
        <f t="shared" si="198"/>
        <v>5.2166666666666632E-2</v>
      </c>
      <c r="X1403">
        <f t="shared" si="199"/>
        <v>0.97799999999999998</v>
      </c>
      <c r="Y1403">
        <v>5.8938741319999997</v>
      </c>
      <c r="Z1403">
        <v>0</v>
      </c>
      <c r="AA1403">
        <v>88250</v>
      </c>
      <c r="AB1403">
        <v>31723</v>
      </c>
      <c r="AC1403">
        <v>1.0795895999999999E-2</v>
      </c>
      <c r="AD1403">
        <v>0.817760245</v>
      </c>
      <c r="AF1403">
        <v>20.303965519999998</v>
      </c>
      <c r="AG1403">
        <v>0</v>
      </c>
      <c r="AH1403">
        <v>0.01</v>
      </c>
      <c r="AI1403">
        <v>0.90500000000000003</v>
      </c>
      <c r="AJ1403">
        <v>2.2949999999999999</v>
      </c>
      <c r="AK1403">
        <v>15.9825876</v>
      </c>
      <c r="AL1403">
        <v>2.1999999999999999E-2</v>
      </c>
      <c r="AM1403">
        <v>0</v>
      </c>
      <c r="AN1403">
        <v>0.97799999999999998</v>
      </c>
    </row>
    <row r="1404" spans="1:40">
      <c r="A1404">
        <v>3472</v>
      </c>
      <c r="B1404" t="s">
        <v>707</v>
      </c>
      <c r="C1404" t="s">
        <v>693</v>
      </c>
      <c r="D1404" t="s">
        <v>694</v>
      </c>
      <c r="E1404">
        <v>1</v>
      </c>
      <c r="F1404">
        <v>16</v>
      </c>
      <c r="G1404">
        <v>139.71268559999999</v>
      </c>
      <c r="H1404">
        <v>0</v>
      </c>
      <c r="I1404">
        <v>0.218400119</v>
      </c>
      <c r="J1404">
        <v>16</v>
      </c>
      <c r="K1404">
        <v>73.260033340000007</v>
      </c>
      <c r="L1404">
        <v>0.5</v>
      </c>
      <c r="M1404">
        <v>0</v>
      </c>
      <c r="N1404">
        <v>0</v>
      </c>
      <c r="O1404" t="s">
        <v>625</v>
      </c>
      <c r="P1404">
        <f t="shared" si="191"/>
        <v>18.273803565652177</v>
      </c>
      <c r="Q1404">
        <f t="shared" si="192"/>
        <v>2.0450000000000006E-2</v>
      </c>
      <c r="R1404">
        <f t="shared" si="193"/>
        <v>7.2846153846153852E-2</v>
      </c>
      <c r="S1404">
        <f t="shared" si="194"/>
        <v>0.5</v>
      </c>
      <c r="T1404">
        <f t="shared" si="195"/>
        <v>2.2191326312692303</v>
      </c>
      <c r="U1404">
        <f t="shared" si="196"/>
        <v>10.88</v>
      </c>
      <c r="V1404">
        <f t="shared" si="197"/>
        <v>0.11835714285714286</v>
      </c>
      <c r="W1404">
        <f t="shared" si="198"/>
        <v>8.5526315789473686E-2</v>
      </c>
      <c r="X1404">
        <f t="shared" si="199"/>
        <v>0.94647826086956499</v>
      </c>
      <c r="Y1404">
        <v>5.8938741319999997</v>
      </c>
      <c r="Z1404">
        <v>0</v>
      </c>
      <c r="AA1404">
        <v>21149</v>
      </c>
      <c r="AB1404">
        <v>6968</v>
      </c>
      <c r="AC1404">
        <v>1.6645858999999999E-2</v>
      </c>
      <c r="AD1404">
        <v>0.89069218999999999</v>
      </c>
      <c r="AG1404">
        <v>0</v>
      </c>
      <c r="AH1404">
        <v>0</v>
      </c>
      <c r="AI1404">
        <v>0.5</v>
      </c>
      <c r="AK1404">
        <v>10.88</v>
      </c>
    </row>
    <row r="1405" spans="1:40">
      <c r="A1405">
        <v>3473</v>
      </c>
      <c r="B1405" t="s">
        <v>698</v>
      </c>
      <c r="C1405" t="s">
        <v>693</v>
      </c>
      <c r="D1405" t="s">
        <v>694</v>
      </c>
      <c r="E1405">
        <v>295</v>
      </c>
      <c r="F1405">
        <v>1019</v>
      </c>
      <c r="G1405">
        <v>76.741960779999999</v>
      </c>
      <c r="H1405">
        <v>0</v>
      </c>
      <c r="I1405">
        <v>0.119960781</v>
      </c>
      <c r="J1405">
        <v>1019</v>
      </c>
      <c r="K1405">
        <v>8494.4428630000002</v>
      </c>
      <c r="L1405">
        <v>0.77800000000000002</v>
      </c>
      <c r="M1405">
        <v>0</v>
      </c>
      <c r="N1405">
        <v>0</v>
      </c>
      <c r="O1405" t="s">
        <v>625</v>
      </c>
      <c r="P1405">
        <f t="shared" si="191"/>
        <v>16.17938272</v>
      </c>
      <c r="Q1405">
        <f t="shared" si="192"/>
        <v>1.4999999999999999E-2</v>
      </c>
      <c r="R1405">
        <f t="shared" si="193"/>
        <v>0.02</v>
      </c>
      <c r="S1405">
        <f t="shared" si="194"/>
        <v>0.77800000000000002</v>
      </c>
      <c r="T1405">
        <f t="shared" si="195"/>
        <v>2.0249999999999999</v>
      </c>
      <c r="U1405">
        <f t="shared" si="196"/>
        <v>8.981826281</v>
      </c>
      <c r="V1405">
        <f t="shared" si="197"/>
        <v>2.1999999999999999E-2</v>
      </c>
      <c r="W1405">
        <f t="shared" si="198"/>
        <v>4.4999999999999998E-2</v>
      </c>
      <c r="X1405">
        <f t="shared" si="199"/>
        <v>0.91</v>
      </c>
      <c r="Y1405">
        <v>6.1183089590000002</v>
      </c>
      <c r="Z1405">
        <v>0</v>
      </c>
      <c r="AA1405">
        <v>88250</v>
      </c>
      <c r="AB1405">
        <v>31723</v>
      </c>
      <c r="AC1405">
        <v>1.0795895999999999E-2</v>
      </c>
      <c r="AD1405">
        <v>0.817760245</v>
      </c>
      <c r="AF1405">
        <v>16.17938272</v>
      </c>
      <c r="AG1405">
        <v>1.4999999999999999E-2</v>
      </c>
      <c r="AH1405">
        <v>0.02</v>
      </c>
      <c r="AI1405">
        <v>0.77800000000000002</v>
      </c>
      <c r="AJ1405">
        <v>2.0249999999999999</v>
      </c>
      <c r="AK1405">
        <v>8.981826281</v>
      </c>
      <c r="AL1405">
        <v>2.1999999999999999E-2</v>
      </c>
      <c r="AM1405">
        <v>4.4999999999999998E-2</v>
      </c>
      <c r="AN1405">
        <v>0.91</v>
      </c>
    </row>
    <row r="1406" spans="1:40">
      <c r="A1406">
        <v>3474</v>
      </c>
      <c r="B1406" t="s">
        <v>698</v>
      </c>
      <c r="C1406" t="s">
        <v>693</v>
      </c>
      <c r="D1406" t="s">
        <v>694</v>
      </c>
      <c r="E1406">
        <v>239</v>
      </c>
      <c r="F1406">
        <v>951</v>
      </c>
      <c r="G1406">
        <v>153.44470920000001</v>
      </c>
      <c r="H1406">
        <v>68</v>
      </c>
      <c r="I1406">
        <v>0.23985230699999999</v>
      </c>
      <c r="J1406">
        <v>1019</v>
      </c>
      <c r="K1406">
        <v>4248.4477749999996</v>
      </c>
      <c r="L1406">
        <v>0.78500000000000003</v>
      </c>
      <c r="M1406">
        <v>0.221498371</v>
      </c>
      <c r="N1406">
        <v>0</v>
      </c>
      <c r="O1406" t="s">
        <v>625</v>
      </c>
      <c r="P1406">
        <f t="shared" si="191"/>
        <v>19.084128440000001</v>
      </c>
      <c r="Q1406">
        <f t="shared" si="192"/>
        <v>8.0000000000000002E-3</v>
      </c>
      <c r="R1406">
        <f t="shared" si="193"/>
        <v>2.8000000000000001E-2</v>
      </c>
      <c r="S1406">
        <f t="shared" si="194"/>
        <v>0.78500000000000003</v>
      </c>
      <c r="T1406">
        <f t="shared" si="195"/>
        <v>2.5121428570000002</v>
      </c>
      <c r="U1406">
        <f t="shared" si="196"/>
        <v>10.96311828</v>
      </c>
      <c r="V1406">
        <f t="shared" si="197"/>
        <v>1.7999999999999999E-2</v>
      </c>
      <c r="W1406">
        <f t="shared" si="198"/>
        <v>1.7999999999999999E-2</v>
      </c>
      <c r="X1406">
        <f t="shared" si="199"/>
        <v>0.95599999999999996</v>
      </c>
      <c r="Y1406">
        <v>5.9838694510000003</v>
      </c>
      <c r="Z1406">
        <v>0</v>
      </c>
      <c r="AA1406">
        <v>88250</v>
      </c>
      <c r="AB1406">
        <v>31723</v>
      </c>
      <c r="AC1406">
        <v>1.0795895999999999E-2</v>
      </c>
      <c r="AD1406">
        <v>0.817760245</v>
      </c>
      <c r="AF1406">
        <v>19.084128440000001</v>
      </c>
      <c r="AG1406">
        <v>8.0000000000000002E-3</v>
      </c>
      <c r="AH1406">
        <v>2.8000000000000001E-2</v>
      </c>
      <c r="AI1406">
        <v>0.78500000000000003</v>
      </c>
      <c r="AJ1406">
        <v>2.5121428570000002</v>
      </c>
      <c r="AK1406">
        <v>10.96311828</v>
      </c>
      <c r="AL1406">
        <v>1.7999999999999999E-2</v>
      </c>
      <c r="AM1406">
        <v>1.7999999999999999E-2</v>
      </c>
      <c r="AN1406">
        <v>0.95599999999999996</v>
      </c>
    </row>
    <row r="1407" spans="1:40">
      <c r="A1407">
        <v>3475</v>
      </c>
      <c r="B1407" t="s">
        <v>707</v>
      </c>
      <c r="C1407" t="s">
        <v>693</v>
      </c>
      <c r="D1407" t="s">
        <v>694</v>
      </c>
      <c r="E1407">
        <v>3</v>
      </c>
      <c r="F1407">
        <v>13</v>
      </c>
      <c r="G1407">
        <v>217.36879039999999</v>
      </c>
      <c r="H1407">
        <v>0</v>
      </c>
      <c r="I1407">
        <v>0.33976784199999999</v>
      </c>
      <c r="J1407">
        <v>13</v>
      </c>
      <c r="K1407">
        <v>38.261419689999997</v>
      </c>
      <c r="L1407" s="515">
        <v>1</v>
      </c>
      <c r="M1407">
        <v>0</v>
      </c>
      <c r="N1407">
        <v>0</v>
      </c>
      <c r="O1407" t="s">
        <v>625</v>
      </c>
      <c r="P1407">
        <f t="shared" si="191"/>
        <v>11.955</v>
      </c>
      <c r="Q1407">
        <f t="shared" si="192"/>
        <v>2.0450000000000006E-2</v>
      </c>
      <c r="R1407">
        <f t="shared" si="193"/>
        <v>7.2846153846153852E-2</v>
      </c>
      <c r="S1407">
        <f t="shared" si="194"/>
        <v>1</v>
      </c>
      <c r="T1407">
        <f t="shared" si="195"/>
        <v>2.2191326312692303</v>
      </c>
      <c r="U1407">
        <f t="shared" si="196"/>
        <v>10.762499999999999</v>
      </c>
      <c r="V1407">
        <f t="shared" si="197"/>
        <v>0.11835714285714286</v>
      </c>
      <c r="W1407">
        <f t="shared" si="198"/>
        <v>8.5526315789473686E-2</v>
      </c>
      <c r="X1407">
        <f t="shared" si="199"/>
        <v>1</v>
      </c>
      <c r="Y1407">
        <v>5.8938741319999997</v>
      </c>
      <c r="Z1407">
        <v>0</v>
      </c>
      <c r="AA1407">
        <v>21149</v>
      </c>
      <c r="AB1407">
        <v>6968</v>
      </c>
      <c r="AC1407">
        <v>1.6645858999999999E-2</v>
      </c>
      <c r="AD1407">
        <v>0.89069218999999999</v>
      </c>
      <c r="AF1407">
        <v>11.955</v>
      </c>
      <c r="AG1407">
        <v>0</v>
      </c>
      <c r="AH1407">
        <v>0</v>
      </c>
      <c r="AI1407">
        <v>1</v>
      </c>
      <c r="AK1407">
        <v>10.762499999999999</v>
      </c>
      <c r="AL1407">
        <v>0</v>
      </c>
      <c r="AM1407">
        <v>0</v>
      </c>
      <c r="AN1407">
        <v>1</v>
      </c>
    </row>
    <row r="1408" spans="1:40">
      <c r="A1408">
        <v>3476</v>
      </c>
      <c r="B1408" t="s">
        <v>707</v>
      </c>
      <c r="C1408" t="s">
        <v>693</v>
      </c>
      <c r="D1408" t="s">
        <v>694</v>
      </c>
      <c r="E1408">
        <v>26</v>
      </c>
      <c r="F1408">
        <v>83</v>
      </c>
      <c r="G1408">
        <v>2792.8007670000002</v>
      </c>
      <c r="H1408">
        <v>60</v>
      </c>
      <c r="I1408" s="515">
        <v>4.36545424621315</v>
      </c>
      <c r="J1408">
        <v>143</v>
      </c>
      <c r="K1408">
        <v>32.757186750000002</v>
      </c>
      <c r="L1408" s="515">
        <v>1</v>
      </c>
      <c r="M1408">
        <v>0.69767441900000005</v>
      </c>
      <c r="N1408">
        <v>0</v>
      </c>
      <c r="O1408" t="s">
        <v>625</v>
      </c>
      <c r="P1408">
        <f t="shared" si="191"/>
        <v>15.83459459</v>
      </c>
      <c r="Q1408">
        <f t="shared" si="192"/>
        <v>2.0450000000000006E-2</v>
      </c>
      <c r="R1408">
        <f t="shared" si="193"/>
        <v>7.2846153846153852E-2</v>
      </c>
      <c r="S1408">
        <f t="shared" si="194"/>
        <v>1</v>
      </c>
      <c r="T1408">
        <f t="shared" si="195"/>
        <v>2.2191326312692303</v>
      </c>
      <c r="U1408">
        <f t="shared" si="196"/>
        <v>12.117439020000001</v>
      </c>
      <c r="V1408">
        <f t="shared" si="197"/>
        <v>0.11835714285714286</v>
      </c>
      <c r="W1408">
        <f t="shared" si="198"/>
        <v>8.5526315789473686E-2</v>
      </c>
      <c r="X1408">
        <f t="shared" si="199"/>
        <v>1</v>
      </c>
      <c r="Y1408">
        <v>5.8900697150000001</v>
      </c>
      <c r="Z1408">
        <v>0</v>
      </c>
      <c r="AA1408">
        <v>21149</v>
      </c>
      <c r="AB1408">
        <v>6968</v>
      </c>
      <c r="AC1408">
        <v>1.6645858999999999E-2</v>
      </c>
      <c r="AD1408">
        <v>0.89069218999999999</v>
      </c>
      <c r="AF1408">
        <v>15.83459459</v>
      </c>
      <c r="AG1408">
        <v>0</v>
      </c>
      <c r="AH1408">
        <v>0</v>
      </c>
      <c r="AI1408">
        <v>1</v>
      </c>
      <c r="AK1408">
        <v>12.117439020000001</v>
      </c>
      <c r="AL1408">
        <v>0</v>
      </c>
      <c r="AM1408">
        <v>0</v>
      </c>
      <c r="AN1408">
        <v>1</v>
      </c>
    </row>
    <row r="1409" spans="1:40">
      <c r="A1409">
        <v>3477</v>
      </c>
      <c r="B1409" t="s">
        <v>698</v>
      </c>
      <c r="C1409" t="s">
        <v>693</v>
      </c>
      <c r="D1409" t="s">
        <v>694</v>
      </c>
      <c r="E1409">
        <v>158</v>
      </c>
      <c r="F1409">
        <v>259</v>
      </c>
      <c r="G1409">
        <v>62.823051720000002</v>
      </c>
      <c r="H1409">
        <v>0</v>
      </c>
      <c r="I1409">
        <v>9.8197507000000003E-2</v>
      </c>
      <c r="J1409">
        <v>259</v>
      </c>
      <c r="K1409">
        <v>2637.5415010000002</v>
      </c>
      <c r="L1409">
        <v>0.78900000000000003</v>
      </c>
      <c r="M1409">
        <v>0</v>
      </c>
      <c r="N1409">
        <v>0</v>
      </c>
      <c r="O1409" t="s">
        <v>625</v>
      </c>
      <c r="P1409">
        <f t="shared" si="191"/>
        <v>20.527826090000001</v>
      </c>
      <c r="Q1409">
        <f t="shared" si="192"/>
        <v>1.452380952380952E-2</v>
      </c>
      <c r="R1409">
        <f t="shared" si="193"/>
        <v>1.0999999999999999E-2</v>
      </c>
      <c r="S1409">
        <f t="shared" si="194"/>
        <v>0.78900000000000003</v>
      </c>
      <c r="T1409">
        <f t="shared" si="195"/>
        <v>0.83</v>
      </c>
      <c r="U1409">
        <f t="shared" si="196"/>
        <v>8.1826153850000001</v>
      </c>
      <c r="V1409">
        <f t="shared" si="197"/>
        <v>4.0705882352941189E-2</v>
      </c>
      <c r="W1409">
        <f t="shared" si="198"/>
        <v>5.2166666666666632E-2</v>
      </c>
      <c r="X1409">
        <f t="shared" si="199"/>
        <v>1</v>
      </c>
      <c r="Y1409">
        <v>113.17511380000001</v>
      </c>
      <c r="Z1409">
        <v>0</v>
      </c>
      <c r="AA1409">
        <v>88250</v>
      </c>
      <c r="AB1409">
        <v>31723</v>
      </c>
      <c r="AC1409">
        <v>1.0795895999999999E-2</v>
      </c>
      <c r="AD1409">
        <v>0.817760245</v>
      </c>
      <c r="AF1409">
        <v>20.527826090000001</v>
      </c>
      <c r="AG1409">
        <v>0</v>
      </c>
      <c r="AH1409">
        <v>1.0999999999999999E-2</v>
      </c>
      <c r="AI1409">
        <v>0.78900000000000003</v>
      </c>
      <c r="AJ1409">
        <v>0.83</v>
      </c>
      <c r="AK1409">
        <v>8.1826153850000001</v>
      </c>
      <c r="AL1409">
        <v>0</v>
      </c>
      <c r="AM1409">
        <v>0</v>
      </c>
      <c r="AN1409">
        <v>1</v>
      </c>
    </row>
    <row r="1410" spans="1:40">
      <c r="A1410">
        <v>3478</v>
      </c>
      <c r="B1410" t="s">
        <v>698</v>
      </c>
      <c r="C1410" t="s">
        <v>693</v>
      </c>
      <c r="D1410" t="s">
        <v>694</v>
      </c>
      <c r="E1410">
        <v>429</v>
      </c>
      <c r="F1410">
        <v>1254</v>
      </c>
      <c r="G1410">
        <v>114.8140082</v>
      </c>
      <c r="H1410">
        <v>27</v>
      </c>
      <c r="I1410">
        <v>0.17946815299999999</v>
      </c>
      <c r="J1410">
        <v>1281</v>
      </c>
      <c r="K1410">
        <v>7137.7566360000001</v>
      </c>
      <c r="L1410">
        <v>0.84199999999999997</v>
      </c>
      <c r="M1410">
        <v>5.9210525999999999E-2</v>
      </c>
      <c r="N1410">
        <v>0</v>
      </c>
      <c r="O1410" t="s">
        <v>625</v>
      </c>
      <c r="P1410">
        <f t="shared" si="191"/>
        <v>23.361578949999998</v>
      </c>
      <c r="Q1410">
        <f t="shared" si="192"/>
        <v>2E-3</v>
      </c>
      <c r="R1410">
        <f t="shared" si="193"/>
        <v>2.1000000000000001E-2</v>
      </c>
      <c r="S1410">
        <f t="shared" si="194"/>
        <v>0.84199999999999997</v>
      </c>
      <c r="T1410">
        <f t="shared" si="195"/>
        <v>1.340833333</v>
      </c>
      <c r="U1410">
        <f t="shared" si="196"/>
        <v>9.2875268819999999</v>
      </c>
      <c r="V1410">
        <f t="shared" si="197"/>
        <v>4.0705882352941189E-2</v>
      </c>
      <c r="W1410">
        <f t="shared" si="198"/>
        <v>5.2166666666666632E-2</v>
      </c>
      <c r="X1410">
        <f t="shared" si="199"/>
        <v>0.97899999999999998</v>
      </c>
      <c r="Y1410">
        <v>113.0769884</v>
      </c>
      <c r="Z1410">
        <v>0</v>
      </c>
      <c r="AA1410">
        <v>88250</v>
      </c>
      <c r="AB1410">
        <v>31723</v>
      </c>
      <c r="AC1410">
        <v>1.0795895999999999E-2</v>
      </c>
      <c r="AD1410">
        <v>0.817760245</v>
      </c>
      <c r="AF1410">
        <v>23.361578949999998</v>
      </c>
      <c r="AG1410">
        <v>2E-3</v>
      </c>
      <c r="AH1410">
        <v>2.1000000000000001E-2</v>
      </c>
      <c r="AI1410">
        <v>0.84199999999999997</v>
      </c>
      <c r="AJ1410">
        <v>1.340833333</v>
      </c>
      <c r="AK1410">
        <v>9.2875268819999999</v>
      </c>
      <c r="AL1410">
        <v>0</v>
      </c>
      <c r="AM1410">
        <v>0</v>
      </c>
      <c r="AN1410">
        <v>0.97899999999999998</v>
      </c>
    </row>
    <row r="1411" spans="1:40">
      <c r="A1411">
        <v>3479</v>
      </c>
      <c r="B1411" t="s">
        <v>707</v>
      </c>
      <c r="C1411" t="s">
        <v>693</v>
      </c>
      <c r="D1411" t="s">
        <v>694</v>
      </c>
      <c r="E1411">
        <v>97</v>
      </c>
      <c r="F1411">
        <v>306</v>
      </c>
      <c r="G1411">
        <v>19512.445899999999</v>
      </c>
      <c r="H1411">
        <v>2539</v>
      </c>
      <c r="I1411" s="515">
        <v>30.5005584536596</v>
      </c>
      <c r="J1411">
        <v>2845</v>
      </c>
      <c r="K1411">
        <v>93.276980629999997</v>
      </c>
      <c r="L1411" s="515">
        <v>1</v>
      </c>
      <c r="M1411">
        <v>0.96320182099999996</v>
      </c>
      <c r="N1411">
        <v>0</v>
      </c>
      <c r="O1411" t="s">
        <v>625</v>
      </c>
      <c r="P1411">
        <f t="shared" si="191"/>
        <v>21.37226695</v>
      </c>
      <c r="Q1411">
        <f t="shared" si="192"/>
        <v>2.0450000000000006E-2</v>
      </c>
      <c r="R1411">
        <f t="shared" si="193"/>
        <v>7.2846153846153852E-2</v>
      </c>
      <c r="S1411">
        <f t="shared" si="194"/>
        <v>1</v>
      </c>
      <c r="T1411">
        <f t="shared" si="195"/>
        <v>2.2191326312692303</v>
      </c>
      <c r="U1411">
        <f t="shared" si="196"/>
        <v>18.535810000000001</v>
      </c>
      <c r="V1411">
        <f t="shared" si="197"/>
        <v>0.11835714285714286</v>
      </c>
      <c r="W1411">
        <f t="shared" si="198"/>
        <v>8.5526315789473686E-2</v>
      </c>
      <c r="X1411">
        <f t="shared" si="199"/>
        <v>1</v>
      </c>
      <c r="Y1411">
        <v>0.70230030799999998</v>
      </c>
      <c r="Z1411">
        <v>0</v>
      </c>
      <c r="AA1411">
        <v>21149</v>
      </c>
      <c r="AB1411">
        <v>6968</v>
      </c>
      <c r="AC1411">
        <v>1.6645858999999999E-2</v>
      </c>
      <c r="AD1411">
        <v>0.89069218999999999</v>
      </c>
      <c r="AF1411">
        <v>21.37226695</v>
      </c>
      <c r="AG1411">
        <v>0</v>
      </c>
      <c r="AH1411">
        <v>0</v>
      </c>
      <c r="AI1411">
        <v>1</v>
      </c>
      <c r="AK1411">
        <v>18.535810000000001</v>
      </c>
      <c r="AL1411">
        <v>0</v>
      </c>
      <c r="AM1411">
        <v>0</v>
      </c>
      <c r="AN1411">
        <v>1</v>
      </c>
    </row>
    <row r="1412" spans="1:40">
      <c r="A1412">
        <v>3480</v>
      </c>
      <c r="B1412" t="s">
        <v>698</v>
      </c>
      <c r="C1412" t="s">
        <v>693</v>
      </c>
      <c r="D1412" t="s">
        <v>694</v>
      </c>
      <c r="E1412">
        <v>0</v>
      </c>
      <c r="F1412">
        <v>1</v>
      </c>
      <c r="G1412">
        <v>27.28314263</v>
      </c>
      <c r="H1412">
        <v>0</v>
      </c>
      <c r="I1412">
        <v>4.2639349E-2</v>
      </c>
      <c r="J1412">
        <v>1</v>
      </c>
      <c r="K1412">
        <v>23.45251566</v>
      </c>
      <c r="L1412"/>
      <c r="M1412">
        <v>0</v>
      </c>
      <c r="N1412">
        <v>0</v>
      </c>
      <c r="O1412" t="s">
        <v>625</v>
      </c>
      <c r="P1412">
        <f t="shared" si="191"/>
        <v>17.717472682014712</v>
      </c>
      <c r="Q1412">
        <f t="shared" si="192"/>
        <v>1.452380952380952E-2</v>
      </c>
      <c r="R1412">
        <f t="shared" si="193"/>
        <v>2.0178861788617868E-2</v>
      </c>
      <c r="S1412">
        <f t="shared" si="194"/>
        <v>0.82138970588235316</v>
      </c>
      <c r="T1412">
        <f t="shared" si="195"/>
        <v>2.0047367888780485</v>
      </c>
      <c r="U1412">
        <f t="shared" si="196"/>
        <v>8.3478328074999961</v>
      </c>
      <c r="V1412">
        <f t="shared" si="197"/>
        <v>4.0705882352941189E-2</v>
      </c>
      <c r="W1412">
        <f t="shared" si="198"/>
        <v>5.2166666666666632E-2</v>
      </c>
      <c r="X1412">
        <f t="shared" si="199"/>
        <v>0.91536029411764697</v>
      </c>
      <c r="Y1412">
        <v>40.305331959999997</v>
      </c>
      <c r="Z1412">
        <v>0</v>
      </c>
      <c r="AA1412">
        <v>88250</v>
      </c>
      <c r="AB1412">
        <v>31723</v>
      </c>
      <c r="AC1412">
        <v>1.0795895999999999E-2</v>
      </c>
      <c r="AD1412">
        <v>0.817760245</v>
      </c>
    </row>
    <row r="1413" spans="1:40">
      <c r="A1413">
        <v>3481</v>
      </c>
      <c r="B1413" t="s">
        <v>698</v>
      </c>
      <c r="C1413" t="s">
        <v>693</v>
      </c>
      <c r="D1413" t="s">
        <v>694</v>
      </c>
      <c r="E1413">
        <v>795</v>
      </c>
      <c r="F1413">
        <v>1448</v>
      </c>
      <c r="G1413">
        <v>146.0103225</v>
      </c>
      <c r="H1413">
        <v>1</v>
      </c>
      <c r="I1413">
        <v>0.22821814100000001</v>
      </c>
      <c r="J1413">
        <v>1449</v>
      </c>
      <c r="K1413">
        <v>6349.1885160000002</v>
      </c>
      <c r="L1413">
        <v>0.79800000000000004</v>
      </c>
      <c r="M1413">
        <v>1.2562809999999999E-3</v>
      </c>
      <c r="N1413">
        <v>0</v>
      </c>
      <c r="O1413" t="s">
        <v>625</v>
      </c>
      <c r="P1413">
        <f t="shared" si="191"/>
        <v>15.76172131</v>
      </c>
      <c r="Q1413">
        <f t="shared" si="192"/>
        <v>6.0000000000000001E-3</v>
      </c>
      <c r="R1413">
        <f t="shared" si="193"/>
        <v>0.01</v>
      </c>
      <c r="S1413">
        <f t="shared" si="194"/>
        <v>0.79800000000000004</v>
      </c>
      <c r="T1413">
        <f t="shared" si="195"/>
        <v>1.843</v>
      </c>
      <c r="U1413">
        <f t="shared" si="196"/>
        <v>6.625661376</v>
      </c>
      <c r="V1413">
        <f t="shared" si="197"/>
        <v>1.4999999999999999E-2</v>
      </c>
      <c r="W1413">
        <f t="shared" si="198"/>
        <v>0.03</v>
      </c>
      <c r="X1413">
        <f t="shared" si="199"/>
        <v>0.92400000000000004</v>
      </c>
      <c r="Y1413">
        <v>40.343387559999996</v>
      </c>
      <c r="Z1413">
        <v>0</v>
      </c>
      <c r="AA1413">
        <v>88250</v>
      </c>
      <c r="AB1413">
        <v>31723</v>
      </c>
      <c r="AC1413">
        <v>1.0795895999999999E-2</v>
      </c>
      <c r="AD1413">
        <v>0.817760245</v>
      </c>
      <c r="AF1413">
        <v>15.76172131</v>
      </c>
      <c r="AG1413">
        <v>6.0000000000000001E-3</v>
      </c>
      <c r="AH1413">
        <v>0.01</v>
      </c>
      <c r="AI1413">
        <v>0.79800000000000004</v>
      </c>
      <c r="AJ1413">
        <v>1.843</v>
      </c>
      <c r="AK1413">
        <v>6.625661376</v>
      </c>
      <c r="AL1413">
        <v>1.4999999999999999E-2</v>
      </c>
      <c r="AM1413">
        <v>0.03</v>
      </c>
      <c r="AN1413">
        <v>0.92400000000000004</v>
      </c>
    </row>
    <row r="1414" spans="1:40">
      <c r="A1414">
        <v>3482</v>
      </c>
      <c r="B1414" t="s">
        <v>698</v>
      </c>
      <c r="C1414" t="s">
        <v>693</v>
      </c>
      <c r="D1414" t="s">
        <v>694</v>
      </c>
      <c r="E1414">
        <v>0</v>
      </c>
      <c r="F1414">
        <v>0</v>
      </c>
      <c r="G1414">
        <v>147.83029110000001</v>
      </c>
      <c r="H1414">
        <v>412</v>
      </c>
      <c r="I1414">
        <v>0.23106811999999999</v>
      </c>
      <c r="J1414">
        <v>412</v>
      </c>
      <c r="K1414">
        <v>1783.0239839999999</v>
      </c>
      <c r="L1414">
        <v>0.96199999999999997</v>
      </c>
      <c r="M1414" s="515">
        <v>1</v>
      </c>
      <c r="N1414">
        <v>0</v>
      </c>
      <c r="O1414" t="s">
        <v>620</v>
      </c>
      <c r="P1414">
        <f t="shared" si="191"/>
        <v>19.237846149999999</v>
      </c>
      <c r="Q1414">
        <f t="shared" si="192"/>
        <v>1.452380952380952E-2</v>
      </c>
      <c r="R1414">
        <f t="shared" si="193"/>
        <v>2.5999999999999999E-2</v>
      </c>
      <c r="S1414">
        <f t="shared" si="194"/>
        <v>0.96199999999999997</v>
      </c>
      <c r="T1414">
        <f t="shared" si="195"/>
        <v>3.8475000000000001</v>
      </c>
      <c r="U1414">
        <f t="shared" si="196"/>
        <v>14.076133329999999</v>
      </c>
      <c r="V1414">
        <f t="shared" si="197"/>
        <v>0.03</v>
      </c>
      <c r="W1414">
        <f t="shared" si="198"/>
        <v>5.2166666666666632E-2</v>
      </c>
      <c r="X1414">
        <f t="shared" si="199"/>
        <v>0.97</v>
      </c>
      <c r="Y1414">
        <v>30.107318329999998</v>
      </c>
      <c r="Z1414">
        <v>0</v>
      </c>
      <c r="AA1414">
        <v>88250</v>
      </c>
      <c r="AB1414">
        <v>31723</v>
      </c>
      <c r="AC1414">
        <v>1.0795895999999999E-2</v>
      </c>
      <c r="AD1414">
        <v>0.817760245</v>
      </c>
      <c r="AF1414">
        <v>19.237846149999999</v>
      </c>
      <c r="AG1414">
        <v>0</v>
      </c>
      <c r="AH1414">
        <v>2.5999999999999999E-2</v>
      </c>
      <c r="AI1414">
        <v>0.96199999999999997</v>
      </c>
      <c r="AJ1414">
        <v>3.8475000000000001</v>
      </c>
      <c r="AK1414">
        <v>14.076133329999999</v>
      </c>
      <c r="AL1414">
        <v>0.03</v>
      </c>
      <c r="AM1414">
        <v>0</v>
      </c>
      <c r="AN1414">
        <v>0.97</v>
      </c>
    </row>
    <row r="1415" spans="1:40">
      <c r="A1415">
        <v>3483</v>
      </c>
      <c r="B1415" t="s">
        <v>698</v>
      </c>
      <c r="C1415" t="s">
        <v>693</v>
      </c>
      <c r="D1415" t="s">
        <v>694</v>
      </c>
      <c r="E1415">
        <v>386</v>
      </c>
      <c r="F1415">
        <v>1370</v>
      </c>
      <c r="G1415">
        <v>114.744618</v>
      </c>
      <c r="H1415">
        <v>326</v>
      </c>
      <c r="I1415">
        <v>0.17936084599999999</v>
      </c>
      <c r="J1415">
        <v>1696</v>
      </c>
      <c r="K1415">
        <v>9455.7983960000001</v>
      </c>
      <c r="L1415">
        <v>0.753</v>
      </c>
      <c r="M1415">
        <v>0.45786516900000002</v>
      </c>
      <c r="N1415">
        <v>0</v>
      </c>
      <c r="O1415" t="s">
        <v>620</v>
      </c>
      <c r="P1415">
        <f t="shared" si="191"/>
        <v>15.600404620000001</v>
      </c>
      <c r="Q1415">
        <f t="shared" si="192"/>
        <v>6.0000000000000001E-3</v>
      </c>
      <c r="R1415">
        <f t="shared" si="193"/>
        <v>2.5000000000000001E-2</v>
      </c>
      <c r="S1415">
        <f t="shared" si="194"/>
        <v>0.753</v>
      </c>
      <c r="T1415">
        <f t="shared" si="195"/>
        <v>1.555833333</v>
      </c>
      <c r="U1415">
        <f t="shared" si="196"/>
        <v>8.681549296</v>
      </c>
      <c r="V1415">
        <f t="shared" si="197"/>
        <v>3.1E-2</v>
      </c>
      <c r="W1415">
        <f t="shared" si="198"/>
        <v>2.1000000000000001E-2</v>
      </c>
      <c r="X1415">
        <f t="shared" si="199"/>
        <v>0.90100000000000002</v>
      </c>
      <c r="Y1415">
        <v>177.61161559999999</v>
      </c>
      <c r="Z1415">
        <v>0</v>
      </c>
      <c r="AA1415">
        <v>88250</v>
      </c>
      <c r="AB1415">
        <v>31723</v>
      </c>
      <c r="AC1415">
        <v>1.0795895999999999E-2</v>
      </c>
      <c r="AD1415">
        <v>0.817760245</v>
      </c>
      <c r="AF1415">
        <v>15.600404620000001</v>
      </c>
      <c r="AG1415">
        <v>6.0000000000000001E-3</v>
      </c>
      <c r="AH1415">
        <v>2.5000000000000001E-2</v>
      </c>
      <c r="AI1415">
        <v>0.753</v>
      </c>
      <c r="AJ1415">
        <v>1.555833333</v>
      </c>
      <c r="AK1415">
        <v>8.681549296</v>
      </c>
      <c r="AL1415">
        <v>3.1E-2</v>
      </c>
      <c r="AM1415">
        <v>2.1000000000000001E-2</v>
      </c>
      <c r="AN1415">
        <v>0.90100000000000002</v>
      </c>
    </row>
    <row r="1416" spans="1:40">
      <c r="A1416">
        <v>3484</v>
      </c>
      <c r="B1416" t="s">
        <v>698</v>
      </c>
      <c r="C1416" t="s">
        <v>693</v>
      </c>
      <c r="D1416" t="s">
        <v>694</v>
      </c>
      <c r="E1416">
        <v>148</v>
      </c>
      <c r="F1416">
        <v>148</v>
      </c>
      <c r="G1416">
        <v>21.595097859999999</v>
      </c>
      <c r="H1416">
        <v>346</v>
      </c>
      <c r="I1416">
        <v>3.3756797999999998E-2</v>
      </c>
      <c r="J1416">
        <v>494</v>
      </c>
      <c r="K1416">
        <v>14634.08941</v>
      </c>
      <c r="L1416">
        <v>0.78100000000000003</v>
      </c>
      <c r="M1416">
        <v>0.70040485799999996</v>
      </c>
      <c r="N1416">
        <v>0</v>
      </c>
      <c r="O1416" t="s">
        <v>620</v>
      </c>
      <c r="P1416">
        <f t="shared" si="191"/>
        <v>10.608518520000001</v>
      </c>
      <c r="Q1416">
        <f t="shared" si="192"/>
        <v>2.4E-2</v>
      </c>
      <c r="R1416">
        <f t="shared" si="193"/>
        <v>0.01</v>
      </c>
      <c r="S1416">
        <f t="shared" si="194"/>
        <v>0.78100000000000003</v>
      </c>
      <c r="T1416">
        <f t="shared" si="195"/>
        <v>1.9950000000000001</v>
      </c>
      <c r="U1416">
        <f t="shared" si="196"/>
        <v>5.5530057140000002</v>
      </c>
      <c r="V1416">
        <f t="shared" si="197"/>
        <v>8.5999999999999993E-2</v>
      </c>
      <c r="W1416">
        <f t="shared" si="198"/>
        <v>2.9000000000000001E-2</v>
      </c>
      <c r="X1416">
        <f t="shared" si="199"/>
        <v>0.77100000000000002</v>
      </c>
      <c r="Y1416">
        <v>118.59848599999999</v>
      </c>
      <c r="Z1416">
        <v>0</v>
      </c>
      <c r="AA1416">
        <v>88250</v>
      </c>
      <c r="AB1416">
        <v>31723</v>
      </c>
      <c r="AC1416">
        <v>1.0795895999999999E-2</v>
      </c>
      <c r="AD1416">
        <v>0.817760245</v>
      </c>
      <c r="AF1416">
        <v>10.608518520000001</v>
      </c>
      <c r="AG1416">
        <v>2.4E-2</v>
      </c>
      <c r="AH1416">
        <v>0.01</v>
      </c>
      <c r="AI1416">
        <v>0.78100000000000003</v>
      </c>
      <c r="AJ1416">
        <v>1.9950000000000001</v>
      </c>
      <c r="AK1416">
        <v>5.5530057140000002</v>
      </c>
      <c r="AL1416">
        <v>8.5999999999999993E-2</v>
      </c>
      <c r="AM1416">
        <v>2.9000000000000001E-2</v>
      </c>
      <c r="AN1416">
        <v>0.77100000000000002</v>
      </c>
    </row>
    <row r="1417" spans="1:40">
      <c r="A1417">
        <v>3485</v>
      </c>
      <c r="B1417" t="s">
        <v>698</v>
      </c>
      <c r="C1417" t="s">
        <v>693</v>
      </c>
      <c r="D1417" t="s">
        <v>694</v>
      </c>
      <c r="E1417">
        <v>473</v>
      </c>
      <c r="F1417">
        <v>1307</v>
      </c>
      <c r="G1417">
        <v>152.316147</v>
      </c>
      <c r="H1417">
        <v>1075</v>
      </c>
      <c r="I1417">
        <v>0.23808690900000001</v>
      </c>
      <c r="J1417">
        <v>2382</v>
      </c>
      <c r="K1417">
        <v>10004.74999</v>
      </c>
      <c r="L1417">
        <v>0.81399999999999995</v>
      </c>
      <c r="M1417">
        <v>0.69444444400000005</v>
      </c>
      <c r="N1417">
        <v>0</v>
      </c>
      <c r="O1417" t="s">
        <v>620</v>
      </c>
      <c r="P1417">
        <f t="shared" si="191"/>
        <v>14.94925287</v>
      </c>
      <c r="Q1417">
        <f t="shared" si="192"/>
        <v>8.0000000000000002E-3</v>
      </c>
      <c r="R1417">
        <f t="shared" si="193"/>
        <v>0.02</v>
      </c>
      <c r="S1417">
        <f t="shared" si="194"/>
        <v>0.81399999999999995</v>
      </c>
      <c r="T1417">
        <f t="shared" si="195"/>
        <v>1.6468750000000001</v>
      </c>
      <c r="U1417">
        <f t="shared" si="196"/>
        <v>6.5113059130000002</v>
      </c>
      <c r="V1417">
        <f t="shared" si="197"/>
        <v>0.04</v>
      </c>
      <c r="W1417">
        <f t="shared" si="198"/>
        <v>4.4999999999999998E-2</v>
      </c>
      <c r="X1417">
        <f t="shared" si="199"/>
        <v>0.879</v>
      </c>
      <c r="Y1417">
        <v>117.7645649</v>
      </c>
      <c r="Z1417">
        <v>0</v>
      </c>
      <c r="AA1417">
        <v>88250</v>
      </c>
      <c r="AB1417">
        <v>31723</v>
      </c>
      <c r="AC1417">
        <v>1.0795895999999999E-2</v>
      </c>
      <c r="AD1417">
        <v>0.817760245</v>
      </c>
      <c r="AF1417">
        <v>14.94925287</v>
      </c>
      <c r="AG1417">
        <v>8.0000000000000002E-3</v>
      </c>
      <c r="AH1417">
        <v>0.02</v>
      </c>
      <c r="AI1417">
        <v>0.81399999999999995</v>
      </c>
      <c r="AJ1417">
        <v>1.6468750000000001</v>
      </c>
      <c r="AK1417">
        <v>6.5113059130000002</v>
      </c>
      <c r="AL1417">
        <v>0.04</v>
      </c>
      <c r="AM1417">
        <v>4.4999999999999998E-2</v>
      </c>
      <c r="AN1417">
        <v>0.879</v>
      </c>
    </row>
    <row r="1418" spans="1:40">
      <c r="A1418">
        <v>3486</v>
      </c>
      <c r="B1418" t="s">
        <v>698</v>
      </c>
      <c r="C1418" t="s">
        <v>693</v>
      </c>
      <c r="D1418" t="s">
        <v>694</v>
      </c>
      <c r="E1418">
        <v>43</v>
      </c>
      <c r="F1418">
        <v>87</v>
      </c>
      <c r="G1418">
        <v>94.957385869999996</v>
      </c>
      <c r="H1418">
        <v>568</v>
      </c>
      <c r="I1418">
        <v>0.14843383499999999</v>
      </c>
      <c r="J1418">
        <v>655</v>
      </c>
      <c r="K1418">
        <v>4412.7405319999998</v>
      </c>
      <c r="L1418">
        <v>0.9</v>
      </c>
      <c r="M1418">
        <v>0.92962356800000001</v>
      </c>
      <c r="N1418">
        <v>0</v>
      </c>
      <c r="O1418" t="s">
        <v>620</v>
      </c>
      <c r="P1418">
        <f t="shared" si="191"/>
        <v>14.751194030000001</v>
      </c>
      <c r="Q1418">
        <f t="shared" si="192"/>
        <v>1.452380952380952E-2</v>
      </c>
      <c r="R1418">
        <f t="shared" si="193"/>
        <v>8.0000000000000002E-3</v>
      </c>
      <c r="S1418">
        <f t="shared" si="194"/>
        <v>0.9</v>
      </c>
      <c r="T1418">
        <f t="shared" si="195"/>
        <v>2.7562500000000001</v>
      </c>
      <c r="U1418">
        <f t="shared" si="196"/>
        <v>6.8114543400000001</v>
      </c>
      <c r="V1418">
        <f t="shared" si="197"/>
        <v>4.0705882352941189E-2</v>
      </c>
      <c r="W1418">
        <f t="shared" si="198"/>
        <v>5.2166666666666632E-2</v>
      </c>
      <c r="X1418">
        <f t="shared" si="199"/>
        <v>0.97099999999999997</v>
      </c>
      <c r="Y1418">
        <v>117.5717676</v>
      </c>
      <c r="Z1418">
        <v>0</v>
      </c>
      <c r="AA1418">
        <v>88250</v>
      </c>
      <c r="AB1418">
        <v>31723</v>
      </c>
      <c r="AC1418">
        <v>1.0795895999999999E-2</v>
      </c>
      <c r="AD1418">
        <v>0.817760245</v>
      </c>
      <c r="AF1418">
        <v>14.751194030000001</v>
      </c>
      <c r="AG1418">
        <v>0</v>
      </c>
      <c r="AH1418">
        <v>8.0000000000000002E-3</v>
      </c>
      <c r="AI1418">
        <v>0.9</v>
      </c>
      <c r="AJ1418">
        <v>2.7562500000000001</v>
      </c>
      <c r="AK1418">
        <v>6.8114543400000001</v>
      </c>
      <c r="AL1418">
        <v>0</v>
      </c>
      <c r="AM1418">
        <v>0</v>
      </c>
      <c r="AN1418">
        <v>0.97099999999999997</v>
      </c>
    </row>
    <row r="1419" spans="1:40">
      <c r="A1419">
        <v>3487</v>
      </c>
      <c r="B1419" t="s">
        <v>698</v>
      </c>
      <c r="C1419" t="s">
        <v>693</v>
      </c>
      <c r="D1419" t="s">
        <v>694</v>
      </c>
      <c r="E1419">
        <v>1</v>
      </c>
      <c r="F1419">
        <v>8</v>
      </c>
      <c r="G1419">
        <v>67.506120789999997</v>
      </c>
      <c r="H1419">
        <v>705</v>
      </c>
      <c r="I1419">
        <v>0.105521772</v>
      </c>
      <c r="J1419">
        <v>713</v>
      </c>
      <c r="K1419">
        <v>6756.8994199999997</v>
      </c>
      <c r="L1419">
        <v>0.83499999999999996</v>
      </c>
      <c r="M1419">
        <v>0.998583569</v>
      </c>
      <c r="N1419">
        <v>0</v>
      </c>
      <c r="O1419" t="s">
        <v>620</v>
      </c>
      <c r="P1419">
        <f t="shared" si="191"/>
        <v>18.725466669999999</v>
      </c>
      <c r="Q1419">
        <f t="shared" si="192"/>
        <v>8.9999999999999993E-3</v>
      </c>
      <c r="R1419">
        <f t="shared" si="193"/>
        <v>3.5000000000000003E-2</v>
      </c>
      <c r="S1419">
        <f t="shared" si="194"/>
        <v>0.83499999999999996</v>
      </c>
      <c r="T1419">
        <f t="shared" si="195"/>
        <v>1.7806249999999999</v>
      </c>
      <c r="U1419">
        <f t="shared" si="196"/>
        <v>7.1389397910000003</v>
      </c>
      <c r="V1419">
        <f t="shared" si="197"/>
        <v>8.6999999999999994E-2</v>
      </c>
      <c r="W1419">
        <f t="shared" si="198"/>
        <v>2.1999999999999999E-2</v>
      </c>
      <c r="X1419">
        <f t="shared" si="199"/>
        <v>0.81499999999999995</v>
      </c>
      <c r="Y1419">
        <v>60.534218520000003</v>
      </c>
      <c r="Z1419">
        <v>0</v>
      </c>
      <c r="AA1419">
        <v>88250</v>
      </c>
      <c r="AB1419">
        <v>31723</v>
      </c>
      <c r="AC1419">
        <v>1.0795895999999999E-2</v>
      </c>
      <c r="AD1419">
        <v>0.817760245</v>
      </c>
      <c r="AF1419">
        <v>18.725466669999999</v>
      </c>
      <c r="AG1419">
        <v>8.9999999999999993E-3</v>
      </c>
      <c r="AH1419">
        <v>3.5000000000000003E-2</v>
      </c>
      <c r="AI1419">
        <v>0.83499999999999996</v>
      </c>
      <c r="AJ1419">
        <v>1.7806249999999999</v>
      </c>
      <c r="AK1419">
        <v>7.1389397910000003</v>
      </c>
      <c r="AL1419">
        <v>8.6999999999999994E-2</v>
      </c>
      <c r="AM1419">
        <v>2.1999999999999999E-2</v>
      </c>
      <c r="AN1419">
        <v>0.81499999999999995</v>
      </c>
    </row>
    <row r="1420" spans="1:40">
      <c r="A1420">
        <v>3488</v>
      </c>
      <c r="B1420" t="s">
        <v>698</v>
      </c>
      <c r="C1420" t="s">
        <v>693</v>
      </c>
      <c r="D1420" t="s">
        <v>694</v>
      </c>
      <c r="E1420">
        <v>228</v>
      </c>
      <c r="F1420">
        <v>823</v>
      </c>
      <c r="G1420">
        <v>47.845413360000002</v>
      </c>
      <c r="H1420">
        <v>49</v>
      </c>
      <c r="I1420">
        <v>7.4786293000000004E-2</v>
      </c>
      <c r="J1420">
        <v>872</v>
      </c>
      <c r="K1420">
        <v>11659.890670000001</v>
      </c>
      <c r="L1420">
        <v>0.68400000000000005</v>
      </c>
      <c r="M1420">
        <v>0.176895307</v>
      </c>
      <c r="N1420">
        <v>0</v>
      </c>
      <c r="O1420" t="s">
        <v>620</v>
      </c>
      <c r="P1420">
        <f t="shared" ref="P1420:P1483" si="200">IF(OR(IFERROR(AF1420=0,TRUE),ISERROR(AF1420)),AVERAGEIFS(AF:AF,$B:$B,$B1420,AF:AF,"&gt;0"),AF1420)</f>
        <v>16.745102039999999</v>
      </c>
      <c r="Q1420">
        <f t="shared" ref="Q1420:Q1483" si="201">IF(OR(IFERROR(AG1420=0,TRUE),ISERROR(AG1420)),AVERAGEIFS(AG:AG,$B:$B,$B1420,AG:AG,"&gt;0"),AG1420)</f>
        <v>6.0000000000000001E-3</v>
      </c>
      <c r="R1420">
        <f t="shared" ref="R1420:R1483" si="202">IF(OR(IFERROR(AH1420=0,TRUE),ISERROR(AH1420)),AVERAGEIFS(AH:AH,$B:$B,$B1420,AH:AH,"&gt;0"),AH1420)</f>
        <v>2.4E-2</v>
      </c>
      <c r="S1420">
        <f t="shared" ref="S1420:S1483" si="203">IF(OR(IFERROR(AI1420=0,TRUE),ISERROR(AI1420)),AVERAGEIFS(AI:AI,$B:$B,$B1420,AI:AI,"&gt;0"),AI1420)</f>
        <v>0.68400000000000005</v>
      </c>
      <c r="T1420">
        <f t="shared" ref="T1420:T1483" si="204">IF(OR(IFERROR(AJ1420=0,TRUE),ISERROR(AJ1420)),AVERAGEIFS(AJ:AJ,$B:$B,$B1420,AJ:AJ,"&gt;0"),AJ1420)</f>
        <v>1.689411765</v>
      </c>
      <c r="U1420">
        <f t="shared" ref="U1420:U1483" si="205">IF(OR(IFERROR(AK1420=0,TRUE),ISERROR(AK1420)),AVERAGEIFS(AK:AK,$B:$B,$B1420,AK:AK,"&gt;0"),AK1420)</f>
        <v>5.5071398309999999</v>
      </c>
      <c r="V1420">
        <f t="shared" ref="V1420:V1483" si="206">IF(OR(IFERROR(AL1420=0,TRUE),ISERROR(AL1420)),AVERAGEIFS(AL:AL,$B:$B,$B1420,AL:AL,"&gt;0"),AL1420)</f>
        <v>7.4999999999999997E-2</v>
      </c>
      <c r="W1420">
        <f t="shared" ref="W1420:W1483" si="207">IF(OR(IFERROR(AM1420=0,TRUE),ISERROR(AM1420)),AVERAGEIFS(AM:AM,$B:$B,$B1420,AM:AM,"&gt;0"),AM1420)</f>
        <v>5.2166666666666632E-2</v>
      </c>
      <c r="X1420">
        <f t="shared" ref="X1420:X1483" si="208">IF(OR(IFERROR(AN1420=0,TRUE),ISERROR(AN1420)),AVERAGEIFS(AN:AN,$B:$B,$B1420,AN:AN,"&gt;0"),AN1420)</f>
        <v>0.92500000000000004</v>
      </c>
      <c r="Y1420">
        <v>164.94776419999999</v>
      </c>
      <c r="Z1420">
        <v>0</v>
      </c>
      <c r="AA1420">
        <v>88250</v>
      </c>
      <c r="AB1420">
        <v>31723</v>
      </c>
      <c r="AC1420">
        <v>1.0795895999999999E-2</v>
      </c>
      <c r="AD1420">
        <v>0.817760245</v>
      </c>
      <c r="AF1420">
        <v>16.745102039999999</v>
      </c>
      <c r="AG1420">
        <v>6.0000000000000001E-3</v>
      </c>
      <c r="AH1420">
        <v>2.4E-2</v>
      </c>
      <c r="AI1420">
        <v>0.68400000000000005</v>
      </c>
      <c r="AJ1420">
        <v>1.689411765</v>
      </c>
      <c r="AK1420">
        <v>5.5071398309999999</v>
      </c>
      <c r="AL1420">
        <v>7.4999999999999997E-2</v>
      </c>
      <c r="AM1420">
        <v>0</v>
      </c>
      <c r="AN1420">
        <v>0.92500000000000004</v>
      </c>
    </row>
    <row r="1421" spans="1:40">
      <c r="A1421">
        <v>3489</v>
      </c>
      <c r="B1421" t="s">
        <v>698</v>
      </c>
      <c r="C1421" t="s">
        <v>693</v>
      </c>
      <c r="D1421" t="s">
        <v>694</v>
      </c>
      <c r="E1421">
        <v>279</v>
      </c>
      <c r="F1421">
        <v>945</v>
      </c>
      <c r="G1421">
        <v>35.306946379999999</v>
      </c>
      <c r="H1421">
        <v>19</v>
      </c>
      <c r="I1421">
        <v>5.5191389E-2</v>
      </c>
      <c r="J1421">
        <v>964</v>
      </c>
      <c r="K1421">
        <v>17466.492829999999</v>
      </c>
      <c r="L1421">
        <v>0.71399999999999997</v>
      </c>
      <c r="M1421">
        <v>6.3758388999999999E-2</v>
      </c>
      <c r="N1421">
        <v>0</v>
      </c>
      <c r="O1421" t="s">
        <v>620</v>
      </c>
      <c r="P1421">
        <f t="shared" si="200"/>
        <v>20.193157889999998</v>
      </c>
      <c r="Q1421">
        <f t="shared" si="201"/>
        <v>2.7E-2</v>
      </c>
      <c r="R1421">
        <f t="shared" si="202"/>
        <v>1.4999999999999999E-2</v>
      </c>
      <c r="S1421">
        <f t="shared" si="203"/>
        <v>0.71399999999999997</v>
      </c>
      <c r="T1421">
        <f t="shared" si="204"/>
        <v>1.4412499999999999</v>
      </c>
      <c r="U1421">
        <f t="shared" si="205"/>
        <v>7.355516304</v>
      </c>
      <c r="V1421">
        <f t="shared" si="206"/>
        <v>4.0705882352941189E-2</v>
      </c>
      <c r="W1421">
        <f t="shared" si="207"/>
        <v>6.7000000000000004E-2</v>
      </c>
      <c r="X1421">
        <f t="shared" si="208"/>
        <v>0.84399999999999997</v>
      </c>
      <c r="Y1421">
        <v>165.09264859999999</v>
      </c>
      <c r="Z1421">
        <v>0</v>
      </c>
      <c r="AA1421">
        <v>88250</v>
      </c>
      <c r="AB1421">
        <v>31723</v>
      </c>
      <c r="AC1421">
        <v>1.0795895999999999E-2</v>
      </c>
      <c r="AD1421">
        <v>0.817760245</v>
      </c>
      <c r="AF1421">
        <v>20.193157889999998</v>
      </c>
      <c r="AG1421">
        <v>2.7E-2</v>
      </c>
      <c r="AH1421">
        <v>1.4999999999999999E-2</v>
      </c>
      <c r="AI1421">
        <v>0.71399999999999997</v>
      </c>
      <c r="AJ1421">
        <v>1.4412499999999999</v>
      </c>
      <c r="AK1421">
        <v>7.355516304</v>
      </c>
      <c r="AL1421">
        <v>0</v>
      </c>
      <c r="AM1421">
        <v>6.7000000000000004E-2</v>
      </c>
      <c r="AN1421">
        <v>0.84399999999999997</v>
      </c>
    </row>
    <row r="1422" spans="1:40">
      <c r="A1422">
        <v>3490</v>
      </c>
      <c r="B1422" t="s">
        <v>698</v>
      </c>
      <c r="C1422" t="s">
        <v>693</v>
      </c>
      <c r="D1422" t="s">
        <v>694</v>
      </c>
      <c r="E1422">
        <v>90</v>
      </c>
      <c r="F1422">
        <v>252</v>
      </c>
      <c r="G1422">
        <v>30.006429789999999</v>
      </c>
      <c r="H1422">
        <v>2</v>
      </c>
      <c r="I1422">
        <v>4.6899490000000002E-2</v>
      </c>
      <c r="J1422">
        <v>254</v>
      </c>
      <c r="K1422">
        <v>5415.8371440000001</v>
      </c>
      <c r="L1422">
        <v>0.91300000000000003</v>
      </c>
      <c r="M1422">
        <v>2.1739129999999999E-2</v>
      </c>
      <c r="N1422">
        <v>0</v>
      </c>
      <c r="O1422" t="s">
        <v>625</v>
      </c>
      <c r="P1422">
        <f t="shared" si="200"/>
        <v>20.801749999999998</v>
      </c>
      <c r="Q1422">
        <f t="shared" si="201"/>
        <v>1.452380952380952E-2</v>
      </c>
      <c r="R1422">
        <f t="shared" si="202"/>
        <v>2.0178861788617868E-2</v>
      </c>
      <c r="S1422">
        <f t="shared" si="203"/>
        <v>0.91300000000000003</v>
      </c>
      <c r="T1422">
        <f t="shared" si="204"/>
        <v>2.0047367888780485</v>
      </c>
      <c r="U1422">
        <f t="shared" si="205"/>
        <v>8.6969426750000007</v>
      </c>
      <c r="V1422">
        <f t="shared" si="206"/>
        <v>4.0705882352941189E-2</v>
      </c>
      <c r="W1422">
        <f t="shared" si="207"/>
        <v>5.2166666666666632E-2</v>
      </c>
      <c r="X1422">
        <f t="shared" si="208"/>
        <v>1</v>
      </c>
      <c r="Y1422">
        <v>167.30075220000001</v>
      </c>
      <c r="Z1422">
        <v>0</v>
      </c>
      <c r="AA1422">
        <v>88250</v>
      </c>
      <c r="AB1422">
        <v>31723</v>
      </c>
      <c r="AC1422">
        <v>1.0795895999999999E-2</v>
      </c>
      <c r="AD1422">
        <v>0.817760245</v>
      </c>
      <c r="AF1422">
        <v>20.801749999999998</v>
      </c>
      <c r="AG1422">
        <v>0</v>
      </c>
      <c r="AH1422">
        <v>0</v>
      </c>
      <c r="AI1422">
        <v>0.91300000000000003</v>
      </c>
      <c r="AK1422">
        <v>8.6969426750000007</v>
      </c>
      <c r="AL1422">
        <v>0</v>
      </c>
      <c r="AM1422">
        <v>0</v>
      </c>
      <c r="AN1422">
        <v>1</v>
      </c>
    </row>
    <row r="1423" spans="1:40">
      <c r="A1423">
        <v>3491</v>
      </c>
      <c r="B1423" t="s">
        <v>698</v>
      </c>
      <c r="C1423" t="s">
        <v>693</v>
      </c>
      <c r="D1423" t="s">
        <v>694</v>
      </c>
      <c r="E1423">
        <v>184</v>
      </c>
      <c r="F1423">
        <v>530</v>
      </c>
      <c r="G1423">
        <v>65.070306000000002</v>
      </c>
      <c r="H1423">
        <v>0</v>
      </c>
      <c r="I1423">
        <v>0.101710074</v>
      </c>
      <c r="J1423">
        <v>530</v>
      </c>
      <c r="K1423">
        <v>5210.8899259999998</v>
      </c>
      <c r="L1423">
        <v>0.88300000000000001</v>
      </c>
      <c r="M1423">
        <v>0</v>
      </c>
      <c r="N1423">
        <v>0</v>
      </c>
      <c r="O1423" t="s">
        <v>625</v>
      </c>
      <c r="P1423">
        <f t="shared" si="200"/>
        <v>19.56310345</v>
      </c>
      <c r="Q1423">
        <f t="shared" si="201"/>
        <v>1.452380952380952E-2</v>
      </c>
      <c r="R1423">
        <f t="shared" si="202"/>
        <v>8.0000000000000002E-3</v>
      </c>
      <c r="S1423">
        <f t="shared" si="203"/>
        <v>0.88300000000000001</v>
      </c>
      <c r="T1423">
        <f t="shared" si="204"/>
        <v>1.25</v>
      </c>
      <c r="U1423">
        <f t="shared" si="205"/>
        <v>8.6449519230000007</v>
      </c>
      <c r="V1423">
        <f t="shared" si="206"/>
        <v>4.0705882352941189E-2</v>
      </c>
      <c r="W1423">
        <f t="shared" si="207"/>
        <v>5.2166666666666632E-2</v>
      </c>
      <c r="X1423">
        <f t="shared" si="208"/>
        <v>1</v>
      </c>
      <c r="Y1423">
        <v>109.95558579999999</v>
      </c>
      <c r="Z1423">
        <v>0</v>
      </c>
      <c r="AA1423">
        <v>88250</v>
      </c>
      <c r="AB1423">
        <v>31723</v>
      </c>
      <c r="AC1423">
        <v>1.0795895999999999E-2</v>
      </c>
      <c r="AD1423">
        <v>0.817760245</v>
      </c>
      <c r="AF1423">
        <v>19.56310345</v>
      </c>
      <c r="AG1423">
        <v>0</v>
      </c>
      <c r="AH1423">
        <v>8.0000000000000002E-3</v>
      </c>
      <c r="AI1423">
        <v>0.88300000000000001</v>
      </c>
      <c r="AJ1423">
        <v>1.25</v>
      </c>
      <c r="AK1423">
        <v>8.6449519230000007</v>
      </c>
      <c r="AL1423">
        <v>0</v>
      </c>
      <c r="AM1423">
        <v>0</v>
      </c>
      <c r="AN1423">
        <v>1</v>
      </c>
    </row>
    <row r="1424" spans="1:40">
      <c r="A1424">
        <v>3492</v>
      </c>
      <c r="B1424" t="s">
        <v>698</v>
      </c>
      <c r="C1424" t="s">
        <v>693</v>
      </c>
      <c r="D1424" t="s">
        <v>694</v>
      </c>
      <c r="E1424">
        <v>206</v>
      </c>
      <c r="F1424">
        <v>576</v>
      </c>
      <c r="G1424">
        <v>83.048933660000003</v>
      </c>
      <c r="H1424">
        <v>0</v>
      </c>
      <c r="I1424">
        <v>0.12981647099999999</v>
      </c>
      <c r="J1424">
        <v>576</v>
      </c>
      <c r="K1424">
        <v>4437.0332639999997</v>
      </c>
      <c r="L1424">
        <v>0.88700000000000001</v>
      </c>
      <c r="M1424">
        <v>0</v>
      </c>
      <c r="N1424">
        <v>0</v>
      </c>
      <c r="O1424" t="s">
        <v>625</v>
      </c>
      <c r="P1424">
        <f t="shared" si="200"/>
        <v>18.460281689999999</v>
      </c>
      <c r="Q1424">
        <f t="shared" si="201"/>
        <v>1.452380952380952E-2</v>
      </c>
      <c r="R1424">
        <f t="shared" si="202"/>
        <v>0.01</v>
      </c>
      <c r="S1424">
        <f t="shared" si="203"/>
        <v>0.88700000000000001</v>
      </c>
      <c r="T1424">
        <f t="shared" si="204"/>
        <v>2.76</v>
      </c>
      <c r="U1424">
        <f t="shared" si="205"/>
        <v>10.45907042</v>
      </c>
      <c r="V1424">
        <f t="shared" si="206"/>
        <v>2.7E-2</v>
      </c>
      <c r="W1424">
        <f t="shared" si="207"/>
        <v>5.2166666666666632E-2</v>
      </c>
      <c r="X1424">
        <f t="shared" si="208"/>
        <v>0.97299999999999998</v>
      </c>
      <c r="Y1424">
        <v>109.7763825</v>
      </c>
      <c r="Z1424">
        <v>0</v>
      </c>
      <c r="AA1424">
        <v>88250</v>
      </c>
      <c r="AB1424">
        <v>31723</v>
      </c>
      <c r="AC1424">
        <v>1.0795895999999999E-2</v>
      </c>
      <c r="AD1424">
        <v>0.817760245</v>
      </c>
      <c r="AF1424">
        <v>18.460281689999999</v>
      </c>
      <c r="AG1424">
        <v>0</v>
      </c>
      <c r="AH1424">
        <v>0.01</v>
      </c>
      <c r="AI1424">
        <v>0.88700000000000001</v>
      </c>
      <c r="AJ1424">
        <v>2.76</v>
      </c>
      <c r="AK1424">
        <v>10.45907042</v>
      </c>
      <c r="AL1424">
        <v>2.7E-2</v>
      </c>
      <c r="AM1424">
        <v>0</v>
      </c>
      <c r="AN1424">
        <v>0.97299999999999998</v>
      </c>
    </row>
    <row r="1425" spans="1:40">
      <c r="A1425">
        <v>3493</v>
      </c>
      <c r="B1425" t="s">
        <v>698</v>
      </c>
      <c r="C1425" t="s">
        <v>693</v>
      </c>
      <c r="D1425" t="s">
        <v>694</v>
      </c>
      <c r="E1425">
        <v>530</v>
      </c>
      <c r="F1425">
        <v>1396</v>
      </c>
      <c r="G1425">
        <v>113.59416330000001</v>
      </c>
      <c r="H1425">
        <v>13</v>
      </c>
      <c r="I1425">
        <v>0.177557152</v>
      </c>
      <c r="J1425">
        <v>1409</v>
      </c>
      <c r="K1425">
        <v>7935.4730810000001</v>
      </c>
      <c r="L1425">
        <v>0.81499999999999995</v>
      </c>
      <c r="M1425">
        <v>2.3941067999999999E-2</v>
      </c>
      <c r="N1425">
        <v>0</v>
      </c>
      <c r="O1425" t="s">
        <v>620</v>
      </c>
      <c r="P1425">
        <f t="shared" si="200"/>
        <v>19.77847328</v>
      </c>
      <c r="Q1425">
        <f t="shared" si="201"/>
        <v>8.9999999999999993E-3</v>
      </c>
      <c r="R1425">
        <f t="shared" si="202"/>
        <v>8.9999999999999993E-3</v>
      </c>
      <c r="S1425">
        <f t="shared" si="203"/>
        <v>0.81499999999999995</v>
      </c>
      <c r="T1425">
        <f t="shared" si="204"/>
        <v>2.6062500000000002</v>
      </c>
      <c r="U1425">
        <f t="shared" si="205"/>
        <v>7.9383147630000002</v>
      </c>
      <c r="V1425">
        <f t="shared" si="206"/>
        <v>4.0705882352941189E-2</v>
      </c>
      <c r="W1425">
        <f t="shared" si="207"/>
        <v>4.2999999999999997E-2</v>
      </c>
      <c r="X1425">
        <f t="shared" si="208"/>
        <v>0.94199999999999995</v>
      </c>
      <c r="Y1425">
        <v>122.93045069999999</v>
      </c>
      <c r="Z1425">
        <v>0</v>
      </c>
      <c r="AA1425">
        <v>88250</v>
      </c>
      <c r="AB1425">
        <v>31723</v>
      </c>
      <c r="AC1425">
        <v>1.0795895999999999E-2</v>
      </c>
      <c r="AD1425">
        <v>0.817760245</v>
      </c>
      <c r="AF1425">
        <v>19.77847328</v>
      </c>
      <c r="AG1425">
        <v>8.9999999999999993E-3</v>
      </c>
      <c r="AH1425">
        <v>8.9999999999999993E-3</v>
      </c>
      <c r="AI1425">
        <v>0.81499999999999995</v>
      </c>
      <c r="AJ1425">
        <v>2.6062500000000002</v>
      </c>
      <c r="AK1425">
        <v>7.9383147630000002</v>
      </c>
      <c r="AL1425">
        <v>0</v>
      </c>
      <c r="AM1425">
        <v>4.2999999999999997E-2</v>
      </c>
      <c r="AN1425">
        <v>0.94199999999999995</v>
      </c>
    </row>
    <row r="1426" spans="1:40">
      <c r="A1426">
        <v>3494</v>
      </c>
      <c r="B1426" t="s">
        <v>707</v>
      </c>
      <c r="C1426" t="s">
        <v>693</v>
      </c>
      <c r="D1426" t="s">
        <v>694</v>
      </c>
      <c r="E1426">
        <v>131</v>
      </c>
      <c r="F1426">
        <v>402</v>
      </c>
      <c r="G1426">
        <v>230.7543436</v>
      </c>
      <c r="H1426">
        <v>49</v>
      </c>
      <c r="I1426">
        <v>0.36068439699999999</v>
      </c>
      <c r="J1426">
        <v>451</v>
      </c>
      <c r="K1426">
        <v>1250.4006380000001</v>
      </c>
      <c r="L1426">
        <v>0.872</v>
      </c>
      <c r="M1426">
        <v>0.27222222200000001</v>
      </c>
      <c r="N1426">
        <v>0</v>
      </c>
      <c r="O1426" t="s">
        <v>625</v>
      </c>
      <c r="P1426">
        <f t="shared" si="200"/>
        <v>21.518529409999999</v>
      </c>
      <c r="Q1426">
        <f t="shared" si="201"/>
        <v>2.0450000000000006E-2</v>
      </c>
      <c r="R1426">
        <f t="shared" si="202"/>
        <v>2.5999999999999999E-2</v>
      </c>
      <c r="S1426">
        <f t="shared" si="203"/>
        <v>0.872</v>
      </c>
      <c r="T1426">
        <f t="shared" si="204"/>
        <v>0.70125000000000004</v>
      </c>
      <c r="U1426">
        <f t="shared" si="205"/>
        <v>8.0056799999999999</v>
      </c>
      <c r="V1426">
        <f t="shared" si="206"/>
        <v>0.11835714285714286</v>
      </c>
      <c r="W1426">
        <f t="shared" si="207"/>
        <v>8.5526315789473686E-2</v>
      </c>
      <c r="X1426">
        <f t="shared" si="208"/>
        <v>1</v>
      </c>
      <c r="Y1426">
        <v>63.520335209999999</v>
      </c>
      <c r="Z1426">
        <v>0</v>
      </c>
      <c r="AA1426">
        <v>21149</v>
      </c>
      <c r="AB1426">
        <v>6968</v>
      </c>
      <c r="AC1426">
        <v>1.6645858999999999E-2</v>
      </c>
      <c r="AD1426">
        <v>0.89069218999999999</v>
      </c>
      <c r="AF1426">
        <v>21.518529409999999</v>
      </c>
      <c r="AG1426">
        <v>0</v>
      </c>
      <c r="AH1426">
        <v>2.5999999999999999E-2</v>
      </c>
      <c r="AI1426">
        <v>0.872</v>
      </c>
      <c r="AJ1426">
        <v>0.70125000000000004</v>
      </c>
      <c r="AK1426">
        <v>8.0056799999999999</v>
      </c>
      <c r="AL1426">
        <v>0</v>
      </c>
      <c r="AM1426">
        <v>0</v>
      </c>
      <c r="AN1426">
        <v>1</v>
      </c>
    </row>
    <row r="1427" spans="1:40">
      <c r="A1427">
        <v>3495</v>
      </c>
      <c r="B1427" t="s">
        <v>698</v>
      </c>
      <c r="C1427" t="s">
        <v>693</v>
      </c>
      <c r="D1427" t="s">
        <v>694</v>
      </c>
      <c r="E1427">
        <v>137</v>
      </c>
      <c r="F1427">
        <v>304</v>
      </c>
      <c r="G1427">
        <v>38.450148470000002</v>
      </c>
      <c r="H1427">
        <v>235</v>
      </c>
      <c r="I1427">
        <v>6.0103402E-2</v>
      </c>
      <c r="J1427">
        <v>539</v>
      </c>
      <c r="K1427">
        <v>8967.8783910000002</v>
      </c>
      <c r="L1427">
        <v>0.71699999999999997</v>
      </c>
      <c r="M1427">
        <v>0.63172043</v>
      </c>
      <c r="N1427">
        <v>0</v>
      </c>
      <c r="O1427" t="s">
        <v>620</v>
      </c>
      <c r="P1427">
        <f t="shared" si="200"/>
        <v>16.880576919999999</v>
      </c>
      <c r="Q1427">
        <f t="shared" si="201"/>
        <v>1.7000000000000001E-2</v>
      </c>
      <c r="R1427">
        <f t="shared" si="202"/>
        <v>2.1000000000000001E-2</v>
      </c>
      <c r="S1427">
        <f t="shared" si="203"/>
        <v>0.71699999999999997</v>
      </c>
      <c r="T1427">
        <f t="shared" si="204"/>
        <v>2.5</v>
      </c>
      <c r="U1427">
        <f t="shared" si="205"/>
        <v>6.5646506990000004</v>
      </c>
      <c r="V1427">
        <f t="shared" si="206"/>
        <v>2.8000000000000001E-2</v>
      </c>
      <c r="W1427">
        <f t="shared" si="207"/>
        <v>0.111</v>
      </c>
      <c r="X1427">
        <f t="shared" si="208"/>
        <v>0.72199999999999998</v>
      </c>
      <c r="Y1427">
        <v>271.23398279999998</v>
      </c>
      <c r="Z1427">
        <v>0</v>
      </c>
      <c r="AA1427">
        <v>88250</v>
      </c>
      <c r="AB1427">
        <v>31723</v>
      </c>
      <c r="AC1427">
        <v>1.0795895999999999E-2</v>
      </c>
      <c r="AD1427">
        <v>0.817760245</v>
      </c>
      <c r="AF1427">
        <v>16.880576919999999</v>
      </c>
      <c r="AG1427">
        <v>1.7000000000000001E-2</v>
      </c>
      <c r="AH1427">
        <v>2.1000000000000001E-2</v>
      </c>
      <c r="AI1427">
        <v>0.71699999999999997</v>
      </c>
      <c r="AJ1427">
        <v>2.5</v>
      </c>
      <c r="AK1427">
        <v>6.5646506990000004</v>
      </c>
      <c r="AL1427">
        <v>2.8000000000000001E-2</v>
      </c>
      <c r="AM1427">
        <v>0.111</v>
      </c>
      <c r="AN1427">
        <v>0.72199999999999998</v>
      </c>
    </row>
    <row r="1428" spans="1:40">
      <c r="A1428">
        <v>3496</v>
      </c>
      <c r="B1428" t="s">
        <v>698</v>
      </c>
      <c r="C1428" t="s">
        <v>693</v>
      </c>
      <c r="D1428" t="s">
        <v>694</v>
      </c>
      <c r="E1428">
        <v>0</v>
      </c>
      <c r="F1428">
        <v>0</v>
      </c>
      <c r="G1428">
        <v>6.7590622490000003</v>
      </c>
      <c r="H1428">
        <v>36</v>
      </c>
      <c r="I1428">
        <v>1.056503E-2</v>
      </c>
      <c r="J1428">
        <v>36</v>
      </c>
      <c r="K1428">
        <v>3407.4678439999998</v>
      </c>
      <c r="L1428">
        <v>0.875</v>
      </c>
      <c r="M1428" s="515">
        <v>1</v>
      </c>
      <c r="N1428">
        <v>0</v>
      </c>
      <c r="O1428" t="s">
        <v>620</v>
      </c>
      <c r="P1428">
        <f t="shared" si="200"/>
        <v>31.585000000000001</v>
      </c>
      <c r="Q1428">
        <f t="shared" si="201"/>
        <v>1.452380952380952E-2</v>
      </c>
      <c r="R1428">
        <f t="shared" si="202"/>
        <v>2.0178861788617868E-2</v>
      </c>
      <c r="S1428">
        <f t="shared" si="203"/>
        <v>0.875</v>
      </c>
      <c r="T1428">
        <f t="shared" si="204"/>
        <v>2.0047367888780485</v>
      </c>
      <c r="U1428">
        <f t="shared" si="205"/>
        <v>6.4742424239999998</v>
      </c>
      <c r="V1428">
        <f t="shared" si="206"/>
        <v>4.0705882352941189E-2</v>
      </c>
      <c r="W1428">
        <f t="shared" si="207"/>
        <v>5.2166666666666632E-2</v>
      </c>
      <c r="X1428">
        <f t="shared" si="208"/>
        <v>1</v>
      </c>
      <c r="Y1428">
        <v>269.41278799999998</v>
      </c>
      <c r="Z1428">
        <v>0</v>
      </c>
      <c r="AA1428">
        <v>88250</v>
      </c>
      <c r="AB1428">
        <v>31723</v>
      </c>
      <c r="AC1428">
        <v>1.0795895999999999E-2</v>
      </c>
      <c r="AD1428">
        <v>0.817760245</v>
      </c>
      <c r="AF1428">
        <v>31.585000000000001</v>
      </c>
      <c r="AG1428">
        <v>0</v>
      </c>
      <c r="AH1428">
        <v>0</v>
      </c>
      <c r="AI1428">
        <v>0.875</v>
      </c>
      <c r="AK1428">
        <v>6.4742424239999998</v>
      </c>
      <c r="AL1428">
        <v>0</v>
      </c>
      <c r="AM1428">
        <v>0</v>
      </c>
      <c r="AN1428">
        <v>1</v>
      </c>
    </row>
    <row r="1429" spans="1:40">
      <c r="A1429">
        <v>3497</v>
      </c>
      <c r="B1429" t="s">
        <v>698</v>
      </c>
      <c r="C1429" t="s">
        <v>693</v>
      </c>
      <c r="D1429" t="s">
        <v>694</v>
      </c>
      <c r="E1429">
        <v>116</v>
      </c>
      <c r="F1429">
        <v>619</v>
      </c>
      <c r="G1429">
        <v>58.533102849999999</v>
      </c>
      <c r="H1429">
        <v>90</v>
      </c>
      <c r="I1429">
        <v>9.1495982000000003E-2</v>
      </c>
      <c r="J1429">
        <v>709</v>
      </c>
      <c r="K1429">
        <v>7748.9741569999996</v>
      </c>
      <c r="L1429">
        <v>0.68400000000000005</v>
      </c>
      <c r="M1429">
        <v>0.43689320399999998</v>
      </c>
      <c r="N1429">
        <v>0</v>
      </c>
      <c r="O1429" t="s">
        <v>620</v>
      </c>
      <c r="P1429">
        <f t="shared" si="200"/>
        <v>15.56771429</v>
      </c>
      <c r="Q1429">
        <f t="shared" si="201"/>
        <v>3.5000000000000003E-2</v>
      </c>
      <c r="R1429">
        <f t="shared" si="202"/>
        <v>1.4E-2</v>
      </c>
      <c r="S1429">
        <f t="shared" si="203"/>
        <v>0.68400000000000005</v>
      </c>
      <c r="T1429">
        <f t="shared" si="204"/>
        <v>0.67400000000000004</v>
      </c>
      <c r="U1429">
        <f t="shared" si="205"/>
        <v>6.4424505930000002</v>
      </c>
      <c r="V1429">
        <f t="shared" si="206"/>
        <v>4.0705882352941189E-2</v>
      </c>
      <c r="W1429">
        <f t="shared" si="207"/>
        <v>4.8000000000000001E-2</v>
      </c>
      <c r="X1429">
        <f t="shared" si="208"/>
        <v>0.83299999999999996</v>
      </c>
      <c r="Y1429">
        <v>270.64650790000002</v>
      </c>
      <c r="Z1429">
        <v>0</v>
      </c>
      <c r="AA1429">
        <v>88250</v>
      </c>
      <c r="AB1429">
        <v>31723</v>
      </c>
      <c r="AC1429">
        <v>1.0795895999999999E-2</v>
      </c>
      <c r="AD1429">
        <v>0.817760245</v>
      </c>
      <c r="AF1429">
        <v>15.56771429</v>
      </c>
      <c r="AG1429">
        <v>3.5000000000000003E-2</v>
      </c>
      <c r="AH1429">
        <v>1.4E-2</v>
      </c>
      <c r="AI1429">
        <v>0.68400000000000005</v>
      </c>
      <c r="AJ1429">
        <v>0.67400000000000004</v>
      </c>
      <c r="AK1429">
        <v>6.4424505930000002</v>
      </c>
      <c r="AL1429">
        <v>0</v>
      </c>
      <c r="AM1429">
        <v>4.8000000000000001E-2</v>
      </c>
      <c r="AN1429">
        <v>0.83299999999999996</v>
      </c>
    </row>
    <row r="1430" spans="1:40">
      <c r="A1430">
        <v>3498</v>
      </c>
      <c r="B1430" t="s">
        <v>698</v>
      </c>
      <c r="C1430" t="s">
        <v>693</v>
      </c>
      <c r="D1430" t="s">
        <v>694</v>
      </c>
      <c r="E1430">
        <v>306</v>
      </c>
      <c r="F1430">
        <v>354</v>
      </c>
      <c r="G1430">
        <v>13.966051719999999</v>
      </c>
      <c r="H1430">
        <v>67</v>
      </c>
      <c r="I1430">
        <v>2.1827477000000001E-2</v>
      </c>
      <c r="J1430">
        <v>421</v>
      </c>
      <c r="K1430">
        <v>19287.616249999999</v>
      </c>
      <c r="L1430">
        <v>0.71399999999999997</v>
      </c>
      <c r="M1430">
        <v>0.17962466499999999</v>
      </c>
      <c r="N1430">
        <v>0</v>
      </c>
      <c r="O1430" t="s">
        <v>620</v>
      </c>
      <c r="P1430">
        <f t="shared" si="200"/>
        <v>16.193999999999999</v>
      </c>
      <c r="Q1430">
        <f t="shared" si="201"/>
        <v>1.7999999999999999E-2</v>
      </c>
      <c r="R1430">
        <f t="shared" si="202"/>
        <v>1E-3</v>
      </c>
      <c r="S1430">
        <f t="shared" si="203"/>
        <v>0.71399999999999997</v>
      </c>
      <c r="T1430">
        <f t="shared" si="204"/>
        <v>1.1100000000000001</v>
      </c>
      <c r="U1430">
        <f t="shared" si="205"/>
        <v>5.4132295719999997</v>
      </c>
      <c r="V1430">
        <f t="shared" si="206"/>
        <v>4.0705882352941189E-2</v>
      </c>
      <c r="W1430">
        <f t="shared" si="207"/>
        <v>0.154</v>
      </c>
      <c r="X1430">
        <f t="shared" si="208"/>
        <v>0.76900000000000002</v>
      </c>
      <c r="Y1430">
        <v>122.8834741</v>
      </c>
      <c r="Z1430">
        <v>0</v>
      </c>
      <c r="AA1430">
        <v>88250</v>
      </c>
      <c r="AB1430">
        <v>31723</v>
      </c>
      <c r="AC1430">
        <v>1.0795895999999999E-2</v>
      </c>
      <c r="AD1430">
        <v>0.817760245</v>
      </c>
      <c r="AF1430">
        <v>16.193999999999999</v>
      </c>
      <c r="AG1430">
        <v>1.7999999999999999E-2</v>
      </c>
      <c r="AH1430">
        <v>1E-3</v>
      </c>
      <c r="AI1430">
        <v>0.71399999999999997</v>
      </c>
      <c r="AJ1430">
        <v>1.1100000000000001</v>
      </c>
      <c r="AK1430">
        <v>5.4132295719999997</v>
      </c>
      <c r="AL1430">
        <v>0</v>
      </c>
      <c r="AM1430">
        <v>0.154</v>
      </c>
      <c r="AN1430">
        <v>0.76900000000000002</v>
      </c>
    </row>
    <row r="1431" spans="1:40">
      <c r="A1431">
        <v>3499</v>
      </c>
      <c r="B1431" t="s">
        <v>698</v>
      </c>
      <c r="C1431" t="s">
        <v>693</v>
      </c>
      <c r="D1431" t="s">
        <v>694</v>
      </c>
      <c r="E1431">
        <v>81</v>
      </c>
      <c r="F1431">
        <v>265</v>
      </c>
      <c r="G1431">
        <v>22.9383324</v>
      </c>
      <c r="H1431">
        <v>27</v>
      </c>
      <c r="I1431">
        <v>3.5853484999999997E-2</v>
      </c>
      <c r="J1431">
        <v>292</v>
      </c>
      <c r="K1431">
        <v>8144.257106</v>
      </c>
      <c r="L1431">
        <v>0.73299999999999998</v>
      </c>
      <c r="M1431">
        <v>0.25</v>
      </c>
      <c r="N1431">
        <v>0</v>
      </c>
      <c r="O1431" t="s">
        <v>613</v>
      </c>
      <c r="P1431">
        <f t="shared" si="200"/>
        <v>17.311</v>
      </c>
      <c r="Q1431">
        <f t="shared" si="201"/>
        <v>4.2999999999999997E-2</v>
      </c>
      <c r="R1431">
        <f t="shared" si="202"/>
        <v>2.9000000000000001E-2</v>
      </c>
      <c r="S1431">
        <f t="shared" si="203"/>
        <v>0.73299999999999998</v>
      </c>
      <c r="T1431">
        <f t="shared" si="204"/>
        <v>2.8116666669999999</v>
      </c>
      <c r="U1431">
        <f t="shared" si="205"/>
        <v>6.354520548</v>
      </c>
      <c r="V1431">
        <f t="shared" si="206"/>
        <v>7.0999999999999994E-2</v>
      </c>
      <c r="W1431">
        <f t="shared" si="207"/>
        <v>0.214</v>
      </c>
      <c r="X1431">
        <f t="shared" si="208"/>
        <v>0.71399999999999997</v>
      </c>
      <c r="Y1431">
        <v>122.3876088</v>
      </c>
      <c r="Z1431">
        <v>0</v>
      </c>
      <c r="AA1431">
        <v>88250</v>
      </c>
      <c r="AB1431">
        <v>31723</v>
      </c>
      <c r="AC1431">
        <v>1.0795895999999999E-2</v>
      </c>
      <c r="AD1431">
        <v>0.817760245</v>
      </c>
      <c r="AF1431">
        <v>17.311</v>
      </c>
      <c r="AG1431">
        <v>4.2999999999999997E-2</v>
      </c>
      <c r="AH1431">
        <v>2.9000000000000001E-2</v>
      </c>
      <c r="AI1431">
        <v>0.73299999999999998</v>
      </c>
      <c r="AJ1431">
        <v>2.8116666669999999</v>
      </c>
      <c r="AK1431">
        <v>6.354520548</v>
      </c>
      <c r="AL1431">
        <v>7.0999999999999994E-2</v>
      </c>
      <c r="AM1431">
        <v>0.214</v>
      </c>
      <c r="AN1431">
        <v>0.71399999999999997</v>
      </c>
    </row>
    <row r="1432" spans="1:40">
      <c r="A1432">
        <v>3500</v>
      </c>
      <c r="B1432" t="s">
        <v>698</v>
      </c>
      <c r="C1432" t="s">
        <v>693</v>
      </c>
      <c r="D1432" t="s">
        <v>694</v>
      </c>
      <c r="E1432">
        <v>339</v>
      </c>
      <c r="F1432">
        <v>462</v>
      </c>
      <c r="G1432">
        <v>72.950155679999995</v>
      </c>
      <c r="H1432">
        <v>1462</v>
      </c>
      <c r="I1432">
        <v>0.11402981199999999</v>
      </c>
      <c r="J1432">
        <v>1924</v>
      </c>
      <c r="K1432">
        <v>16872.780599999998</v>
      </c>
      <c r="L1432">
        <v>0.77400000000000002</v>
      </c>
      <c r="M1432">
        <v>0.81177123799999995</v>
      </c>
      <c r="N1432">
        <v>0</v>
      </c>
      <c r="O1432" t="s">
        <v>620</v>
      </c>
      <c r="P1432">
        <f t="shared" si="200"/>
        <v>14.15435811</v>
      </c>
      <c r="Q1432">
        <f t="shared" si="201"/>
        <v>5.0000000000000001E-3</v>
      </c>
      <c r="R1432">
        <f t="shared" si="202"/>
        <v>0.02</v>
      </c>
      <c r="S1432">
        <f t="shared" si="203"/>
        <v>0.77400000000000002</v>
      </c>
      <c r="T1432">
        <f t="shared" si="204"/>
        <v>1.51</v>
      </c>
      <c r="U1432">
        <f t="shared" si="205"/>
        <v>7.9183480450000001</v>
      </c>
      <c r="V1432">
        <f t="shared" si="206"/>
        <v>4.8000000000000001E-2</v>
      </c>
      <c r="W1432">
        <f t="shared" si="207"/>
        <v>1.2E-2</v>
      </c>
      <c r="X1432">
        <f t="shared" si="208"/>
        <v>0.89700000000000002</v>
      </c>
      <c r="Y1432">
        <v>122.2432103</v>
      </c>
      <c r="Z1432">
        <v>0</v>
      </c>
      <c r="AA1432">
        <v>88250</v>
      </c>
      <c r="AB1432">
        <v>31723</v>
      </c>
      <c r="AC1432">
        <v>1.0795895999999999E-2</v>
      </c>
      <c r="AD1432">
        <v>0.817760245</v>
      </c>
      <c r="AF1432">
        <v>14.15435811</v>
      </c>
      <c r="AG1432">
        <v>5.0000000000000001E-3</v>
      </c>
      <c r="AH1432">
        <v>0.02</v>
      </c>
      <c r="AI1432">
        <v>0.77400000000000002</v>
      </c>
      <c r="AJ1432">
        <v>1.51</v>
      </c>
      <c r="AK1432">
        <v>7.9183480450000001</v>
      </c>
      <c r="AL1432">
        <v>4.8000000000000001E-2</v>
      </c>
      <c r="AM1432">
        <v>1.2E-2</v>
      </c>
      <c r="AN1432">
        <v>0.89700000000000002</v>
      </c>
    </row>
    <row r="1433" spans="1:40">
      <c r="A1433">
        <v>3501</v>
      </c>
      <c r="B1433" t="s">
        <v>698</v>
      </c>
      <c r="C1433" t="s">
        <v>693</v>
      </c>
      <c r="D1433" t="s">
        <v>694</v>
      </c>
      <c r="E1433">
        <v>230</v>
      </c>
      <c r="F1433">
        <v>289</v>
      </c>
      <c r="G1433">
        <v>53.58608692</v>
      </c>
      <c r="H1433">
        <v>456</v>
      </c>
      <c r="I1433">
        <v>8.3763115999999999E-2</v>
      </c>
      <c r="J1433">
        <v>745</v>
      </c>
      <c r="K1433">
        <v>8894.1294880000005</v>
      </c>
      <c r="L1433">
        <v>0.75</v>
      </c>
      <c r="M1433">
        <v>0.66472303200000005</v>
      </c>
      <c r="N1433">
        <v>0</v>
      </c>
      <c r="O1433" t="s">
        <v>620</v>
      </c>
      <c r="P1433">
        <f t="shared" si="200"/>
        <v>13.04890625</v>
      </c>
      <c r="Q1433">
        <f t="shared" si="201"/>
        <v>1.4999999999999999E-2</v>
      </c>
      <c r="R1433">
        <f t="shared" si="202"/>
        <v>0.03</v>
      </c>
      <c r="S1433">
        <f t="shared" si="203"/>
        <v>0.75</v>
      </c>
      <c r="T1433">
        <f t="shared" si="204"/>
        <v>1.1681818180000001</v>
      </c>
      <c r="U1433">
        <f t="shared" si="205"/>
        <v>6.4833249999999998</v>
      </c>
      <c r="V1433">
        <f t="shared" si="206"/>
        <v>2.5000000000000001E-2</v>
      </c>
      <c r="W1433">
        <f t="shared" si="207"/>
        <v>2.5000000000000001E-2</v>
      </c>
      <c r="X1433">
        <f t="shared" si="208"/>
        <v>0.81</v>
      </c>
      <c r="Y1433">
        <v>122.34684059999999</v>
      </c>
      <c r="Z1433">
        <v>0</v>
      </c>
      <c r="AA1433">
        <v>88250</v>
      </c>
      <c r="AB1433">
        <v>31723</v>
      </c>
      <c r="AC1433">
        <v>1.0795895999999999E-2</v>
      </c>
      <c r="AD1433">
        <v>0.817760245</v>
      </c>
      <c r="AF1433">
        <v>13.04890625</v>
      </c>
      <c r="AG1433">
        <v>1.4999999999999999E-2</v>
      </c>
      <c r="AH1433">
        <v>0.03</v>
      </c>
      <c r="AI1433">
        <v>0.75</v>
      </c>
      <c r="AJ1433">
        <v>1.1681818180000001</v>
      </c>
      <c r="AK1433">
        <v>6.4833249999999998</v>
      </c>
      <c r="AL1433">
        <v>2.5000000000000001E-2</v>
      </c>
      <c r="AM1433">
        <v>2.5000000000000001E-2</v>
      </c>
      <c r="AN1433">
        <v>0.81</v>
      </c>
    </row>
    <row r="1434" spans="1:40">
      <c r="A1434">
        <v>3502</v>
      </c>
      <c r="B1434" t="s">
        <v>707</v>
      </c>
      <c r="C1434" t="s">
        <v>693</v>
      </c>
      <c r="D1434" t="s">
        <v>694</v>
      </c>
      <c r="E1434">
        <v>15</v>
      </c>
      <c r="F1434">
        <v>24</v>
      </c>
      <c r="G1434">
        <v>112.4630382</v>
      </c>
      <c r="H1434">
        <v>12</v>
      </c>
      <c r="I1434">
        <v>0.17577812000000001</v>
      </c>
      <c r="J1434">
        <v>36</v>
      </c>
      <c r="K1434">
        <v>204.8036468</v>
      </c>
      <c r="L1434">
        <v>0.875</v>
      </c>
      <c r="M1434">
        <v>0.44444444399999999</v>
      </c>
      <c r="N1434">
        <v>0</v>
      </c>
      <c r="O1434" t="s">
        <v>620</v>
      </c>
      <c r="P1434">
        <f t="shared" si="200"/>
        <v>18.273803565652177</v>
      </c>
      <c r="Q1434">
        <f t="shared" si="201"/>
        <v>2.0450000000000006E-2</v>
      </c>
      <c r="R1434">
        <f t="shared" si="202"/>
        <v>0.125</v>
      </c>
      <c r="S1434">
        <f t="shared" si="203"/>
        <v>0.875</v>
      </c>
      <c r="T1434">
        <f t="shared" si="204"/>
        <v>1.1200000000000001</v>
      </c>
      <c r="U1434">
        <f t="shared" si="205"/>
        <v>3.187857143</v>
      </c>
      <c r="V1434">
        <f t="shared" si="206"/>
        <v>0.11835714285714286</v>
      </c>
      <c r="W1434">
        <f t="shared" si="207"/>
        <v>8.5526315789473686E-2</v>
      </c>
      <c r="X1434">
        <f t="shared" si="208"/>
        <v>0.94647826086956499</v>
      </c>
      <c r="Y1434">
        <v>87.817525579999995</v>
      </c>
      <c r="Z1434">
        <v>0</v>
      </c>
      <c r="AA1434">
        <v>21149</v>
      </c>
      <c r="AB1434">
        <v>6968</v>
      </c>
      <c r="AC1434">
        <v>1.6645858999999999E-2</v>
      </c>
      <c r="AD1434">
        <v>0.89069218999999999</v>
      </c>
      <c r="AG1434">
        <v>0</v>
      </c>
      <c r="AH1434">
        <v>0.125</v>
      </c>
      <c r="AI1434">
        <v>0.875</v>
      </c>
      <c r="AJ1434">
        <v>1.1200000000000001</v>
      </c>
      <c r="AK1434">
        <v>3.187857143</v>
      </c>
    </row>
    <row r="1435" spans="1:40">
      <c r="A1435">
        <v>3503</v>
      </c>
      <c r="B1435" t="s">
        <v>707</v>
      </c>
      <c r="C1435" t="s">
        <v>693</v>
      </c>
      <c r="D1435" t="s">
        <v>694</v>
      </c>
      <c r="E1435">
        <v>34</v>
      </c>
      <c r="F1435">
        <v>112</v>
      </c>
      <c r="G1435">
        <v>153.18144430000001</v>
      </c>
      <c r="H1435">
        <v>12</v>
      </c>
      <c r="I1435">
        <v>0.23944932399999999</v>
      </c>
      <c r="J1435">
        <v>124</v>
      </c>
      <c r="K1435">
        <v>517.85487599999999</v>
      </c>
      <c r="L1435">
        <v>0.95499999999999996</v>
      </c>
      <c r="M1435">
        <v>0.26086956500000003</v>
      </c>
      <c r="N1435">
        <v>0</v>
      </c>
      <c r="O1435" t="s">
        <v>625</v>
      </c>
      <c r="P1435">
        <f t="shared" si="200"/>
        <v>13.463333329999999</v>
      </c>
      <c r="Q1435">
        <f t="shared" si="201"/>
        <v>2.0450000000000006E-2</v>
      </c>
      <c r="R1435">
        <f t="shared" si="202"/>
        <v>4.4999999999999998E-2</v>
      </c>
      <c r="S1435">
        <f t="shared" si="203"/>
        <v>0.95499999999999996</v>
      </c>
      <c r="T1435">
        <f t="shared" si="204"/>
        <v>3.03</v>
      </c>
      <c r="U1435">
        <f t="shared" si="205"/>
        <v>7.6185714290000002</v>
      </c>
      <c r="V1435">
        <f t="shared" si="206"/>
        <v>0.11799999999999999</v>
      </c>
      <c r="W1435">
        <f t="shared" si="207"/>
        <v>8.5526315789473686E-2</v>
      </c>
      <c r="X1435">
        <f t="shared" si="208"/>
        <v>0.88200000000000001</v>
      </c>
      <c r="Y1435">
        <v>87.536260189999993</v>
      </c>
      <c r="Z1435">
        <v>0</v>
      </c>
      <c r="AA1435">
        <v>21149</v>
      </c>
      <c r="AB1435">
        <v>6968</v>
      </c>
      <c r="AC1435">
        <v>1.6645858999999999E-2</v>
      </c>
      <c r="AD1435">
        <v>0.89069218999999999</v>
      </c>
      <c r="AF1435">
        <v>13.463333329999999</v>
      </c>
      <c r="AG1435">
        <v>0</v>
      </c>
      <c r="AH1435">
        <v>4.4999999999999998E-2</v>
      </c>
      <c r="AI1435">
        <v>0.95499999999999996</v>
      </c>
      <c r="AJ1435">
        <v>3.03</v>
      </c>
      <c r="AK1435">
        <v>7.6185714290000002</v>
      </c>
      <c r="AL1435">
        <v>0.11799999999999999</v>
      </c>
      <c r="AM1435">
        <v>0</v>
      </c>
      <c r="AN1435">
        <v>0.88200000000000001</v>
      </c>
    </row>
    <row r="1436" spans="1:40">
      <c r="A1436">
        <v>3504</v>
      </c>
      <c r="B1436" t="s">
        <v>698</v>
      </c>
      <c r="C1436" t="s">
        <v>693</v>
      </c>
      <c r="D1436" t="s">
        <v>694</v>
      </c>
      <c r="E1436">
        <v>500</v>
      </c>
      <c r="F1436">
        <v>1581</v>
      </c>
      <c r="G1436">
        <v>337.10851919999999</v>
      </c>
      <c r="H1436">
        <v>54</v>
      </c>
      <c r="I1436">
        <v>0.52693579499999998</v>
      </c>
      <c r="J1436">
        <v>1635</v>
      </c>
      <c r="K1436">
        <v>3102.8448159999998</v>
      </c>
      <c r="L1436">
        <v>0.81200000000000006</v>
      </c>
      <c r="M1436">
        <v>9.7472924000000002E-2</v>
      </c>
      <c r="N1436">
        <v>0</v>
      </c>
      <c r="O1436" t="s">
        <v>625</v>
      </c>
      <c r="P1436">
        <f t="shared" si="200"/>
        <v>20.15154472</v>
      </c>
      <c r="Q1436">
        <f t="shared" si="201"/>
        <v>5.0000000000000001E-3</v>
      </c>
      <c r="R1436">
        <f t="shared" si="202"/>
        <v>2.4E-2</v>
      </c>
      <c r="S1436">
        <f t="shared" si="203"/>
        <v>0.81200000000000006</v>
      </c>
      <c r="T1436">
        <f t="shared" si="204"/>
        <v>1.52</v>
      </c>
      <c r="U1436">
        <f t="shared" si="205"/>
        <v>9.5909185190000006</v>
      </c>
      <c r="V1436">
        <f t="shared" si="206"/>
        <v>1.4999999999999999E-2</v>
      </c>
      <c r="W1436">
        <f t="shared" si="207"/>
        <v>0.03</v>
      </c>
      <c r="X1436">
        <f t="shared" si="208"/>
        <v>0.92500000000000004</v>
      </c>
      <c r="Y1436">
        <v>80.148314679999999</v>
      </c>
      <c r="Z1436">
        <v>0</v>
      </c>
      <c r="AA1436">
        <v>88250</v>
      </c>
      <c r="AB1436">
        <v>31723</v>
      </c>
      <c r="AC1436">
        <v>1.0795895999999999E-2</v>
      </c>
      <c r="AD1436">
        <v>0.817760245</v>
      </c>
      <c r="AF1436">
        <v>20.15154472</v>
      </c>
      <c r="AG1436">
        <v>5.0000000000000001E-3</v>
      </c>
      <c r="AH1436">
        <v>2.4E-2</v>
      </c>
      <c r="AI1436">
        <v>0.81200000000000006</v>
      </c>
      <c r="AJ1436">
        <v>1.52</v>
      </c>
      <c r="AK1436">
        <v>9.5909185190000006</v>
      </c>
      <c r="AL1436">
        <v>1.4999999999999999E-2</v>
      </c>
      <c r="AM1436">
        <v>0.03</v>
      </c>
      <c r="AN1436">
        <v>0.92500000000000004</v>
      </c>
    </row>
    <row r="1437" spans="1:40">
      <c r="A1437">
        <v>3505</v>
      </c>
      <c r="B1437" t="s">
        <v>692</v>
      </c>
      <c r="C1437" t="s">
        <v>693</v>
      </c>
      <c r="D1437" t="s">
        <v>694</v>
      </c>
      <c r="E1437">
        <v>390</v>
      </c>
      <c r="F1437">
        <v>1149</v>
      </c>
      <c r="G1437">
        <v>84.309743049999994</v>
      </c>
      <c r="H1437">
        <v>174</v>
      </c>
      <c r="I1437">
        <v>0.131786444</v>
      </c>
      <c r="J1437">
        <v>1323</v>
      </c>
      <c r="K1437">
        <v>10038.968800000001</v>
      </c>
      <c r="L1437">
        <v>0.85</v>
      </c>
      <c r="M1437">
        <v>0.308510638</v>
      </c>
      <c r="N1437">
        <v>0</v>
      </c>
      <c r="O1437" t="s">
        <v>620</v>
      </c>
      <c r="P1437">
        <f t="shared" si="200"/>
        <v>14.421181819999999</v>
      </c>
      <c r="Q1437">
        <f t="shared" si="201"/>
        <v>0.02</v>
      </c>
      <c r="R1437">
        <f t="shared" si="202"/>
        <v>1.7000000000000001E-2</v>
      </c>
      <c r="S1437">
        <f t="shared" si="203"/>
        <v>0.85</v>
      </c>
      <c r="T1437">
        <f t="shared" si="204"/>
        <v>1.2391666670000001</v>
      </c>
      <c r="U1437">
        <f t="shared" si="205"/>
        <v>7.5192402830000002</v>
      </c>
      <c r="V1437">
        <f t="shared" si="206"/>
        <v>1.6E-2</v>
      </c>
      <c r="W1437">
        <f t="shared" si="207"/>
        <v>7.9000000000000001E-2</v>
      </c>
      <c r="X1437">
        <f t="shared" si="208"/>
        <v>0.873</v>
      </c>
      <c r="Y1437">
        <v>36.727406379999998</v>
      </c>
      <c r="Z1437">
        <v>0</v>
      </c>
      <c r="AA1437">
        <v>77808</v>
      </c>
      <c r="AB1437">
        <v>27489</v>
      </c>
      <c r="AC1437">
        <v>1.1225541E-2</v>
      </c>
      <c r="AD1437">
        <v>0.835708267</v>
      </c>
      <c r="AF1437">
        <v>14.421181819999999</v>
      </c>
      <c r="AG1437">
        <v>0.02</v>
      </c>
      <c r="AH1437">
        <v>1.7000000000000001E-2</v>
      </c>
      <c r="AI1437">
        <v>0.85</v>
      </c>
      <c r="AJ1437">
        <v>1.2391666670000001</v>
      </c>
      <c r="AK1437">
        <v>7.5192402830000002</v>
      </c>
      <c r="AL1437">
        <v>1.6E-2</v>
      </c>
      <c r="AM1437">
        <v>7.9000000000000001E-2</v>
      </c>
      <c r="AN1437">
        <v>0.873</v>
      </c>
    </row>
    <row r="1438" spans="1:40">
      <c r="A1438">
        <v>3506</v>
      </c>
      <c r="B1438" t="s">
        <v>698</v>
      </c>
      <c r="C1438" t="s">
        <v>693</v>
      </c>
      <c r="D1438" t="s">
        <v>694</v>
      </c>
      <c r="E1438">
        <v>148</v>
      </c>
      <c r="F1438">
        <v>380</v>
      </c>
      <c r="G1438">
        <v>791.07267679999995</v>
      </c>
      <c r="H1438">
        <v>1540</v>
      </c>
      <c r="I1438" s="515">
        <v>1.2365378660870701</v>
      </c>
      <c r="J1438">
        <v>1920</v>
      </c>
      <c r="K1438">
        <v>1552.7223650000001</v>
      </c>
      <c r="L1438">
        <v>0.92</v>
      </c>
      <c r="M1438">
        <v>0.91232227499999996</v>
      </c>
      <c r="N1438">
        <v>0</v>
      </c>
      <c r="O1438" t="s">
        <v>625</v>
      </c>
      <c r="P1438">
        <f t="shared" si="200"/>
        <v>19.527972510000001</v>
      </c>
      <c r="Q1438">
        <f t="shared" si="201"/>
        <v>1.452380952380952E-2</v>
      </c>
      <c r="R1438">
        <f t="shared" si="202"/>
        <v>2.4E-2</v>
      </c>
      <c r="S1438">
        <f t="shared" si="203"/>
        <v>0.92</v>
      </c>
      <c r="T1438">
        <f t="shared" si="204"/>
        <v>2.051111111</v>
      </c>
      <c r="U1438">
        <f t="shared" si="205"/>
        <v>14.26764286</v>
      </c>
      <c r="V1438">
        <f t="shared" si="206"/>
        <v>2.5999999999999999E-2</v>
      </c>
      <c r="W1438">
        <f t="shared" si="207"/>
        <v>5.2166666666666632E-2</v>
      </c>
      <c r="X1438">
        <f t="shared" si="208"/>
        <v>0.96</v>
      </c>
      <c r="Y1438">
        <v>12.060481040000001</v>
      </c>
      <c r="Z1438">
        <v>0</v>
      </c>
      <c r="AA1438">
        <v>88250</v>
      </c>
      <c r="AB1438">
        <v>31723</v>
      </c>
      <c r="AC1438">
        <v>1.0795895999999999E-2</v>
      </c>
      <c r="AD1438">
        <v>0.817760245</v>
      </c>
      <c r="AF1438">
        <v>19.527972510000001</v>
      </c>
      <c r="AG1438">
        <v>0</v>
      </c>
      <c r="AH1438">
        <v>2.4E-2</v>
      </c>
      <c r="AI1438">
        <v>0.92</v>
      </c>
      <c r="AJ1438">
        <v>2.051111111</v>
      </c>
      <c r="AK1438">
        <v>14.26764286</v>
      </c>
      <c r="AL1438">
        <v>2.5999999999999999E-2</v>
      </c>
      <c r="AM1438">
        <v>0</v>
      </c>
      <c r="AN1438">
        <v>0.96</v>
      </c>
    </row>
    <row r="1439" spans="1:40">
      <c r="A1439">
        <v>3507</v>
      </c>
      <c r="B1439" t="s">
        <v>698</v>
      </c>
      <c r="C1439" t="s">
        <v>693</v>
      </c>
      <c r="D1439" t="s">
        <v>694</v>
      </c>
      <c r="E1439">
        <v>142</v>
      </c>
      <c r="F1439">
        <v>514</v>
      </c>
      <c r="G1439">
        <v>359.18701779999998</v>
      </c>
      <c r="H1439">
        <v>23</v>
      </c>
      <c r="I1439">
        <v>0.56145433499999997</v>
      </c>
      <c r="J1439">
        <v>537</v>
      </c>
      <c r="K1439">
        <v>956.444659</v>
      </c>
      <c r="L1439">
        <v>0.90500000000000003</v>
      </c>
      <c r="M1439">
        <v>0.13939393899999999</v>
      </c>
      <c r="N1439">
        <v>0</v>
      </c>
      <c r="O1439" t="s">
        <v>625</v>
      </c>
      <c r="P1439">
        <f t="shared" si="200"/>
        <v>16.124749999999999</v>
      </c>
      <c r="Q1439">
        <f t="shared" si="201"/>
        <v>2.7E-2</v>
      </c>
      <c r="R1439">
        <f t="shared" si="202"/>
        <v>8.9999999999999993E-3</v>
      </c>
      <c r="S1439">
        <f t="shared" si="203"/>
        <v>0.90500000000000003</v>
      </c>
      <c r="T1439">
        <f t="shared" si="204"/>
        <v>4.5350000000000001</v>
      </c>
      <c r="U1439">
        <f t="shared" si="205"/>
        <v>9.5825396830000003</v>
      </c>
      <c r="V1439">
        <f t="shared" si="206"/>
        <v>4.0705882352941189E-2</v>
      </c>
      <c r="W1439">
        <f t="shared" si="207"/>
        <v>4.8000000000000001E-2</v>
      </c>
      <c r="X1439">
        <f t="shared" si="208"/>
        <v>0.95199999999999996</v>
      </c>
      <c r="Y1439">
        <v>12.06866123</v>
      </c>
      <c r="Z1439">
        <v>0</v>
      </c>
      <c r="AA1439">
        <v>88250</v>
      </c>
      <c r="AB1439">
        <v>31723</v>
      </c>
      <c r="AC1439">
        <v>1.0795895999999999E-2</v>
      </c>
      <c r="AD1439">
        <v>0.817760245</v>
      </c>
      <c r="AF1439">
        <v>16.124749999999999</v>
      </c>
      <c r="AG1439">
        <v>2.7E-2</v>
      </c>
      <c r="AH1439">
        <v>8.9999999999999993E-3</v>
      </c>
      <c r="AI1439">
        <v>0.90500000000000003</v>
      </c>
      <c r="AJ1439">
        <v>4.5350000000000001</v>
      </c>
      <c r="AK1439">
        <v>9.5825396830000003</v>
      </c>
      <c r="AL1439">
        <v>0</v>
      </c>
      <c r="AM1439">
        <v>4.8000000000000001E-2</v>
      </c>
      <c r="AN1439">
        <v>0.95199999999999996</v>
      </c>
    </row>
    <row r="1440" spans="1:40">
      <c r="A1440">
        <v>3508</v>
      </c>
      <c r="B1440" t="s">
        <v>698</v>
      </c>
      <c r="C1440" t="s">
        <v>693</v>
      </c>
      <c r="D1440" t="s">
        <v>694</v>
      </c>
      <c r="E1440">
        <v>12</v>
      </c>
      <c r="F1440">
        <v>45</v>
      </c>
      <c r="G1440">
        <v>630.59097020000002</v>
      </c>
      <c r="H1440">
        <v>1</v>
      </c>
      <c r="I1440">
        <v>0.98568535400000001</v>
      </c>
      <c r="J1440">
        <v>46</v>
      </c>
      <c r="K1440">
        <v>46.66803642</v>
      </c>
      <c r="L1440">
        <v>0.93300000000000005</v>
      </c>
      <c r="M1440">
        <v>7.6923077000000006E-2</v>
      </c>
      <c r="N1440">
        <v>0</v>
      </c>
      <c r="O1440" t="s">
        <v>625</v>
      </c>
      <c r="P1440">
        <f t="shared" si="200"/>
        <v>15.442500000000001</v>
      </c>
      <c r="Q1440">
        <f t="shared" si="201"/>
        <v>1.452380952380952E-2</v>
      </c>
      <c r="R1440">
        <f t="shared" si="202"/>
        <v>2.0178861788617868E-2</v>
      </c>
      <c r="S1440">
        <f t="shared" si="203"/>
        <v>0.93300000000000005</v>
      </c>
      <c r="T1440">
        <f t="shared" si="204"/>
        <v>2.0047367888780485</v>
      </c>
      <c r="U1440">
        <f t="shared" si="205"/>
        <v>11.786250000000001</v>
      </c>
      <c r="V1440">
        <f t="shared" si="206"/>
        <v>4.0705882352941189E-2</v>
      </c>
      <c r="W1440">
        <f t="shared" si="207"/>
        <v>5.2166666666666632E-2</v>
      </c>
      <c r="X1440">
        <f t="shared" si="208"/>
        <v>1</v>
      </c>
      <c r="Y1440">
        <v>12.09425384</v>
      </c>
      <c r="Z1440">
        <v>0</v>
      </c>
      <c r="AA1440">
        <v>88250</v>
      </c>
      <c r="AB1440">
        <v>31723</v>
      </c>
      <c r="AC1440">
        <v>1.0795895999999999E-2</v>
      </c>
      <c r="AD1440">
        <v>0.817760245</v>
      </c>
      <c r="AF1440">
        <v>15.442500000000001</v>
      </c>
      <c r="AG1440">
        <v>0</v>
      </c>
      <c r="AH1440">
        <v>0</v>
      </c>
      <c r="AI1440">
        <v>0.93300000000000005</v>
      </c>
      <c r="AK1440">
        <v>11.786250000000001</v>
      </c>
      <c r="AL1440">
        <v>0</v>
      </c>
      <c r="AM1440">
        <v>0</v>
      </c>
      <c r="AN1440">
        <v>1</v>
      </c>
    </row>
    <row r="1441" spans="1:40">
      <c r="A1441">
        <v>3509</v>
      </c>
      <c r="B1441" t="s">
        <v>707</v>
      </c>
      <c r="C1441" t="s">
        <v>693</v>
      </c>
      <c r="D1441" t="s">
        <v>694</v>
      </c>
      <c r="E1441">
        <v>8</v>
      </c>
      <c r="F1441">
        <v>26</v>
      </c>
      <c r="G1441">
        <v>1016.939219</v>
      </c>
      <c r="H1441">
        <v>113</v>
      </c>
      <c r="I1441" s="515">
        <v>1.5895487038738301</v>
      </c>
      <c r="J1441">
        <v>139</v>
      </c>
      <c r="K1441">
        <v>87.446203859999997</v>
      </c>
      <c r="L1441">
        <v>0.93899999999999995</v>
      </c>
      <c r="M1441">
        <v>0.93388429799999995</v>
      </c>
      <c r="N1441">
        <v>0</v>
      </c>
      <c r="O1441" t="s">
        <v>625</v>
      </c>
      <c r="P1441">
        <f t="shared" si="200"/>
        <v>19.966000000000001</v>
      </c>
      <c r="Q1441">
        <f t="shared" si="201"/>
        <v>2.0450000000000006E-2</v>
      </c>
      <c r="R1441">
        <f t="shared" si="202"/>
        <v>7.2846153846153852E-2</v>
      </c>
      <c r="S1441">
        <f t="shared" si="203"/>
        <v>0.93899999999999995</v>
      </c>
      <c r="T1441">
        <f t="shared" si="204"/>
        <v>2.2191326312692303</v>
      </c>
      <c r="U1441">
        <f t="shared" si="205"/>
        <v>15.52080645</v>
      </c>
      <c r="V1441">
        <f t="shared" si="206"/>
        <v>0.11835714285714286</v>
      </c>
      <c r="W1441">
        <f t="shared" si="207"/>
        <v>8.5526315789473686E-2</v>
      </c>
      <c r="X1441">
        <f t="shared" si="208"/>
        <v>1</v>
      </c>
      <c r="Y1441">
        <v>12.06283316</v>
      </c>
      <c r="Z1441">
        <v>0</v>
      </c>
      <c r="AA1441">
        <v>21149</v>
      </c>
      <c r="AB1441">
        <v>6968</v>
      </c>
      <c r="AC1441">
        <v>1.6645858999999999E-2</v>
      </c>
      <c r="AD1441">
        <v>0.89069218999999999</v>
      </c>
      <c r="AF1441">
        <v>19.966000000000001</v>
      </c>
      <c r="AG1441">
        <v>0</v>
      </c>
      <c r="AH1441">
        <v>0</v>
      </c>
      <c r="AI1441">
        <v>0.93899999999999995</v>
      </c>
      <c r="AK1441">
        <v>15.52080645</v>
      </c>
      <c r="AL1441">
        <v>0</v>
      </c>
      <c r="AM1441">
        <v>0</v>
      </c>
      <c r="AN1441">
        <v>1</v>
      </c>
    </row>
    <row r="1442" spans="1:40">
      <c r="A1442">
        <v>3510</v>
      </c>
      <c r="B1442" t="s">
        <v>707</v>
      </c>
      <c r="C1442" t="s">
        <v>693</v>
      </c>
      <c r="D1442" t="s">
        <v>694</v>
      </c>
      <c r="E1442">
        <v>8</v>
      </c>
      <c r="F1442">
        <v>27</v>
      </c>
      <c r="G1442">
        <v>1475.9827130000001</v>
      </c>
      <c r="H1442">
        <v>5</v>
      </c>
      <c r="I1442" s="515">
        <v>2.3070988763617599</v>
      </c>
      <c r="J1442">
        <v>32</v>
      </c>
      <c r="K1442">
        <v>13.870233450000001</v>
      </c>
      <c r="L1442" s="515">
        <v>1</v>
      </c>
      <c r="M1442">
        <v>0.38461538499999998</v>
      </c>
      <c r="N1442">
        <v>0</v>
      </c>
      <c r="O1442" t="s">
        <v>625</v>
      </c>
      <c r="P1442">
        <f t="shared" si="200"/>
        <v>38.29</v>
      </c>
      <c r="Q1442">
        <f t="shared" si="201"/>
        <v>2.0450000000000006E-2</v>
      </c>
      <c r="R1442">
        <f t="shared" si="202"/>
        <v>7.2846153846153852E-2</v>
      </c>
      <c r="S1442">
        <f t="shared" si="203"/>
        <v>1</v>
      </c>
      <c r="T1442">
        <f t="shared" si="204"/>
        <v>2.2191326312692303</v>
      </c>
      <c r="U1442">
        <f t="shared" si="205"/>
        <v>17.385000000000002</v>
      </c>
      <c r="V1442">
        <f t="shared" si="206"/>
        <v>0.11835714285714286</v>
      </c>
      <c r="W1442">
        <f t="shared" si="207"/>
        <v>8.5526315789473686E-2</v>
      </c>
      <c r="X1442">
        <f t="shared" si="208"/>
        <v>1</v>
      </c>
      <c r="Y1442">
        <v>12.06027125</v>
      </c>
      <c r="Z1442">
        <v>0</v>
      </c>
      <c r="AA1442">
        <v>21149</v>
      </c>
      <c r="AB1442">
        <v>6968</v>
      </c>
      <c r="AC1442">
        <v>1.6645858999999999E-2</v>
      </c>
      <c r="AD1442">
        <v>0.89069218999999999</v>
      </c>
      <c r="AF1442">
        <v>38.29</v>
      </c>
      <c r="AG1442">
        <v>0</v>
      </c>
      <c r="AH1442">
        <v>0</v>
      </c>
      <c r="AI1442">
        <v>1</v>
      </c>
      <c r="AK1442">
        <v>17.385000000000002</v>
      </c>
      <c r="AL1442">
        <v>0</v>
      </c>
      <c r="AM1442">
        <v>0</v>
      </c>
      <c r="AN1442">
        <v>1</v>
      </c>
    </row>
    <row r="1443" spans="1:40">
      <c r="A1443">
        <v>3511</v>
      </c>
      <c r="B1443" t="s">
        <v>698</v>
      </c>
      <c r="C1443" t="s">
        <v>693</v>
      </c>
      <c r="D1443" t="s">
        <v>694</v>
      </c>
      <c r="E1443">
        <v>245</v>
      </c>
      <c r="F1443">
        <v>1159</v>
      </c>
      <c r="G1443">
        <v>69.692286109999998</v>
      </c>
      <c r="H1443">
        <v>28</v>
      </c>
      <c r="I1443">
        <v>0.108931447</v>
      </c>
      <c r="J1443">
        <v>1187</v>
      </c>
      <c r="K1443">
        <v>10896.76152</v>
      </c>
      <c r="L1443">
        <v>0.78500000000000003</v>
      </c>
      <c r="M1443">
        <v>0.102564103</v>
      </c>
      <c r="N1443">
        <v>0</v>
      </c>
      <c r="O1443" t="s">
        <v>620</v>
      </c>
      <c r="P1443">
        <f t="shared" si="200"/>
        <v>15.0642</v>
      </c>
      <c r="Q1443">
        <f t="shared" si="201"/>
        <v>3.3000000000000002E-2</v>
      </c>
      <c r="R1443">
        <f t="shared" si="202"/>
        <v>1.7999999999999999E-2</v>
      </c>
      <c r="S1443">
        <f t="shared" si="203"/>
        <v>0.78500000000000003</v>
      </c>
      <c r="T1443">
        <f t="shared" si="204"/>
        <v>3.0836363640000002</v>
      </c>
      <c r="U1443">
        <f t="shared" si="205"/>
        <v>6.9744349679999997</v>
      </c>
      <c r="V1443">
        <f t="shared" si="206"/>
        <v>5.0999999999999997E-2</v>
      </c>
      <c r="W1443">
        <f t="shared" si="207"/>
        <v>8.5000000000000006E-2</v>
      </c>
      <c r="X1443">
        <f t="shared" si="208"/>
        <v>0.84699999999999998</v>
      </c>
      <c r="Y1443">
        <v>21.847476220000001</v>
      </c>
      <c r="Z1443">
        <v>0</v>
      </c>
      <c r="AA1443">
        <v>88250</v>
      </c>
      <c r="AB1443">
        <v>31723</v>
      </c>
      <c r="AC1443">
        <v>1.0795895999999999E-2</v>
      </c>
      <c r="AD1443">
        <v>0.817760245</v>
      </c>
      <c r="AF1443">
        <v>15.0642</v>
      </c>
      <c r="AG1443">
        <v>3.3000000000000002E-2</v>
      </c>
      <c r="AH1443">
        <v>1.7999999999999999E-2</v>
      </c>
      <c r="AI1443">
        <v>0.78500000000000003</v>
      </c>
      <c r="AJ1443">
        <v>3.0836363640000002</v>
      </c>
      <c r="AK1443">
        <v>6.9744349679999997</v>
      </c>
      <c r="AL1443">
        <v>5.0999999999999997E-2</v>
      </c>
      <c r="AM1443">
        <v>8.5000000000000006E-2</v>
      </c>
      <c r="AN1443">
        <v>0.84699999999999998</v>
      </c>
    </row>
    <row r="1444" spans="1:40">
      <c r="A1444">
        <v>3512</v>
      </c>
      <c r="B1444" t="s">
        <v>698</v>
      </c>
      <c r="C1444" t="s">
        <v>693</v>
      </c>
      <c r="D1444" t="s">
        <v>694</v>
      </c>
      <c r="E1444">
        <v>277</v>
      </c>
      <c r="F1444">
        <v>845</v>
      </c>
      <c r="G1444">
        <v>96.398782010000005</v>
      </c>
      <c r="H1444">
        <v>0</v>
      </c>
      <c r="I1444">
        <v>0.15068020700000001</v>
      </c>
      <c r="J1444">
        <v>845</v>
      </c>
      <c r="K1444">
        <v>5607.9031000000004</v>
      </c>
      <c r="L1444">
        <v>0.91900000000000004</v>
      </c>
      <c r="M1444">
        <v>0</v>
      </c>
      <c r="N1444">
        <v>0</v>
      </c>
      <c r="O1444" t="s">
        <v>620</v>
      </c>
      <c r="P1444">
        <f t="shared" si="200"/>
        <v>18.66373626</v>
      </c>
      <c r="Q1444">
        <f t="shared" si="201"/>
        <v>8.0000000000000002E-3</v>
      </c>
      <c r="R1444">
        <f t="shared" si="202"/>
        <v>8.0000000000000002E-3</v>
      </c>
      <c r="S1444">
        <f t="shared" si="203"/>
        <v>0.91900000000000004</v>
      </c>
      <c r="T1444">
        <f t="shared" si="204"/>
        <v>1.69</v>
      </c>
      <c r="U1444">
        <f t="shared" si="205"/>
        <v>8.1800943400000001</v>
      </c>
      <c r="V1444">
        <f t="shared" si="206"/>
        <v>4.0705882352941189E-2</v>
      </c>
      <c r="W1444">
        <f t="shared" si="207"/>
        <v>4.2000000000000003E-2</v>
      </c>
      <c r="X1444">
        <f t="shared" si="208"/>
        <v>0.95799999999999996</v>
      </c>
      <c r="Y1444">
        <v>21.97864611</v>
      </c>
      <c r="Z1444">
        <v>0</v>
      </c>
      <c r="AA1444">
        <v>88250</v>
      </c>
      <c r="AB1444">
        <v>31723</v>
      </c>
      <c r="AC1444">
        <v>1.0795895999999999E-2</v>
      </c>
      <c r="AD1444">
        <v>0.817760245</v>
      </c>
      <c r="AF1444">
        <v>18.66373626</v>
      </c>
      <c r="AG1444">
        <v>8.0000000000000002E-3</v>
      </c>
      <c r="AH1444">
        <v>8.0000000000000002E-3</v>
      </c>
      <c r="AI1444">
        <v>0.91900000000000004</v>
      </c>
      <c r="AJ1444">
        <v>1.69</v>
      </c>
      <c r="AK1444">
        <v>8.1800943400000001</v>
      </c>
      <c r="AL1444">
        <v>0</v>
      </c>
      <c r="AM1444">
        <v>4.2000000000000003E-2</v>
      </c>
      <c r="AN1444">
        <v>0.95799999999999996</v>
      </c>
    </row>
    <row r="1445" spans="1:40">
      <c r="A1445">
        <v>3513</v>
      </c>
      <c r="B1445" t="s">
        <v>698</v>
      </c>
      <c r="C1445" t="s">
        <v>693</v>
      </c>
      <c r="D1445" t="s">
        <v>694</v>
      </c>
      <c r="E1445">
        <v>148</v>
      </c>
      <c r="F1445">
        <v>477</v>
      </c>
      <c r="G1445">
        <v>117.0072354</v>
      </c>
      <c r="H1445">
        <v>0</v>
      </c>
      <c r="I1445">
        <v>0.182902859</v>
      </c>
      <c r="J1445">
        <v>477</v>
      </c>
      <c r="K1445">
        <v>2607.941738</v>
      </c>
      <c r="L1445">
        <v>0.80100000000000005</v>
      </c>
      <c r="M1445">
        <v>0</v>
      </c>
      <c r="N1445">
        <v>0</v>
      </c>
      <c r="O1445" t="s">
        <v>625</v>
      </c>
      <c r="P1445">
        <f t="shared" si="200"/>
        <v>18.16121622</v>
      </c>
      <c r="Q1445">
        <f t="shared" si="201"/>
        <v>4.5999999999999999E-2</v>
      </c>
      <c r="R1445">
        <f t="shared" si="202"/>
        <v>2.8000000000000001E-2</v>
      </c>
      <c r="S1445">
        <f t="shared" si="203"/>
        <v>0.80100000000000005</v>
      </c>
      <c r="T1445">
        <f t="shared" si="204"/>
        <v>1.468888889</v>
      </c>
      <c r="U1445">
        <f t="shared" si="205"/>
        <v>8.5123735410000005</v>
      </c>
      <c r="V1445">
        <f t="shared" si="206"/>
        <v>2.3E-2</v>
      </c>
      <c r="W1445">
        <f t="shared" si="207"/>
        <v>9.2999999999999999E-2</v>
      </c>
      <c r="X1445">
        <f t="shared" si="208"/>
        <v>0.86</v>
      </c>
      <c r="Y1445">
        <v>22.113821009999999</v>
      </c>
      <c r="Z1445">
        <v>0</v>
      </c>
      <c r="AA1445">
        <v>88250</v>
      </c>
      <c r="AB1445">
        <v>31723</v>
      </c>
      <c r="AC1445">
        <v>1.0795895999999999E-2</v>
      </c>
      <c r="AD1445">
        <v>0.817760245</v>
      </c>
      <c r="AF1445">
        <v>18.16121622</v>
      </c>
      <c r="AG1445">
        <v>4.5999999999999999E-2</v>
      </c>
      <c r="AH1445">
        <v>2.8000000000000001E-2</v>
      </c>
      <c r="AI1445">
        <v>0.80100000000000005</v>
      </c>
      <c r="AJ1445">
        <v>1.468888889</v>
      </c>
      <c r="AK1445">
        <v>8.5123735410000005</v>
      </c>
      <c r="AL1445">
        <v>2.3E-2</v>
      </c>
      <c r="AM1445">
        <v>9.2999999999999999E-2</v>
      </c>
      <c r="AN1445">
        <v>0.86</v>
      </c>
    </row>
    <row r="1446" spans="1:40">
      <c r="A1446">
        <v>3514</v>
      </c>
      <c r="B1446" t="s">
        <v>698</v>
      </c>
      <c r="C1446" t="s">
        <v>693</v>
      </c>
      <c r="D1446" t="s">
        <v>694</v>
      </c>
      <c r="E1446">
        <v>453</v>
      </c>
      <c r="F1446">
        <v>1125</v>
      </c>
      <c r="G1446">
        <v>73.709663309999996</v>
      </c>
      <c r="H1446">
        <v>125</v>
      </c>
      <c r="I1446">
        <v>0.115216738</v>
      </c>
      <c r="J1446">
        <v>1250</v>
      </c>
      <c r="K1446">
        <v>10849.118119999999</v>
      </c>
      <c r="L1446">
        <v>0.76100000000000001</v>
      </c>
      <c r="M1446">
        <v>0.216262976</v>
      </c>
      <c r="N1446">
        <v>0</v>
      </c>
      <c r="O1446" t="s">
        <v>620</v>
      </c>
      <c r="P1446">
        <f t="shared" si="200"/>
        <v>18.945546220000001</v>
      </c>
      <c r="Q1446">
        <f t="shared" si="201"/>
        <v>6.0000000000000001E-3</v>
      </c>
      <c r="R1446">
        <f t="shared" si="202"/>
        <v>2.7E-2</v>
      </c>
      <c r="S1446">
        <f t="shared" si="203"/>
        <v>0.76100000000000001</v>
      </c>
      <c r="T1446">
        <f t="shared" si="204"/>
        <v>1.963333333</v>
      </c>
      <c r="U1446">
        <f t="shared" si="205"/>
        <v>7.5921331319999998</v>
      </c>
      <c r="V1446">
        <f t="shared" si="206"/>
        <v>2.9000000000000001E-2</v>
      </c>
      <c r="W1446">
        <f t="shared" si="207"/>
        <v>1.4999999999999999E-2</v>
      </c>
      <c r="X1446">
        <f t="shared" si="208"/>
        <v>0.875</v>
      </c>
      <c r="Y1446">
        <v>146.2030292</v>
      </c>
      <c r="Z1446">
        <v>0</v>
      </c>
      <c r="AA1446">
        <v>88250</v>
      </c>
      <c r="AB1446">
        <v>31723</v>
      </c>
      <c r="AC1446">
        <v>1.0795895999999999E-2</v>
      </c>
      <c r="AD1446">
        <v>0.817760245</v>
      </c>
      <c r="AF1446">
        <v>18.945546220000001</v>
      </c>
      <c r="AG1446">
        <v>6.0000000000000001E-3</v>
      </c>
      <c r="AH1446">
        <v>2.7E-2</v>
      </c>
      <c r="AI1446">
        <v>0.76100000000000001</v>
      </c>
      <c r="AJ1446">
        <v>1.963333333</v>
      </c>
      <c r="AK1446">
        <v>7.5921331319999998</v>
      </c>
      <c r="AL1446">
        <v>2.9000000000000001E-2</v>
      </c>
      <c r="AM1446">
        <v>1.4999999999999999E-2</v>
      </c>
      <c r="AN1446">
        <v>0.875</v>
      </c>
    </row>
    <row r="1447" spans="1:40">
      <c r="A1447">
        <v>3515</v>
      </c>
      <c r="B1447" t="s">
        <v>698</v>
      </c>
      <c r="C1447" t="s">
        <v>693</v>
      </c>
      <c r="D1447" t="s">
        <v>694</v>
      </c>
      <c r="E1447">
        <v>156</v>
      </c>
      <c r="F1447">
        <v>502</v>
      </c>
      <c r="G1447">
        <v>49.378598080000003</v>
      </c>
      <c r="H1447">
        <v>53</v>
      </c>
      <c r="I1447">
        <v>7.7180278000000005E-2</v>
      </c>
      <c r="J1447">
        <v>555</v>
      </c>
      <c r="K1447">
        <v>7190.9562180000003</v>
      </c>
      <c r="L1447">
        <v>0.80400000000000005</v>
      </c>
      <c r="M1447">
        <v>0.25358851700000001</v>
      </c>
      <c r="N1447">
        <v>0</v>
      </c>
      <c r="O1447" t="s">
        <v>620</v>
      </c>
      <c r="P1447">
        <f t="shared" si="200"/>
        <v>23.692857140000001</v>
      </c>
      <c r="Q1447">
        <f t="shared" si="201"/>
        <v>1.6E-2</v>
      </c>
      <c r="R1447">
        <f t="shared" si="202"/>
        <v>2.5000000000000001E-2</v>
      </c>
      <c r="S1447">
        <f t="shared" si="203"/>
        <v>0.80400000000000005</v>
      </c>
      <c r="T1447">
        <f t="shared" si="204"/>
        <v>1.0275000000000001</v>
      </c>
      <c r="U1447">
        <f t="shared" si="205"/>
        <v>7.7860330580000001</v>
      </c>
      <c r="V1447">
        <f t="shared" si="206"/>
        <v>6.7000000000000004E-2</v>
      </c>
      <c r="W1447">
        <f t="shared" si="207"/>
        <v>5.2166666666666632E-2</v>
      </c>
      <c r="X1447">
        <f t="shared" si="208"/>
        <v>0.93300000000000005</v>
      </c>
      <c r="Y1447">
        <v>146.81706750000001</v>
      </c>
      <c r="Z1447">
        <v>0</v>
      </c>
      <c r="AA1447">
        <v>88250</v>
      </c>
      <c r="AB1447">
        <v>31723</v>
      </c>
      <c r="AC1447">
        <v>1.0795895999999999E-2</v>
      </c>
      <c r="AD1447">
        <v>0.817760245</v>
      </c>
      <c r="AF1447">
        <v>23.692857140000001</v>
      </c>
      <c r="AG1447">
        <v>1.6E-2</v>
      </c>
      <c r="AH1447">
        <v>2.5000000000000001E-2</v>
      </c>
      <c r="AI1447">
        <v>0.80400000000000005</v>
      </c>
      <c r="AJ1447">
        <v>1.0275000000000001</v>
      </c>
      <c r="AK1447">
        <v>7.7860330580000001</v>
      </c>
      <c r="AL1447">
        <v>6.7000000000000004E-2</v>
      </c>
      <c r="AM1447">
        <v>0</v>
      </c>
      <c r="AN1447">
        <v>0.93300000000000005</v>
      </c>
    </row>
    <row r="1448" spans="1:40">
      <c r="A1448">
        <v>3516</v>
      </c>
      <c r="B1448" t="s">
        <v>698</v>
      </c>
      <c r="C1448" t="s">
        <v>693</v>
      </c>
      <c r="D1448" t="s">
        <v>694</v>
      </c>
      <c r="E1448">
        <v>0</v>
      </c>
      <c r="F1448">
        <v>0</v>
      </c>
      <c r="G1448">
        <v>843.0029796</v>
      </c>
      <c r="H1448">
        <v>8653</v>
      </c>
      <c r="I1448" s="515">
        <v>1.3177142506908699</v>
      </c>
      <c r="J1448">
        <v>8653</v>
      </c>
      <c r="K1448">
        <v>6566.6740689999997</v>
      </c>
      <c r="L1448">
        <v>0.86599999999999999</v>
      </c>
      <c r="M1448" s="515">
        <v>1</v>
      </c>
      <c r="N1448">
        <v>0</v>
      </c>
      <c r="O1448" t="s">
        <v>620</v>
      </c>
      <c r="P1448">
        <f t="shared" si="200"/>
        <v>19.519358409999999</v>
      </c>
      <c r="Q1448">
        <f t="shared" si="201"/>
        <v>1.452380952380952E-2</v>
      </c>
      <c r="R1448">
        <f t="shared" si="202"/>
        <v>3.1E-2</v>
      </c>
      <c r="S1448">
        <f t="shared" si="203"/>
        <v>0.86599999999999999</v>
      </c>
      <c r="T1448">
        <f t="shared" si="204"/>
        <v>2.3883035709999998</v>
      </c>
      <c r="U1448">
        <f t="shared" si="205"/>
        <v>14.527248889999999</v>
      </c>
      <c r="V1448">
        <f t="shared" si="206"/>
        <v>3.4000000000000002E-2</v>
      </c>
      <c r="W1448">
        <f t="shared" si="207"/>
        <v>5.2166666666666632E-2</v>
      </c>
      <c r="X1448">
        <f t="shared" si="208"/>
        <v>0.95399999999999996</v>
      </c>
      <c r="Y1448">
        <v>30.164274169999999</v>
      </c>
      <c r="Z1448">
        <v>0</v>
      </c>
      <c r="AA1448">
        <v>88250</v>
      </c>
      <c r="AB1448">
        <v>31723</v>
      </c>
      <c r="AC1448">
        <v>1.0795895999999999E-2</v>
      </c>
      <c r="AD1448">
        <v>0.817760245</v>
      </c>
      <c r="AF1448">
        <v>19.519358409999999</v>
      </c>
      <c r="AG1448">
        <v>0</v>
      </c>
      <c r="AH1448">
        <v>3.1E-2</v>
      </c>
      <c r="AI1448">
        <v>0.86599999999999999</v>
      </c>
      <c r="AJ1448">
        <v>2.3883035709999998</v>
      </c>
      <c r="AK1448">
        <v>14.527248889999999</v>
      </c>
      <c r="AL1448">
        <v>3.4000000000000002E-2</v>
      </c>
      <c r="AM1448">
        <v>0</v>
      </c>
      <c r="AN1448">
        <v>0.95399999999999996</v>
      </c>
    </row>
    <row r="1449" spans="1:40">
      <c r="A1449">
        <v>3517</v>
      </c>
      <c r="B1449" t="s">
        <v>698</v>
      </c>
      <c r="C1449" t="s">
        <v>693</v>
      </c>
      <c r="D1449" t="s">
        <v>694</v>
      </c>
      <c r="E1449">
        <v>265</v>
      </c>
      <c r="F1449">
        <v>872</v>
      </c>
      <c r="G1449">
        <v>49.381086809999999</v>
      </c>
      <c r="H1449">
        <v>0</v>
      </c>
      <c r="I1449">
        <v>7.7186644999999998E-2</v>
      </c>
      <c r="J1449">
        <v>872</v>
      </c>
      <c r="K1449">
        <v>11297.29113</v>
      </c>
      <c r="L1449">
        <v>0.81</v>
      </c>
      <c r="M1449">
        <v>0</v>
      </c>
      <c r="N1449">
        <v>0</v>
      </c>
      <c r="O1449" t="s">
        <v>620</v>
      </c>
      <c r="P1449">
        <f t="shared" si="200"/>
        <v>17.683666670000001</v>
      </c>
      <c r="Q1449">
        <f t="shared" si="201"/>
        <v>2.1999999999999999E-2</v>
      </c>
      <c r="R1449">
        <f t="shared" si="202"/>
        <v>1.7999999999999999E-2</v>
      </c>
      <c r="S1449">
        <f t="shared" si="203"/>
        <v>0.81</v>
      </c>
      <c r="T1449">
        <f t="shared" si="204"/>
        <v>2.3919999999999999</v>
      </c>
      <c r="U1449">
        <f t="shared" si="205"/>
        <v>6.6074299070000002</v>
      </c>
      <c r="V1449">
        <f t="shared" si="206"/>
        <v>4.9000000000000002E-2</v>
      </c>
      <c r="W1449">
        <f t="shared" si="207"/>
        <v>7.8E-2</v>
      </c>
      <c r="X1449">
        <f t="shared" si="208"/>
        <v>0.874</v>
      </c>
      <c r="Y1449">
        <v>147.0927758</v>
      </c>
      <c r="Z1449">
        <v>0</v>
      </c>
      <c r="AA1449">
        <v>88250</v>
      </c>
      <c r="AB1449">
        <v>31723</v>
      </c>
      <c r="AC1449">
        <v>1.0795895999999999E-2</v>
      </c>
      <c r="AD1449">
        <v>0.817760245</v>
      </c>
      <c r="AF1449">
        <v>17.683666670000001</v>
      </c>
      <c r="AG1449">
        <v>2.1999999999999999E-2</v>
      </c>
      <c r="AH1449">
        <v>1.7999999999999999E-2</v>
      </c>
      <c r="AI1449">
        <v>0.81</v>
      </c>
      <c r="AJ1449">
        <v>2.3919999999999999</v>
      </c>
      <c r="AK1449">
        <v>6.6074299070000002</v>
      </c>
      <c r="AL1449">
        <v>4.9000000000000002E-2</v>
      </c>
      <c r="AM1449">
        <v>7.8E-2</v>
      </c>
      <c r="AN1449">
        <v>0.874</v>
      </c>
    </row>
    <row r="1450" spans="1:40">
      <c r="A1450">
        <v>3518</v>
      </c>
      <c r="B1450" t="s">
        <v>692</v>
      </c>
      <c r="C1450" t="s">
        <v>693</v>
      </c>
      <c r="D1450" t="s">
        <v>694</v>
      </c>
      <c r="E1450">
        <v>215</v>
      </c>
      <c r="F1450">
        <v>457</v>
      </c>
      <c r="G1450">
        <v>237.2927976</v>
      </c>
      <c r="H1450">
        <v>103</v>
      </c>
      <c r="I1450">
        <v>0.370929334</v>
      </c>
      <c r="J1450">
        <v>560</v>
      </c>
      <c r="K1450">
        <v>1509.721526</v>
      </c>
      <c r="L1450">
        <v>0.874</v>
      </c>
      <c r="M1450">
        <v>0.32389937099999999</v>
      </c>
      <c r="N1450">
        <v>0</v>
      </c>
      <c r="O1450" t="s">
        <v>625</v>
      </c>
      <c r="P1450">
        <f t="shared" si="200"/>
        <v>17.67403509</v>
      </c>
      <c r="Q1450">
        <f t="shared" si="201"/>
        <v>1.2828282828282822E-2</v>
      </c>
      <c r="R1450">
        <f t="shared" si="202"/>
        <v>2.7E-2</v>
      </c>
      <c r="S1450">
        <f t="shared" si="203"/>
        <v>0.874</v>
      </c>
      <c r="T1450">
        <f t="shared" si="204"/>
        <v>2.2650000000000001</v>
      </c>
      <c r="U1450">
        <f t="shared" si="205"/>
        <v>9.5097515529999992</v>
      </c>
      <c r="V1450">
        <f t="shared" si="206"/>
        <v>6.6000000000000003E-2</v>
      </c>
      <c r="W1450">
        <f t="shared" si="207"/>
        <v>4.7929411764705873E-2</v>
      </c>
      <c r="X1450">
        <f t="shared" si="208"/>
        <v>0.93400000000000005</v>
      </c>
      <c r="Y1450">
        <v>27.915348890000001</v>
      </c>
      <c r="Z1450">
        <v>0</v>
      </c>
      <c r="AA1450">
        <v>77808</v>
      </c>
      <c r="AB1450">
        <v>27489</v>
      </c>
      <c r="AC1450">
        <v>1.1225541E-2</v>
      </c>
      <c r="AD1450">
        <v>0.835708267</v>
      </c>
      <c r="AF1450">
        <v>17.67403509</v>
      </c>
      <c r="AG1450">
        <v>0</v>
      </c>
      <c r="AH1450">
        <v>2.7E-2</v>
      </c>
      <c r="AI1450">
        <v>0.874</v>
      </c>
      <c r="AJ1450">
        <v>2.2650000000000001</v>
      </c>
      <c r="AK1450">
        <v>9.5097515529999992</v>
      </c>
      <c r="AL1450">
        <v>6.6000000000000003E-2</v>
      </c>
      <c r="AM1450">
        <v>0</v>
      </c>
      <c r="AN1450">
        <v>0.93400000000000005</v>
      </c>
    </row>
    <row r="1451" spans="1:40">
      <c r="A1451">
        <v>3519</v>
      </c>
      <c r="B1451" t="s">
        <v>698</v>
      </c>
      <c r="C1451" t="s">
        <v>693</v>
      </c>
      <c r="D1451" t="s">
        <v>694</v>
      </c>
      <c r="E1451">
        <v>261</v>
      </c>
      <c r="F1451">
        <v>706</v>
      </c>
      <c r="G1451">
        <v>67.218398960000002</v>
      </c>
      <c r="H1451">
        <v>178</v>
      </c>
      <c r="I1451">
        <v>0.105075302</v>
      </c>
      <c r="J1451">
        <v>884</v>
      </c>
      <c r="K1451">
        <v>8413.014126</v>
      </c>
      <c r="L1451">
        <v>0.72099999999999997</v>
      </c>
      <c r="M1451">
        <v>0.40546696999999998</v>
      </c>
      <c r="N1451">
        <v>0</v>
      </c>
      <c r="O1451" t="s">
        <v>620</v>
      </c>
      <c r="P1451">
        <f t="shared" si="200"/>
        <v>14.35797872</v>
      </c>
      <c r="Q1451">
        <f t="shared" si="201"/>
        <v>1.7999999999999999E-2</v>
      </c>
      <c r="R1451">
        <f t="shared" si="202"/>
        <v>0.02</v>
      </c>
      <c r="S1451">
        <f t="shared" si="203"/>
        <v>0.72099999999999997</v>
      </c>
      <c r="T1451">
        <f t="shared" si="204"/>
        <v>2.076363636</v>
      </c>
      <c r="U1451">
        <f t="shared" si="205"/>
        <v>8.0040419949999997</v>
      </c>
      <c r="V1451">
        <f t="shared" si="206"/>
        <v>1.9E-2</v>
      </c>
      <c r="W1451">
        <f t="shared" si="207"/>
        <v>3.7999999999999999E-2</v>
      </c>
      <c r="X1451">
        <f t="shared" si="208"/>
        <v>0.90400000000000003</v>
      </c>
      <c r="Y1451">
        <v>101.7896611</v>
      </c>
      <c r="Z1451">
        <v>0</v>
      </c>
      <c r="AA1451">
        <v>88250</v>
      </c>
      <c r="AB1451">
        <v>31723</v>
      </c>
      <c r="AC1451">
        <v>1.0795895999999999E-2</v>
      </c>
      <c r="AD1451">
        <v>0.817760245</v>
      </c>
      <c r="AF1451">
        <v>14.35797872</v>
      </c>
      <c r="AG1451">
        <v>1.7999999999999999E-2</v>
      </c>
      <c r="AH1451">
        <v>0.02</v>
      </c>
      <c r="AI1451">
        <v>0.72099999999999997</v>
      </c>
      <c r="AJ1451">
        <v>2.076363636</v>
      </c>
      <c r="AK1451">
        <v>8.0040419949999997</v>
      </c>
      <c r="AL1451">
        <v>1.9E-2</v>
      </c>
      <c r="AM1451">
        <v>3.7999999999999999E-2</v>
      </c>
      <c r="AN1451">
        <v>0.90400000000000003</v>
      </c>
    </row>
    <row r="1452" spans="1:40">
      <c r="A1452">
        <v>3520</v>
      </c>
      <c r="B1452" t="s">
        <v>698</v>
      </c>
      <c r="C1452" t="s">
        <v>693</v>
      </c>
      <c r="D1452" t="s">
        <v>694</v>
      </c>
      <c r="E1452">
        <v>86</v>
      </c>
      <c r="F1452">
        <v>313</v>
      </c>
      <c r="G1452">
        <v>54.81556793</v>
      </c>
      <c r="H1452">
        <v>3</v>
      </c>
      <c r="I1452">
        <v>8.5684860000000002E-2</v>
      </c>
      <c r="J1452">
        <v>316</v>
      </c>
      <c r="K1452">
        <v>3687.932734</v>
      </c>
      <c r="L1452">
        <v>0.88700000000000001</v>
      </c>
      <c r="M1452">
        <v>3.3707864999999997E-2</v>
      </c>
      <c r="N1452">
        <v>0</v>
      </c>
      <c r="O1452" t="s">
        <v>625</v>
      </c>
      <c r="P1452">
        <f t="shared" si="200"/>
        <v>16.82644444</v>
      </c>
      <c r="Q1452">
        <f t="shared" si="201"/>
        <v>1.452380952380952E-2</v>
      </c>
      <c r="R1452">
        <f t="shared" si="202"/>
        <v>2.7E-2</v>
      </c>
      <c r="S1452">
        <f t="shared" si="203"/>
        <v>0.88700000000000001</v>
      </c>
      <c r="T1452">
        <f t="shared" si="204"/>
        <v>2.3975</v>
      </c>
      <c r="U1452">
        <f t="shared" si="205"/>
        <v>10.62312</v>
      </c>
      <c r="V1452">
        <f t="shared" si="206"/>
        <v>4.2999999999999997E-2</v>
      </c>
      <c r="W1452">
        <f t="shared" si="207"/>
        <v>5.2166666666666632E-2</v>
      </c>
      <c r="X1452">
        <f t="shared" si="208"/>
        <v>0.95699999999999996</v>
      </c>
      <c r="Y1452">
        <v>139.66893659999999</v>
      </c>
      <c r="Z1452">
        <v>0</v>
      </c>
      <c r="AA1452">
        <v>88250</v>
      </c>
      <c r="AB1452">
        <v>31723</v>
      </c>
      <c r="AC1452">
        <v>1.0795895999999999E-2</v>
      </c>
      <c r="AD1452">
        <v>0.817760245</v>
      </c>
      <c r="AF1452">
        <v>16.82644444</v>
      </c>
      <c r="AG1452">
        <v>0</v>
      </c>
      <c r="AH1452">
        <v>2.7E-2</v>
      </c>
      <c r="AI1452">
        <v>0.88700000000000001</v>
      </c>
      <c r="AJ1452">
        <v>2.3975</v>
      </c>
      <c r="AK1452">
        <v>10.62312</v>
      </c>
      <c r="AL1452">
        <v>4.2999999999999997E-2</v>
      </c>
      <c r="AM1452">
        <v>0</v>
      </c>
      <c r="AN1452">
        <v>0.95699999999999996</v>
      </c>
    </row>
    <row r="1453" spans="1:40">
      <c r="A1453">
        <v>3521</v>
      </c>
      <c r="B1453" t="s">
        <v>698</v>
      </c>
      <c r="C1453" t="s">
        <v>693</v>
      </c>
      <c r="D1453" t="s">
        <v>694</v>
      </c>
      <c r="E1453">
        <v>77</v>
      </c>
      <c r="F1453">
        <v>77</v>
      </c>
      <c r="G1453">
        <v>63.58485503</v>
      </c>
      <c r="H1453">
        <v>0</v>
      </c>
      <c r="I1453">
        <v>9.9384449E-2</v>
      </c>
      <c r="J1453">
        <v>77</v>
      </c>
      <c r="K1453">
        <v>774.76909890000002</v>
      </c>
      <c r="L1453">
        <v>0.77700000000000002</v>
      </c>
      <c r="M1453">
        <v>0</v>
      </c>
      <c r="N1453">
        <v>0</v>
      </c>
      <c r="O1453" t="s">
        <v>620</v>
      </c>
      <c r="P1453">
        <f t="shared" si="200"/>
        <v>15.974444439999999</v>
      </c>
      <c r="Q1453">
        <f t="shared" si="201"/>
        <v>5.0000000000000001E-3</v>
      </c>
      <c r="R1453">
        <f t="shared" si="202"/>
        <v>1.0999999999999999E-2</v>
      </c>
      <c r="S1453">
        <f t="shared" si="203"/>
        <v>0.77700000000000002</v>
      </c>
      <c r="T1453">
        <f t="shared" si="204"/>
        <v>0.5</v>
      </c>
      <c r="U1453">
        <f t="shared" si="205"/>
        <v>6.1900793649999999</v>
      </c>
      <c r="V1453">
        <f t="shared" si="206"/>
        <v>4.0705882352941189E-2</v>
      </c>
      <c r="W1453">
        <f t="shared" si="207"/>
        <v>5.2166666666666632E-2</v>
      </c>
      <c r="X1453">
        <f t="shared" si="208"/>
        <v>1</v>
      </c>
      <c r="Y1453">
        <v>5.8938741319999997</v>
      </c>
      <c r="Z1453">
        <v>0</v>
      </c>
      <c r="AA1453">
        <v>88250</v>
      </c>
      <c r="AB1453">
        <v>31723</v>
      </c>
      <c r="AC1453">
        <v>1.0795895999999999E-2</v>
      </c>
      <c r="AD1453">
        <v>0.817760245</v>
      </c>
      <c r="AF1453">
        <v>15.974444439999999</v>
      </c>
      <c r="AG1453">
        <v>5.0000000000000001E-3</v>
      </c>
      <c r="AH1453">
        <v>1.0999999999999999E-2</v>
      </c>
      <c r="AI1453">
        <v>0.77700000000000002</v>
      </c>
      <c r="AJ1453">
        <v>0.5</v>
      </c>
      <c r="AK1453">
        <v>6.1900793649999999</v>
      </c>
      <c r="AL1453">
        <v>0</v>
      </c>
      <c r="AM1453">
        <v>0</v>
      </c>
      <c r="AN1453">
        <v>1</v>
      </c>
    </row>
    <row r="1454" spans="1:40">
      <c r="A1454">
        <v>3522</v>
      </c>
      <c r="B1454" t="s">
        <v>683</v>
      </c>
      <c r="C1454" t="s">
        <v>684</v>
      </c>
      <c r="D1454" t="s">
        <v>685</v>
      </c>
      <c r="E1454">
        <v>908</v>
      </c>
      <c r="F1454">
        <v>2509</v>
      </c>
      <c r="G1454">
        <v>171.55948609999999</v>
      </c>
      <c r="H1454">
        <v>122</v>
      </c>
      <c r="I1454">
        <v>0.26816316200000001</v>
      </c>
      <c r="J1454">
        <v>2631</v>
      </c>
      <c r="K1454">
        <v>9811.1909940000005</v>
      </c>
      <c r="L1454">
        <v>0.86</v>
      </c>
      <c r="M1454">
        <v>0.118446602</v>
      </c>
      <c r="N1454">
        <v>0</v>
      </c>
      <c r="O1454" t="s">
        <v>620</v>
      </c>
      <c r="P1454">
        <f t="shared" si="200"/>
        <v>15.68856502</v>
      </c>
      <c r="Q1454">
        <f t="shared" si="201"/>
        <v>0.02</v>
      </c>
      <c r="R1454">
        <f t="shared" si="202"/>
        <v>2.5000000000000001E-2</v>
      </c>
      <c r="S1454">
        <f t="shared" si="203"/>
        <v>0.86</v>
      </c>
      <c r="T1454">
        <f t="shared" si="204"/>
        <v>2.6691428570000002</v>
      </c>
      <c r="U1454">
        <f t="shared" si="205"/>
        <v>8.9955181129999993</v>
      </c>
      <c r="V1454">
        <f t="shared" si="206"/>
        <v>3.5999999999999997E-2</v>
      </c>
      <c r="W1454">
        <f t="shared" si="207"/>
        <v>7.9000000000000001E-2</v>
      </c>
      <c r="X1454">
        <f t="shared" si="208"/>
        <v>0.88500000000000001</v>
      </c>
      <c r="Y1454">
        <v>4.961541113</v>
      </c>
      <c r="Z1454">
        <v>0</v>
      </c>
      <c r="AA1454">
        <v>75370</v>
      </c>
      <c r="AB1454">
        <v>21403</v>
      </c>
      <c r="AC1454">
        <v>2.4597187E-2</v>
      </c>
      <c r="AD1454">
        <v>0.84342094400000001</v>
      </c>
      <c r="AF1454">
        <v>15.68856502</v>
      </c>
      <c r="AG1454">
        <v>0.02</v>
      </c>
      <c r="AH1454">
        <v>2.5000000000000001E-2</v>
      </c>
      <c r="AI1454">
        <v>0.86</v>
      </c>
      <c r="AJ1454">
        <v>2.6691428570000002</v>
      </c>
      <c r="AK1454">
        <v>8.9955181129999993</v>
      </c>
      <c r="AL1454">
        <v>3.5999999999999997E-2</v>
      </c>
      <c r="AM1454">
        <v>7.9000000000000001E-2</v>
      </c>
      <c r="AN1454">
        <v>0.88500000000000001</v>
      </c>
    </row>
    <row r="1455" spans="1:40">
      <c r="A1455">
        <v>3523</v>
      </c>
      <c r="B1455" t="s">
        <v>691</v>
      </c>
      <c r="C1455" t="s">
        <v>684</v>
      </c>
      <c r="D1455" t="s">
        <v>685</v>
      </c>
      <c r="E1455">
        <v>323</v>
      </c>
      <c r="F1455">
        <v>985</v>
      </c>
      <c r="G1455">
        <v>119.03076830000001</v>
      </c>
      <c r="H1455">
        <v>0</v>
      </c>
      <c r="I1455">
        <v>0.18605687800000001</v>
      </c>
      <c r="J1455">
        <v>985</v>
      </c>
      <c r="K1455">
        <v>5294.0800179999997</v>
      </c>
      <c r="L1455">
        <v>0.90200000000000002</v>
      </c>
      <c r="M1455">
        <v>0</v>
      </c>
      <c r="N1455">
        <v>0</v>
      </c>
      <c r="O1455" t="s">
        <v>620</v>
      </c>
      <c r="P1455">
        <f t="shared" si="200"/>
        <v>13.30115385</v>
      </c>
      <c r="Q1455">
        <f t="shared" si="201"/>
        <v>2.8000000000000001E-2</v>
      </c>
      <c r="R1455">
        <f t="shared" si="202"/>
        <v>1.4E-2</v>
      </c>
      <c r="S1455">
        <f t="shared" si="203"/>
        <v>0.90200000000000002</v>
      </c>
      <c r="T1455">
        <f t="shared" si="204"/>
        <v>3.87</v>
      </c>
      <c r="U1455">
        <f t="shared" si="205"/>
        <v>7.0870967739999999</v>
      </c>
      <c r="V1455">
        <f t="shared" si="206"/>
        <v>6.5000000000000002E-2</v>
      </c>
      <c r="W1455">
        <f t="shared" si="207"/>
        <v>9.7000000000000003E-2</v>
      </c>
      <c r="X1455">
        <f t="shared" si="208"/>
        <v>0.83899999999999997</v>
      </c>
      <c r="Y1455">
        <v>59.992990710000001</v>
      </c>
      <c r="Z1455">
        <v>0</v>
      </c>
      <c r="AA1455">
        <v>236250</v>
      </c>
      <c r="AB1455">
        <v>76158</v>
      </c>
      <c r="AC1455">
        <v>1.7652984E-2</v>
      </c>
      <c r="AD1455">
        <v>0.84750225300000004</v>
      </c>
      <c r="AF1455">
        <v>13.30115385</v>
      </c>
      <c r="AG1455">
        <v>2.8000000000000001E-2</v>
      </c>
      <c r="AH1455">
        <v>1.4E-2</v>
      </c>
      <c r="AI1455">
        <v>0.90200000000000002</v>
      </c>
      <c r="AJ1455">
        <v>3.87</v>
      </c>
      <c r="AK1455">
        <v>7.0870967739999999</v>
      </c>
      <c r="AL1455">
        <v>6.5000000000000002E-2</v>
      </c>
      <c r="AM1455">
        <v>9.7000000000000003E-2</v>
      </c>
      <c r="AN1455">
        <v>0.83899999999999997</v>
      </c>
    </row>
    <row r="1456" spans="1:40">
      <c r="A1456">
        <v>3524</v>
      </c>
      <c r="B1456" t="s">
        <v>691</v>
      </c>
      <c r="C1456" t="s">
        <v>684</v>
      </c>
      <c r="D1456" t="s">
        <v>685</v>
      </c>
      <c r="E1456">
        <v>160</v>
      </c>
      <c r="F1456">
        <v>457</v>
      </c>
      <c r="G1456">
        <v>63.651774289999999</v>
      </c>
      <c r="H1456">
        <v>58</v>
      </c>
      <c r="I1456">
        <v>9.9495306000000006E-2</v>
      </c>
      <c r="J1456">
        <v>515</v>
      </c>
      <c r="K1456">
        <v>5176.1235850000003</v>
      </c>
      <c r="L1456">
        <v>0.88800000000000001</v>
      </c>
      <c r="M1456">
        <v>0.26605504600000002</v>
      </c>
      <c r="N1456">
        <v>0</v>
      </c>
      <c r="O1456" t="s">
        <v>620</v>
      </c>
      <c r="P1456">
        <f t="shared" si="200"/>
        <v>14.6975</v>
      </c>
      <c r="Q1456">
        <f t="shared" si="201"/>
        <v>8.9999999999999993E-3</v>
      </c>
      <c r="R1456">
        <f t="shared" si="202"/>
        <v>2.7E-2</v>
      </c>
      <c r="S1456">
        <f t="shared" si="203"/>
        <v>0.88800000000000001</v>
      </c>
      <c r="T1456">
        <f t="shared" si="204"/>
        <v>2.6583333329999999</v>
      </c>
      <c r="U1456">
        <f t="shared" si="205"/>
        <v>8.7147179490000006</v>
      </c>
      <c r="V1456">
        <f t="shared" si="206"/>
        <v>4.2000000000000003E-2</v>
      </c>
      <c r="W1456">
        <f t="shared" si="207"/>
        <v>4.2000000000000003E-2</v>
      </c>
      <c r="X1456">
        <f t="shared" si="208"/>
        <v>0.91700000000000004</v>
      </c>
      <c r="Y1456">
        <v>149.80067220000001</v>
      </c>
      <c r="Z1456">
        <v>0</v>
      </c>
      <c r="AA1456">
        <v>236250</v>
      </c>
      <c r="AB1456">
        <v>76158</v>
      </c>
      <c r="AC1456">
        <v>1.7652984E-2</v>
      </c>
      <c r="AD1456">
        <v>0.84750225300000004</v>
      </c>
      <c r="AF1456">
        <v>14.6975</v>
      </c>
      <c r="AG1456">
        <v>8.9999999999999993E-3</v>
      </c>
      <c r="AH1456">
        <v>2.7E-2</v>
      </c>
      <c r="AI1456">
        <v>0.88800000000000001</v>
      </c>
      <c r="AJ1456">
        <v>2.6583333329999999</v>
      </c>
      <c r="AK1456">
        <v>8.7147179490000006</v>
      </c>
      <c r="AL1456">
        <v>4.2000000000000003E-2</v>
      </c>
      <c r="AM1456">
        <v>4.2000000000000003E-2</v>
      </c>
      <c r="AN1456">
        <v>0.91700000000000004</v>
      </c>
    </row>
    <row r="1457" spans="1:40">
      <c r="A1457">
        <v>3525</v>
      </c>
      <c r="B1457" t="s">
        <v>683</v>
      </c>
      <c r="C1457" t="s">
        <v>684</v>
      </c>
      <c r="D1457" t="s">
        <v>685</v>
      </c>
      <c r="E1457">
        <v>980</v>
      </c>
      <c r="F1457">
        <v>2923</v>
      </c>
      <c r="G1457">
        <v>157.61986450000001</v>
      </c>
      <c r="H1457">
        <v>1776</v>
      </c>
      <c r="I1457">
        <v>0.24637433</v>
      </c>
      <c r="J1457">
        <v>4699</v>
      </c>
      <c r="K1457">
        <v>19072.603869999999</v>
      </c>
      <c r="L1457">
        <v>0.81799999999999995</v>
      </c>
      <c r="M1457">
        <v>0.64441219199999999</v>
      </c>
      <c r="N1457">
        <v>0</v>
      </c>
      <c r="O1457" t="s">
        <v>613</v>
      </c>
      <c r="P1457">
        <f t="shared" si="200"/>
        <v>13.322977870000001</v>
      </c>
      <c r="Q1457">
        <f t="shared" si="201"/>
        <v>0.02</v>
      </c>
      <c r="R1457">
        <f t="shared" si="202"/>
        <v>1.0999999999999999E-2</v>
      </c>
      <c r="S1457">
        <f t="shared" si="203"/>
        <v>0.81799999999999995</v>
      </c>
      <c r="T1457">
        <f t="shared" si="204"/>
        <v>2.351714286</v>
      </c>
      <c r="U1457">
        <f t="shared" si="205"/>
        <v>7.8391068700000002</v>
      </c>
      <c r="V1457">
        <f t="shared" si="206"/>
        <v>2.9000000000000001E-2</v>
      </c>
      <c r="W1457">
        <f t="shared" si="207"/>
        <v>5.2999999999999999E-2</v>
      </c>
      <c r="X1457">
        <f t="shared" si="208"/>
        <v>0.88600000000000001</v>
      </c>
      <c r="Y1457">
        <v>113.5396167</v>
      </c>
      <c r="Z1457">
        <v>0</v>
      </c>
      <c r="AA1457">
        <v>75370</v>
      </c>
      <c r="AB1457">
        <v>21403</v>
      </c>
      <c r="AC1457">
        <v>2.4597187E-2</v>
      </c>
      <c r="AD1457">
        <v>0.84342094400000001</v>
      </c>
      <c r="AF1457">
        <v>13.322977870000001</v>
      </c>
      <c r="AG1457">
        <v>0.02</v>
      </c>
      <c r="AH1457">
        <v>1.0999999999999999E-2</v>
      </c>
      <c r="AI1457">
        <v>0.81799999999999995</v>
      </c>
      <c r="AJ1457">
        <v>2.351714286</v>
      </c>
      <c r="AK1457">
        <v>7.8391068700000002</v>
      </c>
      <c r="AL1457">
        <v>2.9000000000000001E-2</v>
      </c>
      <c r="AM1457">
        <v>5.2999999999999999E-2</v>
      </c>
      <c r="AN1457">
        <v>0.88600000000000001</v>
      </c>
    </row>
    <row r="1458" spans="1:40">
      <c r="A1458">
        <v>3526</v>
      </c>
      <c r="B1458" t="s">
        <v>683</v>
      </c>
      <c r="C1458" t="s">
        <v>684</v>
      </c>
      <c r="D1458" t="s">
        <v>685</v>
      </c>
      <c r="E1458">
        <v>568</v>
      </c>
      <c r="F1458">
        <v>1358</v>
      </c>
      <c r="G1458">
        <v>103.98028410000001</v>
      </c>
      <c r="H1458">
        <v>2436</v>
      </c>
      <c r="I1458">
        <v>0.16252641100000001</v>
      </c>
      <c r="J1458">
        <v>3794</v>
      </c>
      <c r="K1458">
        <v>23343.898239999999</v>
      </c>
      <c r="L1458">
        <v>0.83499999999999996</v>
      </c>
      <c r="M1458">
        <v>0.81091877499999998</v>
      </c>
      <c r="N1458">
        <v>1</v>
      </c>
      <c r="O1458" t="s">
        <v>620</v>
      </c>
      <c r="P1458">
        <f t="shared" si="200"/>
        <v>13.49171233</v>
      </c>
      <c r="Q1458">
        <f t="shared" si="201"/>
        <v>4.4999999999999998E-2</v>
      </c>
      <c r="R1458">
        <f t="shared" si="202"/>
        <v>1.7000000000000001E-2</v>
      </c>
      <c r="S1458">
        <f t="shared" si="203"/>
        <v>0.83499999999999996</v>
      </c>
      <c r="T1458">
        <f t="shared" si="204"/>
        <v>2.5910869569999999</v>
      </c>
      <c r="U1458">
        <f t="shared" si="205"/>
        <v>8.3116785709999998</v>
      </c>
      <c r="V1458">
        <f t="shared" si="206"/>
        <v>3.6999999999999998E-2</v>
      </c>
      <c r="W1458">
        <f t="shared" si="207"/>
        <v>0.123</v>
      </c>
      <c r="X1458">
        <f t="shared" si="208"/>
        <v>0.81599999999999995</v>
      </c>
      <c r="Y1458">
        <v>119.4859968</v>
      </c>
      <c r="Z1458">
        <v>0</v>
      </c>
      <c r="AA1458">
        <v>75370</v>
      </c>
      <c r="AB1458">
        <v>21403</v>
      </c>
      <c r="AC1458">
        <v>2.4597187E-2</v>
      </c>
      <c r="AD1458">
        <v>0.84342094400000001</v>
      </c>
      <c r="AF1458">
        <v>13.49171233</v>
      </c>
      <c r="AG1458">
        <v>4.4999999999999998E-2</v>
      </c>
      <c r="AH1458">
        <v>1.7000000000000001E-2</v>
      </c>
      <c r="AI1458">
        <v>0.83499999999999996</v>
      </c>
      <c r="AJ1458">
        <v>2.5910869569999999</v>
      </c>
      <c r="AK1458">
        <v>8.3116785709999998</v>
      </c>
      <c r="AL1458">
        <v>3.6999999999999998E-2</v>
      </c>
      <c r="AM1458">
        <v>0.123</v>
      </c>
      <c r="AN1458">
        <v>0.81599999999999995</v>
      </c>
    </row>
    <row r="1459" spans="1:40">
      <c r="A1459">
        <v>3527</v>
      </c>
      <c r="B1459" t="s">
        <v>683</v>
      </c>
      <c r="C1459" t="s">
        <v>684</v>
      </c>
      <c r="D1459" t="s">
        <v>685</v>
      </c>
      <c r="E1459">
        <v>454</v>
      </c>
      <c r="F1459">
        <v>1666</v>
      </c>
      <c r="G1459">
        <v>91.213402889999998</v>
      </c>
      <c r="H1459">
        <v>33</v>
      </c>
      <c r="I1459">
        <v>0.14257030900000001</v>
      </c>
      <c r="J1459">
        <v>1699</v>
      </c>
      <c r="K1459">
        <v>11916.927250000001</v>
      </c>
      <c r="L1459">
        <v>0.78300000000000003</v>
      </c>
      <c r="M1459">
        <v>6.7761806999999993E-2</v>
      </c>
      <c r="N1459">
        <v>0</v>
      </c>
      <c r="O1459" t="s">
        <v>620</v>
      </c>
      <c r="P1459">
        <f t="shared" si="200"/>
        <v>12.698539329999999</v>
      </c>
      <c r="Q1459">
        <f t="shared" si="201"/>
        <v>3.3000000000000002E-2</v>
      </c>
      <c r="R1459">
        <f t="shared" si="202"/>
        <v>2.1999999999999999E-2</v>
      </c>
      <c r="S1459">
        <f t="shared" si="203"/>
        <v>0.78300000000000003</v>
      </c>
      <c r="T1459">
        <f t="shared" si="204"/>
        <v>1.7693749999999999</v>
      </c>
      <c r="U1459">
        <f t="shared" si="205"/>
        <v>6.1160568380000004</v>
      </c>
      <c r="V1459">
        <f t="shared" si="206"/>
        <v>3.5999999999999997E-2</v>
      </c>
      <c r="W1459">
        <f t="shared" si="207"/>
        <v>0.13400000000000001</v>
      </c>
      <c r="X1459">
        <f t="shared" si="208"/>
        <v>0.79500000000000004</v>
      </c>
      <c r="Y1459">
        <v>44.033690589999999</v>
      </c>
      <c r="Z1459">
        <v>0</v>
      </c>
      <c r="AA1459">
        <v>75370</v>
      </c>
      <c r="AB1459">
        <v>21403</v>
      </c>
      <c r="AC1459">
        <v>2.4597187E-2</v>
      </c>
      <c r="AD1459">
        <v>0.84342094400000001</v>
      </c>
      <c r="AF1459">
        <v>12.698539329999999</v>
      </c>
      <c r="AG1459">
        <v>3.3000000000000002E-2</v>
      </c>
      <c r="AH1459">
        <v>2.1999999999999999E-2</v>
      </c>
      <c r="AI1459">
        <v>0.78300000000000003</v>
      </c>
      <c r="AJ1459">
        <v>1.7693749999999999</v>
      </c>
      <c r="AK1459">
        <v>6.1160568380000004</v>
      </c>
      <c r="AL1459">
        <v>3.5999999999999997E-2</v>
      </c>
      <c r="AM1459">
        <v>0.13400000000000001</v>
      </c>
      <c r="AN1459">
        <v>0.79500000000000004</v>
      </c>
    </row>
    <row r="1460" spans="1:40">
      <c r="A1460">
        <v>3528</v>
      </c>
      <c r="B1460" t="s">
        <v>691</v>
      </c>
      <c r="C1460" t="s">
        <v>684</v>
      </c>
      <c r="D1460" t="s">
        <v>685</v>
      </c>
      <c r="E1460">
        <v>191</v>
      </c>
      <c r="F1460">
        <v>567</v>
      </c>
      <c r="G1460">
        <v>71.536444079999995</v>
      </c>
      <c r="H1460">
        <v>51</v>
      </c>
      <c r="I1460">
        <v>0.11181619399999999</v>
      </c>
      <c r="J1460">
        <v>618</v>
      </c>
      <c r="K1460">
        <v>5526.927522</v>
      </c>
      <c r="L1460">
        <v>0.90300000000000002</v>
      </c>
      <c r="M1460">
        <v>0.21074380200000001</v>
      </c>
      <c r="N1460">
        <v>0</v>
      </c>
      <c r="O1460" t="s">
        <v>620</v>
      </c>
      <c r="P1460">
        <f t="shared" si="200"/>
        <v>11.797162159999999</v>
      </c>
      <c r="Q1460">
        <f t="shared" si="201"/>
        <v>6.0000000000000001E-3</v>
      </c>
      <c r="R1460">
        <f t="shared" si="202"/>
        <v>1.7000000000000001E-2</v>
      </c>
      <c r="S1460">
        <f t="shared" si="203"/>
        <v>0.90300000000000002</v>
      </c>
      <c r="T1460">
        <f t="shared" si="204"/>
        <v>2.7566666670000002</v>
      </c>
      <c r="U1460">
        <f t="shared" si="205"/>
        <v>7.2847419349999996</v>
      </c>
      <c r="V1460">
        <f t="shared" si="206"/>
        <v>2.5999999999999999E-2</v>
      </c>
      <c r="W1460">
        <f t="shared" si="207"/>
        <v>2.5999999999999999E-2</v>
      </c>
      <c r="X1460">
        <f t="shared" si="208"/>
        <v>0.94899999999999995</v>
      </c>
      <c r="Y1460">
        <v>154.35406599999999</v>
      </c>
      <c r="Z1460">
        <v>0</v>
      </c>
      <c r="AA1460">
        <v>236250</v>
      </c>
      <c r="AB1460">
        <v>76158</v>
      </c>
      <c r="AC1460">
        <v>1.7652984E-2</v>
      </c>
      <c r="AD1460">
        <v>0.84750225300000004</v>
      </c>
      <c r="AF1460">
        <v>11.797162159999999</v>
      </c>
      <c r="AG1460">
        <v>6.0000000000000001E-3</v>
      </c>
      <c r="AH1460">
        <v>1.7000000000000001E-2</v>
      </c>
      <c r="AI1460">
        <v>0.90300000000000002</v>
      </c>
      <c r="AJ1460">
        <v>2.7566666670000002</v>
      </c>
      <c r="AK1460">
        <v>7.2847419349999996</v>
      </c>
      <c r="AL1460">
        <v>2.5999999999999999E-2</v>
      </c>
      <c r="AM1460">
        <v>2.5999999999999999E-2</v>
      </c>
      <c r="AN1460">
        <v>0.94899999999999995</v>
      </c>
    </row>
    <row r="1461" spans="1:40">
      <c r="A1461">
        <v>3529</v>
      </c>
      <c r="B1461" t="s">
        <v>691</v>
      </c>
      <c r="C1461" t="s">
        <v>684</v>
      </c>
      <c r="D1461" t="s">
        <v>685</v>
      </c>
      <c r="E1461">
        <v>450</v>
      </c>
      <c r="F1461">
        <v>1230</v>
      </c>
      <c r="G1461">
        <v>174.76340049999999</v>
      </c>
      <c r="H1461">
        <v>134</v>
      </c>
      <c r="I1461">
        <v>0.27317098000000001</v>
      </c>
      <c r="J1461">
        <v>1364</v>
      </c>
      <c r="K1461">
        <v>4993.2097469999999</v>
      </c>
      <c r="L1461">
        <v>0.83499999999999996</v>
      </c>
      <c r="M1461">
        <v>0.22945205499999999</v>
      </c>
      <c r="N1461">
        <v>0</v>
      </c>
      <c r="O1461" t="s">
        <v>625</v>
      </c>
      <c r="P1461">
        <f t="shared" si="200"/>
        <v>15.13238095</v>
      </c>
      <c r="Q1461">
        <f t="shared" si="201"/>
        <v>8.9999999999999993E-3</v>
      </c>
      <c r="R1461">
        <f t="shared" si="202"/>
        <v>0.02</v>
      </c>
      <c r="S1461">
        <f t="shared" si="203"/>
        <v>0.83499999999999996</v>
      </c>
      <c r="T1461">
        <f t="shared" si="204"/>
        <v>2.5723076919999999</v>
      </c>
      <c r="U1461">
        <f t="shared" si="205"/>
        <v>8.6847467169999994</v>
      </c>
      <c r="V1461">
        <f t="shared" si="206"/>
        <v>2.3E-2</v>
      </c>
      <c r="W1461">
        <f t="shared" si="207"/>
        <v>2.3E-2</v>
      </c>
      <c r="X1461">
        <f t="shared" si="208"/>
        <v>0.95499999999999996</v>
      </c>
      <c r="Y1461">
        <v>4.8766474970000004</v>
      </c>
      <c r="Z1461">
        <v>0</v>
      </c>
      <c r="AA1461">
        <v>236250</v>
      </c>
      <c r="AB1461">
        <v>76158</v>
      </c>
      <c r="AC1461">
        <v>1.7652984E-2</v>
      </c>
      <c r="AD1461">
        <v>0.84750225300000004</v>
      </c>
      <c r="AF1461">
        <v>15.13238095</v>
      </c>
      <c r="AG1461">
        <v>8.9999999999999993E-3</v>
      </c>
      <c r="AH1461">
        <v>0.02</v>
      </c>
      <c r="AI1461">
        <v>0.83499999999999996</v>
      </c>
      <c r="AJ1461">
        <v>2.5723076919999999</v>
      </c>
      <c r="AK1461">
        <v>8.6847467169999994</v>
      </c>
      <c r="AL1461">
        <v>2.3E-2</v>
      </c>
      <c r="AM1461">
        <v>2.3E-2</v>
      </c>
      <c r="AN1461">
        <v>0.95499999999999996</v>
      </c>
    </row>
    <row r="1462" spans="1:40">
      <c r="A1462">
        <v>3530</v>
      </c>
      <c r="B1462" t="s">
        <v>691</v>
      </c>
      <c r="C1462" t="s">
        <v>684</v>
      </c>
      <c r="D1462" t="s">
        <v>685</v>
      </c>
      <c r="E1462">
        <v>438</v>
      </c>
      <c r="F1462">
        <v>1288</v>
      </c>
      <c r="G1462">
        <v>1652.3333070000001</v>
      </c>
      <c r="H1462">
        <v>231</v>
      </c>
      <c r="I1462" s="515">
        <v>2.5827143343629402</v>
      </c>
      <c r="J1462">
        <v>1519</v>
      </c>
      <c r="K1462">
        <v>588.14092589999996</v>
      </c>
      <c r="L1462">
        <v>0.96299999999999997</v>
      </c>
      <c r="M1462">
        <v>0.34529147999999998</v>
      </c>
      <c r="N1462">
        <v>0</v>
      </c>
      <c r="O1462" t="s">
        <v>625</v>
      </c>
      <c r="P1462">
        <f t="shared" si="200"/>
        <v>13.81617647</v>
      </c>
      <c r="Q1462">
        <f t="shared" si="201"/>
        <v>5.0000000000000001E-3</v>
      </c>
      <c r="R1462">
        <f t="shared" si="202"/>
        <v>1.2E-2</v>
      </c>
      <c r="S1462">
        <f t="shared" si="203"/>
        <v>0.96299999999999997</v>
      </c>
      <c r="T1462">
        <f t="shared" si="204"/>
        <v>4.07</v>
      </c>
      <c r="U1462">
        <f t="shared" si="205"/>
        <v>9.4191855810000007</v>
      </c>
      <c r="V1462">
        <f t="shared" si="206"/>
        <v>3.5151315789473656E-2</v>
      </c>
      <c r="W1462">
        <f t="shared" si="207"/>
        <v>1.4E-2</v>
      </c>
      <c r="X1462">
        <f t="shared" si="208"/>
        <v>0.98599999999999999</v>
      </c>
      <c r="Y1462">
        <v>4.7706855810000004</v>
      </c>
      <c r="Z1462">
        <v>0</v>
      </c>
      <c r="AA1462">
        <v>236250</v>
      </c>
      <c r="AB1462">
        <v>76158</v>
      </c>
      <c r="AC1462">
        <v>1.7652984E-2</v>
      </c>
      <c r="AD1462">
        <v>0.84750225300000004</v>
      </c>
      <c r="AF1462">
        <v>13.81617647</v>
      </c>
      <c r="AG1462">
        <v>5.0000000000000001E-3</v>
      </c>
      <c r="AH1462">
        <v>1.2E-2</v>
      </c>
      <c r="AI1462">
        <v>0.96299999999999997</v>
      </c>
      <c r="AJ1462">
        <v>4.07</v>
      </c>
      <c r="AK1462">
        <v>9.4191855810000007</v>
      </c>
      <c r="AL1462">
        <v>0</v>
      </c>
      <c r="AM1462">
        <v>1.4E-2</v>
      </c>
      <c r="AN1462">
        <v>0.98599999999999999</v>
      </c>
    </row>
    <row r="1463" spans="1:40">
      <c r="A1463">
        <v>3531</v>
      </c>
      <c r="B1463" t="s">
        <v>691</v>
      </c>
      <c r="C1463" t="s">
        <v>684</v>
      </c>
      <c r="D1463" t="s">
        <v>685</v>
      </c>
      <c r="E1463">
        <v>333</v>
      </c>
      <c r="F1463">
        <v>958</v>
      </c>
      <c r="G1463">
        <v>85.300561770000002</v>
      </c>
      <c r="H1463">
        <v>0</v>
      </c>
      <c r="I1463">
        <v>0.133327417</v>
      </c>
      <c r="J1463">
        <v>958</v>
      </c>
      <c r="K1463">
        <v>7185.3188309999996</v>
      </c>
      <c r="L1463">
        <v>0.89500000000000002</v>
      </c>
      <c r="M1463">
        <v>0</v>
      </c>
      <c r="N1463">
        <v>0</v>
      </c>
      <c r="O1463" t="s">
        <v>620</v>
      </c>
      <c r="P1463">
        <f t="shared" si="200"/>
        <v>13.20088608</v>
      </c>
      <c r="Q1463">
        <f t="shared" si="201"/>
        <v>8.9999999999999993E-3</v>
      </c>
      <c r="R1463">
        <f t="shared" si="202"/>
        <v>1.7000000000000001E-2</v>
      </c>
      <c r="S1463">
        <f t="shared" si="203"/>
        <v>0.89500000000000002</v>
      </c>
      <c r="T1463">
        <f t="shared" si="204"/>
        <v>3.355</v>
      </c>
      <c r="U1463">
        <f t="shared" si="205"/>
        <v>8.428413098</v>
      </c>
      <c r="V1463">
        <f t="shared" si="206"/>
        <v>2.4E-2</v>
      </c>
      <c r="W1463">
        <f t="shared" si="207"/>
        <v>2.4E-2</v>
      </c>
      <c r="X1463">
        <f t="shared" si="208"/>
        <v>0.95199999999999996</v>
      </c>
      <c r="Y1463">
        <v>116.07908519999999</v>
      </c>
      <c r="Z1463">
        <v>0</v>
      </c>
      <c r="AA1463">
        <v>236250</v>
      </c>
      <c r="AB1463">
        <v>76158</v>
      </c>
      <c r="AC1463">
        <v>1.7652984E-2</v>
      </c>
      <c r="AD1463">
        <v>0.84750225300000004</v>
      </c>
      <c r="AF1463">
        <v>13.20088608</v>
      </c>
      <c r="AG1463">
        <v>8.9999999999999993E-3</v>
      </c>
      <c r="AH1463">
        <v>1.7000000000000001E-2</v>
      </c>
      <c r="AI1463">
        <v>0.89500000000000002</v>
      </c>
      <c r="AJ1463">
        <v>3.355</v>
      </c>
      <c r="AK1463">
        <v>8.428413098</v>
      </c>
      <c r="AL1463">
        <v>2.4E-2</v>
      </c>
      <c r="AM1463">
        <v>2.4E-2</v>
      </c>
      <c r="AN1463">
        <v>0.95199999999999996</v>
      </c>
    </row>
    <row r="1464" spans="1:40">
      <c r="A1464">
        <v>3532</v>
      </c>
      <c r="B1464" t="s">
        <v>691</v>
      </c>
      <c r="C1464" t="s">
        <v>684</v>
      </c>
      <c r="D1464" t="s">
        <v>685</v>
      </c>
      <c r="E1464">
        <v>204</v>
      </c>
      <c r="F1464">
        <v>586</v>
      </c>
      <c r="G1464">
        <v>47.092133689999997</v>
      </c>
      <c r="H1464">
        <v>7</v>
      </c>
      <c r="I1464">
        <v>7.3610562000000004E-2</v>
      </c>
      <c r="J1464">
        <v>593</v>
      </c>
      <c r="K1464">
        <v>8055.9091509999998</v>
      </c>
      <c r="L1464">
        <v>0.90700000000000003</v>
      </c>
      <c r="M1464">
        <v>3.3175354999999997E-2</v>
      </c>
      <c r="N1464">
        <v>0</v>
      </c>
      <c r="O1464" t="s">
        <v>620</v>
      </c>
      <c r="P1464">
        <f t="shared" si="200"/>
        <v>16.057457629999998</v>
      </c>
      <c r="Q1464">
        <f t="shared" si="201"/>
        <v>1.8070175438596476E-2</v>
      </c>
      <c r="R1464">
        <f t="shared" si="202"/>
        <v>1.4999999999999999E-2</v>
      </c>
      <c r="S1464">
        <f t="shared" si="203"/>
        <v>0.90700000000000003</v>
      </c>
      <c r="T1464">
        <f t="shared" si="204"/>
        <v>2.9183333330000001</v>
      </c>
      <c r="U1464">
        <f t="shared" si="205"/>
        <v>8.9472222220000006</v>
      </c>
      <c r="V1464">
        <f t="shared" si="206"/>
        <v>3.5151315789473656E-2</v>
      </c>
      <c r="W1464">
        <f t="shared" si="207"/>
        <v>5.9146341463414652E-2</v>
      </c>
      <c r="X1464">
        <f t="shared" si="208"/>
        <v>0.96699999999999997</v>
      </c>
      <c r="Y1464">
        <v>116.07289660000001</v>
      </c>
      <c r="Z1464">
        <v>0</v>
      </c>
      <c r="AA1464">
        <v>236250</v>
      </c>
      <c r="AB1464">
        <v>76158</v>
      </c>
      <c r="AC1464">
        <v>1.7652984E-2</v>
      </c>
      <c r="AD1464">
        <v>0.84750225300000004</v>
      </c>
      <c r="AF1464">
        <v>16.057457629999998</v>
      </c>
      <c r="AG1464">
        <v>0</v>
      </c>
      <c r="AH1464">
        <v>1.4999999999999999E-2</v>
      </c>
      <c r="AI1464">
        <v>0.90700000000000003</v>
      </c>
      <c r="AJ1464">
        <v>2.9183333330000001</v>
      </c>
      <c r="AK1464">
        <v>8.9472222220000006</v>
      </c>
      <c r="AL1464">
        <v>0</v>
      </c>
      <c r="AM1464">
        <v>0</v>
      </c>
      <c r="AN1464">
        <v>0.96699999999999997</v>
      </c>
    </row>
    <row r="1465" spans="1:40">
      <c r="A1465">
        <v>3533</v>
      </c>
      <c r="B1465" t="s">
        <v>683</v>
      </c>
      <c r="C1465" t="s">
        <v>684</v>
      </c>
      <c r="D1465" t="s">
        <v>685</v>
      </c>
      <c r="E1465">
        <v>0</v>
      </c>
      <c r="F1465">
        <v>0</v>
      </c>
      <c r="G1465">
        <v>68.095439040000002</v>
      </c>
      <c r="H1465">
        <v>542</v>
      </c>
      <c r="I1465">
        <v>0.10644044900000001</v>
      </c>
      <c r="J1465">
        <v>542</v>
      </c>
      <c r="K1465">
        <v>5092.0491700000002</v>
      </c>
      <c r="L1465">
        <v>0.91900000000000004</v>
      </c>
      <c r="M1465" s="515">
        <v>1</v>
      </c>
      <c r="N1465">
        <v>0</v>
      </c>
      <c r="O1465" t="s">
        <v>620</v>
      </c>
      <c r="P1465">
        <f t="shared" si="200"/>
        <v>12.42073684</v>
      </c>
      <c r="Q1465">
        <f t="shared" si="201"/>
        <v>3.0000000000000001E-3</v>
      </c>
      <c r="R1465">
        <f t="shared" si="202"/>
        <v>2.5000000000000001E-2</v>
      </c>
      <c r="S1465">
        <f t="shared" si="203"/>
        <v>0.91900000000000004</v>
      </c>
      <c r="T1465">
        <f t="shared" si="204"/>
        <v>3.11</v>
      </c>
      <c r="U1465">
        <f t="shared" si="205"/>
        <v>9.2245421249999993</v>
      </c>
      <c r="V1465">
        <f t="shared" si="206"/>
        <v>3.9E-2</v>
      </c>
      <c r="W1465">
        <f t="shared" si="207"/>
        <v>0.01</v>
      </c>
      <c r="X1465">
        <f t="shared" si="208"/>
        <v>0.93100000000000005</v>
      </c>
      <c r="Y1465">
        <v>40.382133410000002</v>
      </c>
      <c r="Z1465">
        <v>0</v>
      </c>
      <c r="AA1465">
        <v>75370</v>
      </c>
      <c r="AB1465">
        <v>21403</v>
      </c>
      <c r="AC1465">
        <v>2.4597187E-2</v>
      </c>
      <c r="AD1465">
        <v>0.84342094400000001</v>
      </c>
      <c r="AF1465">
        <v>12.42073684</v>
      </c>
      <c r="AG1465">
        <v>3.0000000000000001E-3</v>
      </c>
      <c r="AH1465">
        <v>2.5000000000000001E-2</v>
      </c>
      <c r="AI1465">
        <v>0.91900000000000004</v>
      </c>
      <c r="AJ1465">
        <v>3.11</v>
      </c>
      <c r="AK1465">
        <v>9.2245421249999993</v>
      </c>
      <c r="AL1465">
        <v>3.9E-2</v>
      </c>
      <c r="AM1465">
        <v>0.01</v>
      </c>
      <c r="AN1465">
        <v>0.93100000000000005</v>
      </c>
    </row>
    <row r="1466" spans="1:40">
      <c r="A1466">
        <v>3534</v>
      </c>
      <c r="B1466" t="s">
        <v>683</v>
      </c>
      <c r="C1466" t="s">
        <v>684</v>
      </c>
      <c r="D1466" t="s">
        <v>685</v>
      </c>
      <c r="E1466">
        <v>0</v>
      </c>
      <c r="F1466">
        <v>12</v>
      </c>
      <c r="G1466">
        <v>30.56461049</v>
      </c>
      <c r="H1466">
        <v>399</v>
      </c>
      <c r="I1466">
        <v>4.7775473999999998E-2</v>
      </c>
      <c r="J1466">
        <v>411</v>
      </c>
      <c r="K1466">
        <v>8602.7403940000004</v>
      </c>
      <c r="L1466">
        <v>0.96299999999999997</v>
      </c>
      <c r="M1466" s="515">
        <v>1</v>
      </c>
      <c r="N1466">
        <v>0</v>
      </c>
      <c r="O1466" t="s">
        <v>620</v>
      </c>
      <c r="P1466">
        <f t="shared" si="200"/>
        <v>13.83370968</v>
      </c>
      <c r="Q1466">
        <f t="shared" si="201"/>
        <v>2E-3</v>
      </c>
      <c r="R1466">
        <f t="shared" si="202"/>
        <v>0.01</v>
      </c>
      <c r="S1466">
        <f t="shared" si="203"/>
        <v>0.96299999999999997</v>
      </c>
      <c r="T1466">
        <f t="shared" si="204"/>
        <v>2.71</v>
      </c>
      <c r="U1466">
        <f t="shared" si="205"/>
        <v>7.4504663210000004</v>
      </c>
      <c r="V1466">
        <f t="shared" si="206"/>
        <v>3.1E-2</v>
      </c>
      <c r="W1466">
        <f t="shared" si="207"/>
        <v>7.91132075471698E-2</v>
      </c>
      <c r="X1466">
        <f t="shared" si="208"/>
        <v>0.96899999999999997</v>
      </c>
      <c r="Y1466">
        <v>51.010183159999997</v>
      </c>
      <c r="Z1466">
        <v>0</v>
      </c>
      <c r="AA1466">
        <v>75370</v>
      </c>
      <c r="AB1466">
        <v>21403</v>
      </c>
      <c r="AC1466">
        <v>2.4597187E-2</v>
      </c>
      <c r="AD1466">
        <v>0.84342094400000001</v>
      </c>
      <c r="AF1466">
        <v>13.83370968</v>
      </c>
      <c r="AG1466">
        <v>2E-3</v>
      </c>
      <c r="AH1466">
        <v>0.01</v>
      </c>
      <c r="AI1466">
        <v>0.96299999999999997</v>
      </c>
      <c r="AJ1466">
        <v>2.71</v>
      </c>
      <c r="AK1466">
        <v>7.4504663210000004</v>
      </c>
      <c r="AL1466">
        <v>3.1E-2</v>
      </c>
      <c r="AM1466">
        <v>0</v>
      </c>
      <c r="AN1466">
        <v>0.96899999999999997</v>
      </c>
    </row>
    <row r="1467" spans="1:40">
      <c r="A1467">
        <v>3535</v>
      </c>
      <c r="B1467" t="s">
        <v>683</v>
      </c>
      <c r="C1467" t="s">
        <v>684</v>
      </c>
      <c r="D1467" t="s">
        <v>685</v>
      </c>
      <c r="E1467">
        <v>124</v>
      </c>
      <c r="F1467">
        <v>482</v>
      </c>
      <c r="G1467">
        <v>131.33288400000001</v>
      </c>
      <c r="H1467">
        <v>1244</v>
      </c>
      <c r="I1467">
        <v>0.205291961</v>
      </c>
      <c r="J1467">
        <v>1726</v>
      </c>
      <c r="K1467">
        <v>8407.5381789999992</v>
      </c>
      <c r="L1467">
        <v>0.93400000000000005</v>
      </c>
      <c r="M1467">
        <v>0.90935672499999998</v>
      </c>
      <c r="N1467">
        <v>0</v>
      </c>
      <c r="O1467" t="s">
        <v>620</v>
      </c>
      <c r="P1467">
        <f t="shared" si="200"/>
        <v>14.01045455</v>
      </c>
      <c r="Q1467">
        <f t="shared" si="201"/>
        <v>1.4999999999999999E-2</v>
      </c>
      <c r="R1467">
        <f t="shared" si="202"/>
        <v>1.2E-2</v>
      </c>
      <c r="S1467">
        <f t="shared" si="203"/>
        <v>0.93400000000000005</v>
      </c>
      <c r="T1467">
        <f t="shared" si="204"/>
        <v>2.2770000000000001</v>
      </c>
      <c r="U1467">
        <f t="shared" si="205"/>
        <v>7.0604680579999997</v>
      </c>
      <c r="V1467">
        <f t="shared" si="206"/>
        <v>1.9E-2</v>
      </c>
      <c r="W1467">
        <f t="shared" si="207"/>
        <v>0.06</v>
      </c>
      <c r="X1467">
        <f t="shared" si="208"/>
        <v>0.91700000000000004</v>
      </c>
      <c r="Y1467">
        <v>51.317827260000001</v>
      </c>
      <c r="Z1467">
        <v>0</v>
      </c>
      <c r="AA1467">
        <v>75370</v>
      </c>
      <c r="AB1467">
        <v>21403</v>
      </c>
      <c r="AC1467">
        <v>2.4597187E-2</v>
      </c>
      <c r="AD1467">
        <v>0.84342094400000001</v>
      </c>
      <c r="AF1467">
        <v>14.01045455</v>
      </c>
      <c r="AG1467">
        <v>1.4999999999999999E-2</v>
      </c>
      <c r="AH1467">
        <v>1.2E-2</v>
      </c>
      <c r="AI1467">
        <v>0.93400000000000005</v>
      </c>
      <c r="AJ1467">
        <v>2.2770000000000001</v>
      </c>
      <c r="AK1467">
        <v>7.0604680579999997</v>
      </c>
      <c r="AL1467">
        <v>1.9E-2</v>
      </c>
      <c r="AM1467">
        <v>0.06</v>
      </c>
      <c r="AN1467">
        <v>0.91700000000000004</v>
      </c>
    </row>
    <row r="1468" spans="1:40">
      <c r="A1468">
        <v>3536</v>
      </c>
      <c r="B1468" t="s">
        <v>683</v>
      </c>
      <c r="C1468" t="s">
        <v>684</v>
      </c>
      <c r="D1468" t="s">
        <v>685</v>
      </c>
      <c r="E1468">
        <v>297</v>
      </c>
      <c r="F1468">
        <v>1151</v>
      </c>
      <c r="G1468">
        <v>54.538840350000001</v>
      </c>
      <c r="H1468">
        <v>111</v>
      </c>
      <c r="I1468">
        <v>8.5241000999999997E-2</v>
      </c>
      <c r="J1468">
        <v>1262</v>
      </c>
      <c r="K1468">
        <v>14805.081889999999</v>
      </c>
      <c r="L1468">
        <v>0.82099999999999995</v>
      </c>
      <c r="M1468">
        <v>0.27205882399999998</v>
      </c>
      <c r="N1468">
        <v>1</v>
      </c>
      <c r="O1468" t="s">
        <v>620</v>
      </c>
      <c r="P1468">
        <f t="shared" si="200"/>
        <v>14.27226804</v>
      </c>
      <c r="Q1468">
        <f t="shared" si="201"/>
        <v>3.1E-2</v>
      </c>
      <c r="R1468">
        <f t="shared" si="202"/>
        <v>1.7999999999999999E-2</v>
      </c>
      <c r="S1468">
        <f t="shared" si="203"/>
        <v>0.82099999999999995</v>
      </c>
      <c r="T1468">
        <f t="shared" si="204"/>
        <v>2.568333333</v>
      </c>
      <c r="U1468">
        <f t="shared" si="205"/>
        <v>7.7532110090000002</v>
      </c>
      <c r="V1468">
        <f t="shared" si="206"/>
        <v>1.7999999999999999E-2</v>
      </c>
      <c r="W1468">
        <f t="shared" si="207"/>
        <v>6.4000000000000001E-2</v>
      </c>
      <c r="X1468">
        <f t="shared" si="208"/>
        <v>0.88200000000000001</v>
      </c>
      <c r="Y1468">
        <v>119.43471839999999</v>
      </c>
      <c r="Z1468">
        <v>0</v>
      </c>
      <c r="AA1468">
        <v>75370</v>
      </c>
      <c r="AB1468">
        <v>21403</v>
      </c>
      <c r="AC1468">
        <v>2.4597187E-2</v>
      </c>
      <c r="AD1468">
        <v>0.84342094400000001</v>
      </c>
      <c r="AF1468">
        <v>14.27226804</v>
      </c>
      <c r="AG1468">
        <v>3.1E-2</v>
      </c>
      <c r="AH1468">
        <v>1.7999999999999999E-2</v>
      </c>
      <c r="AI1468">
        <v>0.82099999999999995</v>
      </c>
      <c r="AJ1468">
        <v>2.568333333</v>
      </c>
      <c r="AK1468">
        <v>7.7532110090000002</v>
      </c>
      <c r="AL1468">
        <v>1.7999999999999999E-2</v>
      </c>
      <c r="AM1468">
        <v>6.4000000000000001E-2</v>
      </c>
      <c r="AN1468">
        <v>0.88200000000000001</v>
      </c>
    </row>
    <row r="1469" spans="1:40">
      <c r="A1469">
        <v>3537</v>
      </c>
      <c r="B1469" t="s">
        <v>691</v>
      </c>
      <c r="C1469" t="s">
        <v>684</v>
      </c>
      <c r="D1469" t="s">
        <v>685</v>
      </c>
      <c r="E1469">
        <v>229</v>
      </c>
      <c r="F1469">
        <v>675</v>
      </c>
      <c r="G1469">
        <v>70.492663019999995</v>
      </c>
      <c r="H1469">
        <v>46</v>
      </c>
      <c r="I1469">
        <v>0.110183879</v>
      </c>
      <c r="J1469">
        <v>721</v>
      </c>
      <c r="K1469">
        <v>6543.6069829999997</v>
      </c>
      <c r="L1469">
        <v>0.876</v>
      </c>
      <c r="M1469">
        <v>0.16727272700000001</v>
      </c>
      <c r="N1469">
        <v>0</v>
      </c>
      <c r="O1469" t="s">
        <v>620</v>
      </c>
      <c r="P1469">
        <f t="shared" si="200"/>
        <v>13.64746667</v>
      </c>
      <c r="Q1469">
        <f t="shared" si="201"/>
        <v>2.1000000000000001E-2</v>
      </c>
      <c r="R1469">
        <f t="shared" si="202"/>
        <v>1.9E-2</v>
      </c>
      <c r="S1469">
        <f t="shared" si="203"/>
        <v>0.876</v>
      </c>
      <c r="T1469">
        <f t="shared" si="204"/>
        <v>2.7374999999999998</v>
      </c>
      <c r="U1469">
        <f t="shared" si="205"/>
        <v>7.6014929579999997</v>
      </c>
      <c r="V1469">
        <f t="shared" si="206"/>
        <v>2.4E-2</v>
      </c>
      <c r="W1469">
        <f t="shared" si="207"/>
        <v>9.4E-2</v>
      </c>
      <c r="X1469">
        <f t="shared" si="208"/>
        <v>0.88200000000000001</v>
      </c>
      <c r="Y1469">
        <v>153.76946960000001</v>
      </c>
      <c r="Z1469">
        <v>0</v>
      </c>
      <c r="AA1469">
        <v>236250</v>
      </c>
      <c r="AB1469">
        <v>76158</v>
      </c>
      <c r="AC1469">
        <v>1.7652984E-2</v>
      </c>
      <c r="AD1469">
        <v>0.84750225300000004</v>
      </c>
      <c r="AF1469">
        <v>13.64746667</v>
      </c>
      <c r="AG1469">
        <v>2.1000000000000001E-2</v>
      </c>
      <c r="AH1469">
        <v>1.9E-2</v>
      </c>
      <c r="AI1469">
        <v>0.876</v>
      </c>
      <c r="AJ1469">
        <v>2.7374999999999998</v>
      </c>
      <c r="AK1469">
        <v>7.6014929579999997</v>
      </c>
      <c r="AL1469">
        <v>2.4E-2</v>
      </c>
      <c r="AM1469">
        <v>9.4E-2</v>
      </c>
      <c r="AN1469">
        <v>0.88200000000000001</v>
      </c>
    </row>
    <row r="1470" spans="1:40">
      <c r="A1470">
        <v>3538</v>
      </c>
      <c r="B1470" t="s">
        <v>683</v>
      </c>
      <c r="C1470" t="s">
        <v>684</v>
      </c>
      <c r="D1470" t="s">
        <v>685</v>
      </c>
      <c r="E1470">
        <v>337</v>
      </c>
      <c r="F1470">
        <v>1308</v>
      </c>
      <c r="G1470">
        <v>70.943861119999994</v>
      </c>
      <c r="H1470">
        <v>0</v>
      </c>
      <c r="I1470">
        <v>0.110887903</v>
      </c>
      <c r="J1470">
        <v>1308</v>
      </c>
      <c r="K1470">
        <v>11795.69606</v>
      </c>
      <c r="L1470">
        <v>0.79800000000000004</v>
      </c>
      <c r="M1470">
        <v>0</v>
      </c>
      <c r="N1470">
        <v>0</v>
      </c>
      <c r="O1470" t="s">
        <v>620</v>
      </c>
      <c r="P1470">
        <f t="shared" si="200"/>
        <v>11.984466019999999</v>
      </c>
      <c r="Q1470">
        <f t="shared" si="201"/>
        <v>3.6999999999999998E-2</v>
      </c>
      <c r="R1470">
        <f t="shared" si="202"/>
        <v>2.5000000000000001E-2</v>
      </c>
      <c r="S1470">
        <f t="shared" si="203"/>
        <v>0.79800000000000004</v>
      </c>
      <c r="T1470">
        <f t="shared" si="204"/>
        <v>1.8334999999999999</v>
      </c>
      <c r="U1470">
        <f t="shared" si="205"/>
        <v>6.7698208470000001</v>
      </c>
      <c r="V1470">
        <f t="shared" si="206"/>
        <v>1.4999999999999999E-2</v>
      </c>
      <c r="W1470">
        <f t="shared" si="207"/>
        <v>0.13500000000000001</v>
      </c>
      <c r="X1470">
        <f t="shared" si="208"/>
        <v>0.77400000000000002</v>
      </c>
      <c r="Y1470">
        <v>97.308391240000006</v>
      </c>
      <c r="Z1470">
        <v>0</v>
      </c>
      <c r="AA1470">
        <v>75370</v>
      </c>
      <c r="AB1470">
        <v>21403</v>
      </c>
      <c r="AC1470">
        <v>2.4597187E-2</v>
      </c>
      <c r="AD1470">
        <v>0.84342094400000001</v>
      </c>
      <c r="AF1470">
        <v>11.984466019999999</v>
      </c>
      <c r="AG1470">
        <v>3.6999999999999998E-2</v>
      </c>
      <c r="AH1470">
        <v>2.5000000000000001E-2</v>
      </c>
      <c r="AI1470">
        <v>0.79800000000000004</v>
      </c>
      <c r="AJ1470">
        <v>1.8334999999999999</v>
      </c>
      <c r="AK1470">
        <v>6.7698208470000001</v>
      </c>
      <c r="AL1470">
        <v>1.4999999999999999E-2</v>
      </c>
      <c r="AM1470">
        <v>0.13500000000000001</v>
      </c>
      <c r="AN1470">
        <v>0.77400000000000002</v>
      </c>
    </row>
    <row r="1471" spans="1:40">
      <c r="A1471">
        <v>3539</v>
      </c>
      <c r="B1471" t="s">
        <v>683</v>
      </c>
      <c r="C1471" t="s">
        <v>684</v>
      </c>
      <c r="D1471" t="s">
        <v>685</v>
      </c>
      <c r="E1471">
        <v>535</v>
      </c>
      <c r="F1471">
        <v>1948</v>
      </c>
      <c r="G1471">
        <v>132.0764116</v>
      </c>
      <c r="H1471">
        <v>1974</v>
      </c>
      <c r="I1471">
        <v>0.20644929000000001</v>
      </c>
      <c r="J1471">
        <v>3922</v>
      </c>
      <c r="K1471">
        <v>18997.401249999999</v>
      </c>
      <c r="L1471">
        <v>0.86299999999999999</v>
      </c>
      <c r="M1471">
        <v>0.78676763699999996</v>
      </c>
      <c r="N1471">
        <v>0</v>
      </c>
      <c r="O1471" t="s">
        <v>620</v>
      </c>
      <c r="P1471">
        <f t="shared" si="200"/>
        <v>14.258995329999999</v>
      </c>
      <c r="Q1471">
        <f t="shared" si="201"/>
        <v>1.9E-2</v>
      </c>
      <c r="R1471">
        <f t="shared" si="202"/>
        <v>1.7999999999999999E-2</v>
      </c>
      <c r="S1471">
        <f t="shared" si="203"/>
        <v>0.86299999999999999</v>
      </c>
      <c r="T1471">
        <f t="shared" si="204"/>
        <v>2.2495454549999998</v>
      </c>
      <c r="U1471">
        <f t="shared" si="205"/>
        <v>8.3828765129999994</v>
      </c>
      <c r="V1471">
        <f t="shared" si="206"/>
        <v>1.9E-2</v>
      </c>
      <c r="W1471">
        <f t="shared" si="207"/>
        <v>5.1999999999999998E-2</v>
      </c>
      <c r="X1471">
        <f t="shared" si="208"/>
        <v>0.89500000000000002</v>
      </c>
      <c r="Y1471">
        <v>40.465860130000003</v>
      </c>
      <c r="Z1471">
        <v>0</v>
      </c>
      <c r="AA1471">
        <v>75370</v>
      </c>
      <c r="AB1471">
        <v>21403</v>
      </c>
      <c r="AC1471">
        <v>2.4597187E-2</v>
      </c>
      <c r="AD1471">
        <v>0.84342094400000001</v>
      </c>
      <c r="AF1471">
        <v>14.258995329999999</v>
      </c>
      <c r="AG1471">
        <v>1.9E-2</v>
      </c>
      <c r="AH1471">
        <v>1.7999999999999999E-2</v>
      </c>
      <c r="AI1471">
        <v>0.86299999999999999</v>
      </c>
      <c r="AJ1471">
        <v>2.2495454549999998</v>
      </c>
      <c r="AK1471">
        <v>8.3828765129999994</v>
      </c>
      <c r="AL1471">
        <v>1.9E-2</v>
      </c>
      <c r="AM1471">
        <v>5.1999999999999998E-2</v>
      </c>
      <c r="AN1471">
        <v>0.89500000000000002</v>
      </c>
    </row>
    <row r="1472" spans="1:40">
      <c r="A1472">
        <v>3540</v>
      </c>
      <c r="B1472" t="s">
        <v>683</v>
      </c>
      <c r="C1472" t="s">
        <v>684</v>
      </c>
      <c r="D1472" t="s">
        <v>685</v>
      </c>
      <c r="E1472">
        <v>327</v>
      </c>
      <c r="F1472">
        <v>1038</v>
      </c>
      <c r="G1472">
        <v>50.806716979999997</v>
      </c>
      <c r="H1472">
        <v>4</v>
      </c>
      <c r="I1472">
        <v>7.9415334000000004E-2</v>
      </c>
      <c r="J1472">
        <v>1042</v>
      </c>
      <c r="K1472">
        <v>13120.891739999999</v>
      </c>
      <c r="L1472">
        <v>0.84499999999999997</v>
      </c>
      <c r="M1472">
        <v>1.2084592E-2</v>
      </c>
      <c r="N1472">
        <v>1</v>
      </c>
      <c r="O1472" t="s">
        <v>620</v>
      </c>
      <c r="P1472">
        <f t="shared" si="200"/>
        <v>13.951891890000001</v>
      </c>
      <c r="Q1472">
        <f t="shared" si="201"/>
        <v>3.4000000000000002E-2</v>
      </c>
      <c r="R1472">
        <f t="shared" si="202"/>
        <v>6.0000000000000001E-3</v>
      </c>
      <c r="S1472">
        <f t="shared" si="203"/>
        <v>0.84499999999999997</v>
      </c>
      <c r="T1472">
        <f t="shared" si="204"/>
        <v>3.2275</v>
      </c>
      <c r="U1472">
        <f t="shared" si="205"/>
        <v>7.4259493670000003</v>
      </c>
      <c r="V1472">
        <f t="shared" si="206"/>
        <v>2.3E-2</v>
      </c>
      <c r="W1472">
        <f t="shared" si="207"/>
        <v>0.114</v>
      </c>
      <c r="X1472">
        <f t="shared" si="208"/>
        <v>0.84099999999999997</v>
      </c>
      <c r="Y1472">
        <v>118.8651898</v>
      </c>
      <c r="Z1472">
        <v>0</v>
      </c>
      <c r="AA1472">
        <v>75370</v>
      </c>
      <c r="AB1472">
        <v>21403</v>
      </c>
      <c r="AC1472">
        <v>2.4597187E-2</v>
      </c>
      <c r="AD1472">
        <v>0.84342094400000001</v>
      </c>
      <c r="AF1472">
        <v>13.951891890000001</v>
      </c>
      <c r="AG1472">
        <v>3.4000000000000002E-2</v>
      </c>
      <c r="AH1472">
        <v>6.0000000000000001E-3</v>
      </c>
      <c r="AI1472">
        <v>0.84499999999999997</v>
      </c>
      <c r="AJ1472">
        <v>3.2275</v>
      </c>
      <c r="AK1472">
        <v>7.4259493670000003</v>
      </c>
      <c r="AL1472">
        <v>2.3E-2</v>
      </c>
      <c r="AM1472">
        <v>0.114</v>
      </c>
      <c r="AN1472">
        <v>0.84099999999999997</v>
      </c>
    </row>
    <row r="1473" spans="1:40">
      <c r="A1473">
        <v>3541</v>
      </c>
      <c r="B1473" t="s">
        <v>683</v>
      </c>
      <c r="C1473" t="s">
        <v>684</v>
      </c>
      <c r="D1473" t="s">
        <v>685</v>
      </c>
      <c r="E1473">
        <v>252</v>
      </c>
      <c r="F1473">
        <v>877</v>
      </c>
      <c r="G1473">
        <v>36.131380780000001</v>
      </c>
      <c r="H1473">
        <v>50</v>
      </c>
      <c r="I1473">
        <v>5.6476007000000002E-2</v>
      </c>
      <c r="J1473">
        <v>927</v>
      </c>
      <c r="K1473">
        <v>16414.049950000001</v>
      </c>
      <c r="L1473">
        <v>0.83699999999999997</v>
      </c>
      <c r="M1473">
        <v>0.16556291400000001</v>
      </c>
      <c r="N1473">
        <v>0</v>
      </c>
      <c r="O1473" t="s">
        <v>620</v>
      </c>
      <c r="P1473">
        <f t="shared" si="200"/>
        <v>13.49640625</v>
      </c>
      <c r="Q1473">
        <f t="shared" si="201"/>
        <v>2.1999999999999999E-2</v>
      </c>
      <c r="R1473">
        <f t="shared" si="202"/>
        <v>0.01</v>
      </c>
      <c r="S1473">
        <f t="shared" si="203"/>
        <v>0.83699999999999997</v>
      </c>
      <c r="T1473">
        <f t="shared" si="204"/>
        <v>0.45666666700000003</v>
      </c>
      <c r="U1473">
        <f t="shared" si="205"/>
        <v>6.3997907950000004</v>
      </c>
      <c r="V1473">
        <f t="shared" si="206"/>
        <v>2.7E-2</v>
      </c>
      <c r="W1473">
        <f t="shared" si="207"/>
        <v>9.2999999999999999E-2</v>
      </c>
      <c r="X1473">
        <f t="shared" si="208"/>
        <v>0.85299999999999998</v>
      </c>
      <c r="Y1473">
        <v>46.615330819999997</v>
      </c>
      <c r="Z1473">
        <v>0</v>
      </c>
      <c r="AA1473">
        <v>75370</v>
      </c>
      <c r="AB1473">
        <v>21403</v>
      </c>
      <c r="AC1473">
        <v>2.4597187E-2</v>
      </c>
      <c r="AD1473">
        <v>0.84342094400000001</v>
      </c>
      <c r="AF1473">
        <v>13.49640625</v>
      </c>
      <c r="AG1473">
        <v>2.1999999999999999E-2</v>
      </c>
      <c r="AH1473">
        <v>0.01</v>
      </c>
      <c r="AI1473">
        <v>0.83699999999999997</v>
      </c>
      <c r="AJ1473">
        <v>0.45666666700000003</v>
      </c>
      <c r="AK1473">
        <v>6.3997907950000004</v>
      </c>
      <c r="AL1473">
        <v>2.7E-2</v>
      </c>
      <c r="AM1473">
        <v>9.2999999999999999E-2</v>
      </c>
      <c r="AN1473">
        <v>0.85299999999999998</v>
      </c>
    </row>
    <row r="1474" spans="1:40">
      <c r="A1474">
        <v>3542</v>
      </c>
      <c r="B1474" t="s">
        <v>691</v>
      </c>
      <c r="C1474" t="s">
        <v>684</v>
      </c>
      <c r="D1474" t="s">
        <v>685</v>
      </c>
      <c r="E1474">
        <v>250</v>
      </c>
      <c r="F1474">
        <v>763</v>
      </c>
      <c r="G1474">
        <v>31.94255399</v>
      </c>
      <c r="H1474">
        <v>170</v>
      </c>
      <c r="I1474">
        <v>4.9929064000000002E-2</v>
      </c>
      <c r="J1474">
        <v>933</v>
      </c>
      <c r="K1474">
        <v>18686.51093</v>
      </c>
      <c r="L1474">
        <v>0.83899999999999997</v>
      </c>
      <c r="M1474">
        <v>0.40476190499999998</v>
      </c>
      <c r="N1474">
        <v>0</v>
      </c>
      <c r="O1474" t="s">
        <v>620</v>
      </c>
      <c r="P1474">
        <f t="shared" si="200"/>
        <v>12.59788462</v>
      </c>
      <c r="Q1474">
        <f t="shared" si="201"/>
        <v>1.2999999999999999E-2</v>
      </c>
      <c r="R1474">
        <f t="shared" si="202"/>
        <v>2.5999999999999999E-2</v>
      </c>
      <c r="S1474">
        <f t="shared" si="203"/>
        <v>0.83899999999999997</v>
      </c>
      <c r="T1474">
        <f t="shared" si="204"/>
        <v>2.3194444440000002</v>
      </c>
      <c r="U1474">
        <f t="shared" si="205"/>
        <v>7.7729909910000003</v>
      </c>
      <c r="V1474">
        <f t="shared" si="206"/>
        <v>3.3000000000000002E-2</v>
      </c>
      <c r="W1474">
        <f t="shared" si="207"/>
        <v>2.5000000000000001E-2</v>
      </c>
      <c r="X1474">
        <f t="shared" si="208"/>
        <v>0.86</v>
      </c>
      <c r="Y1474">
        <v>157.47981139999999</v>
      </c>
      <c r="Z1474">
        <v>0</v>
      </c>
      <c r="AA1474">
        <v>236250</v>
      </c>
      <c r="AB1474">
        <v>76158</v>
      </c>
      <c r="AC1474">
        <v>1.7652984E-2</v>
      </c>
      <c r="AD1474">
        <v>0.84750225300000004</v>
      </c>
      <c r="AF1474">
        <v>12.59788462</v>
      </c>
      <c r="AG1474">
        <v>1.2999999999999999E-2</v>
      </c>
      <c r="AH1474">
        <v>2.5999999999999999E-2</v>
      </c>
      <c r="AI1474">
        <v>0.83899999999999997</v>
      </c>
      <c r="AJ1474">
        <v>2.3194444440000002</v>
      </c>
      <c r="AK1474">
        <v>7.7729909910000003</v>
      </c>
      <c r="AL1474">
        <v>3.3000000000000002E-2</v>
      </c>
      <c r="AM1474">
        <v>2.5000000000000001E-2</v>
      </c>
      <c r="AN1474">
        <v>0.86</v>
      </c>
    </row>
    <row r="1475" spans="1:40">
      <c r="A1475">
        <v>3543</v>
      </c>
      <c r="B1475" t="s">
        <v>691</v>
      </c>
      <c r="C1475" t="s">
        <v>684</v>
      </c>
      <c r="D1475" t="s">
        <v>685</v>
      </c>
      <c r="E1475">
        <v>101</v>
      </c>
      <c r="F1475">
        <v>1103</v>
      </c>
      <c r="G1475">
        <v>38.2424824</v>
      </c>
      <c r="H1475">
        <v>624</v>
      </c>
      <c r="I1475">
        <v>5.9771035E-2</v>
      </c>
      <c r="J1475">
        <v>1727</v>
      </c>
      <c r="K1475">
        <v>28893.593690000002</v>
      </c>
      <c r="L1475">
        <v>0.83199999999999996</v>
      </c>
      <c r="M1475">
        <v>0.86068965500000005</v>
      </c>
      <c r="N1475">
        <v>0</v>
      </c>
      <c r="O1475" t="s">
        <v>620</v>
      </c>
      <c r="P1475">
        <f t="shared" si="200"/>
        <v>15.01178571</v>
      </c>
      <c r="Q1475">
        <f t="shared" si="201"/>
        <v>1.6E-2</v>
      </c>
      <c r="R1475">
        <f t="shared" si="202"/>
        <v>1.2E-2</v>
      </c>
      <c r="S1475">
        <f t="shared" si="203"/>
        <v>0.83199999999999996</v>
      </c>
      <c r="T1475">
        <f t="shared" si="204"/>
        <v>2.6872222219999999</v>
      </c>
      <c r="U1475">
        <f t="shared" si="205"/>
        <v>6.9196239320000004</v>
      </c>
      <c r="V1475">
        <f t="shared" si="206"/>
        <v>3.9E-2</v>
      </c>
      <c r="W1475">
        <f t="shared" si="207"/>
        <v>6.9000000000000006E-2</v>
      </c>
      <c r="X1475">
        <f t="shared" si="208"/>
        <v>0.82399999999999995</v>
      </c>
      <c r="Y1475">
        <v>147.16788919999999</v>
      </c>
      <c r="Z1475">
        <v>0</v>
      </c>
      <c r="AA1475">
        <v>236250</v>
      </c>
      <c r="AB1475">
        <v>76158</v>
      </c>
      <c r="AC1475">
        <v>1.7652984E-2</v>
      </c>
      <c r="AD1475">
        <v>0.84750225300000004</v>
      </c>
      <c r="AF1475">
        <v>15.01178571</v>
      </c>
      <c r="AG1475">
        <v>1.6E-2</v>
      </c>
      <c r="AH1475">
        <v>1.2E-2</v>
      </c>
      <c r="AI1475">
        <v>0.83199999999999996</v>
      </c>
      <c r="AJ1475">
        <v>2.6872222219999999</v>
      </c>
      <c r="AK1475">
        <v>6.9196239320000004</v>
      </c>
      <c r="AL1475">
        <v>3.9E-2</v>
      </c>
      <c r="AM1475">
        <v>6.9000000000000006E-2</v>
      </c>
      <c r="AN1475">
        <v>0.82399999999999995</v>
      </c>
    </row>
    <row r="1476" spans="1:40">
      <c r="A1476">
        <v>3544</v>
      </c>
      <c r="B1476" t="s">
        <v>691</v>
      </c>
      <c r="C1476" t="s">
        <v>684</v>
      </c>
      <c r="D1476" t="s">
        <v>685</v>
      </c>
      <c r="E1476">
        <v>171</v>
      </c>
      <c r="F1476">
        <v>355</v>
      </c>
      <c r="G1476">
        <v>62.829205180000002</v>
      </c>
      <c r="H1476">
        <v>449</v>
      </c>
      <c r="I1476">
        <v>9.8210961999999999E-2</v>
      </c>
      <c r="J1476">
        <v>804</v>
      </c>
      <c r="K1476">
        <v>8186.4588599999997</v>
      </c>
      <c r="L1476">
        <v>0.752</v>
      </c>
      <c r="M1476">
        <v>0.72419354800000002</v>
      </c>
      <c r="N1476">
        <v>1</v>
      </c>
      <c r="O1476" t="s">
        <v>613</v>
      </c>
      <c r="P1476">
        <f t="shared" si="200"/>
        <v>11.07306122</v>
      </c>
      <c r="Q1476">
        <f t="shared" si="201"/>
        <v>4.2999999999999997E-2</v>
      </c>
      <c r="R1476">
        <f t="shared" si="202"/>
        <v>2.5999999999999999E-2</v>
      </c>
      <c r="S1476">
        <f t="shared" si="203"/>
        <v>0.752</v>
      </c>
      <c r="T1476">
        <f t="shared" si="204"/>
        <v>2.105</v>
      </c>
      <c r="U1476">
        <f t="shared" si="205"/>
        <v>6.9744444440000004</v>
      </c>
      <c r="V1476">
        <f t="shared" si="206"/>
        <v>5.6000000000000001E-2</v>
      </c>
      <c r="W1476">
        <f t="shared" si="207"/>
        <v>0.129</v>
      </c>
      <c r="X1476">
        <f t="shared" si="208"/>
        <v>0.79</v>
      </c>
      <c r="Y1476">
        <v>319.09622810000002</v>
      </c>
      <c r="Z1476">
        <v>0</v>
      </c>
      <c r="AA1476">
        <v>236250</v>
      </c>
      <c r="AB1476">
        <v>76158</v>
      </c>
      <c r="AC1476">
        <v>1.7652984E-2</v>
      </c>
      <c r="AD1476">
        <v>0.84750225300000004</v>
      </c>
      <c r="AF1476">
        <v>11.07306122</v>
      </c>
      <c r="AG1476">
        <v>4.2999999999999997E-2</v>
      </c>
      <c r="AH1476">
        <v>2.5999999999999999E-2</v>
      </c>
      <c r="AI1476">
        <v>0.752</v>
      </c>
      <c r="AJ1476">
        <v>2.105</v>
      </c>
      <c r="AK1476">
        <v>6.9744444440000004</v>
      </c>
      <c r="AL1476">
        <v>5.6000000000000001E-2</v>
      </c>
      <c r="AM1476">
        <v>0.129</v>
      </c>
      <c r="AN1476">
        <v>0.79</v>
      </c>
    </row>
    <row r="1477" spans="1:40">
      <c r="A1477">
        <v>3545</v>
      </c>
      <c r="B1477" t="s">
        <v>691</v>
      </c>
      <c r="C1477" t="s">
        <v>684</v>
      </c>
      <c r="D1477" t="s">
        <v>685</v>
      </c>
      <c r="E1477">
        <v>0</v>
      </c>
      <c r="F1477">
        <v>0</v>
      </c>
      <c r="G1477">
        <v>36.545681420000001</v>
      </c>
      <c r="H1477">
        <v>930</v>
      </c>
      <c r="I1477">
        <v>5.7123315000000001E-2</v>
      </c>
      <c r="J1477">
        <v>930</v>
      </c>
      <c r="K1477">
        <v>16280.56775</v>
      </c>
      <c r="L1477">
        <v>0.80700000000000005</v>
      </c>
      <c r="M1477" s="515">
        <v>1</v>
      </c>
      <c r="N1477">
        <v>1</v>
      </c>
      <c r="O1477" t="s">
        <v>613</v>
      </c>
      <c r="P1477">
        <f t="shared" si="200"/>
        <v>13.997899159999999</v>
      </c>
      <c r="Q1477">
        <f t="shared" si="201"/>
        <v>3.2000000000000001E-2</v>
      </c>
      <c r="R1477">
        <f t="shared" si="202"/>
        <v>1.2E-2</v>
      </c>
      <c r="S1477">
        <f t="shared" si="203"/>
        <v>0.80700000000000005</v>
      </c>
      <c r="T1477">
        <f t="shared" si="204"/>
        <v>2.3679999999999999</v>
      </c>
      <c r="U1477">
        <f t="shared" si="205"/>
        <v>7.8459210529999996</v>
      </c>
      <c r="V1477">
        <f t="shared" si="206"/>
        <v>4.2000000000000003E-2</v>
      </c>
      <c r="W1477">
        <f t="shared" si="207"/>
        <v>0.09</v>
      </c>
      <c r="X1477">
        <f t="shared" si="208"/>
        <v>0.82599999999999996</v>
      </c>
      <c r="Y1477">
        <v>159.17174299999999</v>
      </c>
      <c r="Z1477">
        <v>0</v>
      </c>
      <c r="AA1477">
        <v>236250</v>
      </c>
      <c r="AB1477">
        <v>76158</v>
      </c>
      <c r="AC1477">
        <v>1.7652984E-2</v>
      </c>
      <c r="AD1477">
        <v>0.84750225300000004</v>
      </c>
      <c r="AF1477">
        <v>13.997899159999999</v>
      </c>
      <c r="AG1477">
        <v>3.2000000000000001E-2</v>
      </c>
      <c r="AH1477">
        <v>1.2E-2</v>
      </c>
      <c r="AI1477">
        <v>0.80700000000000005</v>
      </c>
      <c r="AJ1477">
        <v>2.3679999999999999</v>
      </c>
      <c r="AK1477">
        <v>7.8459210529999996</v>
      </c>
      <c r="AL1477">
        <v>4.2000000000000003E-2</v>
      </c>
      <c r="AM1477">
        <v>0.09</v>
      </c>
      <c r="AN1477">
        <v>0.82599999999999996</v>
      </c>
    </row>
    <row r="1478" spans="1:40">
      <c r="A1478">
        <v>3546</v>
      </c>
      <c r="B1478" t="s">
        <v>691</v>
      </c>
      <c r="C1478" t="s">
        <v>684</v>
      </c>
      <c r="D1478" t="s">
        <v>685</v>
      </c>
      <c r="E1478">
        <v>66</v>
      </c>
      <c r="F1478">
        <v>164</v>
      </c>
      <c r="G1478">
        <v>16.626363120000001</v>
      </c>
      <c r="H1478">
        <v>148</v>
      </c>
      <c r="I1478">
        <v>2.5988338999999999E-2</v>
      </c>
      <c r="J1478">
        <v>312</v>
      </c>
      <c r="K1478">
        <v>12005.384410000001</v>
      </c>
      <c r="L1478">
        <v>0.91700000000000004</v>
      </c>
      <c r="M1478">
        <v>0.69158878499999998</v>
      </c>
      <c r="N1478">
        <v>0</v>
      </c>
      <c r="O1478" t="s">
        <v>620</v>
      </c>
      <c r="P1478">
        <f t="shared" si="200"/>
        <v>9.929464286</v>
      </c>
      <c r="Q1478">
        <f t="shared" si="201"/>
        <v>1.8070175438596476E-2</v>
      </c>
      <c r="R1478">
        <f t="shared" si="202"/>
        <v>1.4E-2</v>
      </c>
      <c r="S1478">
        <f t="shared" si="203"/>
        <v>0.91700000000000004</v>
      </c>
      <c r="T1478">
        <f t="shared" si="204"/>
        <v>1.7549999999999999</v>
      </c>
      <c r="U1478">
        <f t="shared" si="205"/>
        <v>7.1317142860000002</v>
      </c>
      <c r="V1478">
        <f t="shared" si="206"/>
        <v>6.6000000000000003E-2</v>
      </c>
      <c r="W1478">
        <f t="shared" si="207"/>
        <v>5.9146341463414652E-2</v>
      </c>
      <c r="X1478">
        <f t="shared" si="208"/>
        <v>0.91800000000000004</v>
      </c>
      <c r="Y1478">
        <v>138.9419149</v>
      </c>
      <c r="Z1478">
        <v>0</v>
      </c>
      <c r="AA1478">
        <v>236250</v>
      </c>
      <c r="AB1478">
        <v>76158</v>
      </c>
      <c r="AC1478">
        <v>1.7652984E-2</v>
      </c>
      <c r="AD1478">
        <v>0.84750225300000004</v>
      </c>
      <c r="AF1478">
        <v>9.929464286</v>
      </c>
      <c r="AG1478">
        <v>0</v>
      </c>
      <c r="AH1478">
        <v>1.4E-2</v>
      </c>
      <c r="AI1478">
        <v>0.91700000000000004</v>
      </c>
      <c r="AJ1478">
        <v>1.7549999999999999</v>
      </c>
      <c r="AK1478">
        <v>7.1317142860000002</v>
      </c>
      <c r="AL1478">
        <v>6.6000000000000003E-2</v>
      </c>
      <c r="AM1478">
        <v>0</v>
      </c>
      <c r="AN1478">
        <v>0.91800000000000004</v>
      </c>
    </row>
    <row r="1479" spans="1:40">
      <c r="A1479">
        <v>3547</v>
      </c>
      <c r="B1479" t="s">
        <v>691</v>
      </c>
      <c r="C1479" t="s">
        <v>684</v>
      </c>
      <c r="D1479" t="s">
        <v>685</v>
      </c>
      <c r="E1479">
        <v>1260</v>
      </c>
      <c r="F1479">
        <v>3288</v>
      </c>
      <c r="G1479">
        <v>65.620884840000002</v>
      </c>
      <c r="H1479">
        <v>93</v>
      </c>
      <c r="I1479">
        <v>0.102569827</v>
      </c>
      <c r="J1479">
        <v>3381</v>
      </c>
      <c r="K1479">
        <v>32962.910230000001</v>
      </c>
      <c r="L1479">
        <v>0.76200000000000001</v>
      </c>
      <c r="M1479">
        <v>6.8736142E-2</v>
      </c>
      <c r="N1479">
        <v>1</v>
      </c>
      <c r="O1479" t="s">
        <v>613</v>
      </c>
      <c r="P1479">
        <f t="shared" si="200"/>
        <v>11.999703390000001</v>
      </c>
      <c r="Q1479">
        <f t="shared" si="201"/>
        <v>3.9E-2</v>
      </c>
      <c r="R1479">
        <f t="shared" si="202"/>
        <v>2.1000000000000001E-2</v>
      </c>
      <c r="S1479">
        <f t="shared" si="203"/>
        <v>0.76200000000000001</v>
      </c>
      <c r="T1479">
        <f t="shared" si="204"/>
        <v>2.0558333329999998</v>
      </c>
      <c r="U1479">
        <f t="shared" si="205"/>
        <v>6.6589118349999996</v>
      </c>
      <c r="V1479">
        <f t="shared" si="206"/>
        <v>3.7999999999999999E-2</v>
      </c>
      <c r="W1479">
        <f t="shared" si="207"/>
        <v>0.10299999999999999</v>
      </c>
      <c r="X1479">
        <f t="shared" si="208"/>
        <v>0.80800000000000005</v>
      </c>
      <c r="Y1479">
        <v>139.2975448</v>
      </c>
      <c r="Z1479">
        <v>0</v>
      </c>
      <c r="AA1479">
        <v>236250</v>
      </c>
      <c r="AB1479">
        <v>76158</v>
      </c>
      <c r="AC1479">
        <v>1.7652984E-2</v>
      </c>
      <c r="AD1479">
        <v>0.84750225300000004</v>
      </c>
      <c r="AF1479">
        <v>11.999703390000001</v>
      </c>
      <c r="AG1479">
        <v>3.9E-2</v>
      </c>
      <c r="AH1479">
        <v>2.1000000000000001E-2</v>
      </c>
      <c r="AI1479">
        <v>0.76200000000000001</v>
      </c>
      <c r="AJ1479">
        <v>2.0558333329999998</v>
      </c>
      <c r="AK1479">
        <v>6.6589118349999996</v>
      </c>
      <c r="AL1479">
        <v>3.7999999999999999E-2</v>
      </c>
      <c r="AM1479">
        <v>0.10299999999999999</v>
      </c>
      <c r="AN1479">
        <v>0.80800000000000005</v>
      </c>
    </row>
    <row r="1480" spans="1:40">
      <c r="A1480">
        <v>3548</v>
      </c>
      <c r="B1480" t="s">
        <v>691</v>
      </c>
      <c r="C1480" t="s">
        <v>684</v>
      </c>
      <c r="D1480" t="s">
        <v>685</v>
      </c>
      <c r="E1480">
        <v>347</v>
      </c>
      <c r="F1480">
        <v>1145</v>
      </c>
      <c r="G1480">
        <v>61.185342630000001</v>
      </c>
      <c r="H1480">
        <v>102</v>
      </c>
      <c r="I1480">
        <v>9.5634342999999997E-2</v>
      </c>
      <c r="J1480">
        <v>1247</v>
      </c>
      <c r="K1480">
        <v>13039.248879999999</v>
      </c>
      <c r="L1480">
        <v>0.84699999999999998</v>
      </c>
      <c r="M1480">
        <v>0.227171492</v>
      </c>
      <c r="N1480">
        <v>0</v>
      </c>
      <c r="O1480" t="s">
        <v>620</v>
      </c>
      <c r="P1480">
        <f t="shared" si="200"/>
        <v>15.32744681</v>
      </c>
      <c r="Q1480">
        <f t="shared" si="201"/>
        <v>0.01</v>
      </c>
      <c r="R1480">
        <f t="shared" si="202"/>
        <v>1.6E-2</v>
      </c>
      <c r="S1480">
        <f t="shared" si="203"/>
        <v>0.84699999999999998</v>
      </c>
      <c r="T1480">
        <f t="shared" si="204"/>
        <v>2.1</v>
      </c>
      <c r="U1480">
        <f t="shared" si="205"/>
        <v>7.6282239379999996</v>
      </c>
      <c r="V1480">
        <f t="shared" si="206"/>
        <v>3.7999999999999999E-2</v>
      </c>
      <c r="W1480">
        <f t="shared" si="207"/>
        <v>3.7999999999999999E-2</v>
      </c>
      <c r="X1480">
        <f t="shared" si="208"/>
        <v>0.89500000000000002</v>
      </c>
      <c r="Y1480">
        <v>148.94386</v>
      </c>
      <c r="Z1480">
        <v>0</v>
      </c>
      <c r="AA1480">
        <v>236250</v>
      </c>
      <c r="AB1480">
        <v>76158</v>
      </c>
      <c r="AC1480">
        <v>1.7652984E-2</v>
      </c>
      <c r="AD1480">
        <v>0.84750225300000004</v>
      </c>
      <c r="AF1480">
        <v>15.32744681</v>
      </c>
      <c r="AG1480">
        <v>0.01</v>
      </c>
      <c r="AH1480">
        <v>1.6E-2</v>
      </c>
      <c r="AI1480">
        <v>0.84699999999999998</v>
      </c>
      <c r="AJ1480">
        <v>2.1</v>
      </c>
      <c r="AK1480">
        <v>7.6282239379999996</v>
      </c>
      <c r="AL1480">
        <v>3.7999999999999999E-2</v>
      </c>
      <c r="AM1480">
        <v>3.7999999999999999E-2</v>
      </c>
      <c r="AN1480">
        <v>0.89500000000000002</v>
      </c>
    </row>
    <row r="1481" spans="1:40">
      <c r="A1481">
        <v>3549</v>
      </c>
      <c r="B1481" t="s">
        <v>691</v>
      </c>
      <c r="C1481" t="s">
        <v>684</v>
      </c>
      <c r="D1481" t="s">
        <v>685</v>
      </c>
      <c r="E1481">
        <v>107</v>
      </c>
      <c r="F1481">
        <v>245</v>
      </c>
      <c r="G1481">
        <v>38.719066519999998</v>
      </c>
      <c r="H1481">
        <v>285</v>
      </c>
      <c r="I1481">
        <v>6.0528445E-2</v>
      </c>
      <c r="J1481">
        <v>530</v>
      </c>
      <c r="K1481">
        <v>8756.2137110000003</v>
      </c>
      <c r="L1481">
        <v>0.82699999999999996</v>
      </c>
      <c r="M1481">
        <v>0.72704081600000003</v>
      </c>
      <c r="N1481">
        <v>0</v>
      </c>
      <c r="O1481" t="s">
        <v>620</v>
      </c>
      <c r="P1481">
        <f t="shared" si="200"/>
        <v>11.67793651</v>
      </c>
      <c r="Q1481">
        <f t="shared" si="201"/>
        <v>7.0000000000000001E-3</v>
      </c>
      <c r="R1481">
        <f t="shared" si="202"/>
        <v>2.3E-2</v>
      </c>
      <c r="S1481">
        <f t="shared" si="203"/>
        <v>0.82699999999999996</v>
      </c>
      <c r="T1481">
        <f t="shared" si="204"/>
        <v>1.7210000000000001</v>
      </c>
      <c r="U1481">
        <f t="shared" si="205"/>
        <v>7.106618911</v>
      </c>
      <c r="V1481">
        <f t="shared" si="206"/>
        <v>5.8999999999999997E-2</v>
      </c>
      <c r="W1481">
        <f t="shared" si="207"/>
        <v>1.4999999999999999E-2</v>
      </c>
      <c r="X1481">
        <f t="shared" si="208"/>
        <v>0.92600000000000005</v>
      </c>
      <c r="Y1481">
        <v>41.673644039999999</v>
      </c>
      <c r="Z1481">
        <v>0</v>
      </c>
      <c r="AA1481">
        <v>236250</v>
      </c>
      <c r="AB1481">
        <v>76158</v>
      </c>
      <c r="AC1481">
        <v>1.7652984E-2</v>
      </c>
      <c r="AD1481">
        <v>0.84750225300000004</v>
      </c>
      <c r="AF1481">
        <v>11.67793651</v>
      </c>
      <c r="AG1481">
        <v>7.0000000000000001E-3</v>
      </c>
      <c r="AH1481">
        <v>2.3E-2</v>
      </c>
      <c r="AI1481">
        <v>0.82699999999999996</v>
      </c>
      <c r="AJ1481">
        <v>1.7210000000000001</v>
      </c>
      <c r="AK1481">
        <v>7.106618911</v>
      </c>
      <c r="AL1481">
        <v>5.8999999999999997E-2</v>
      </c>
      <c r="AM1481">
        <v>1.4999999999999999E-2</v>
      </c>
      <c r="AN1481">
        <v>0.92600000000000005</v>
      </c>
    </row>
    <row r="1482" spans="1:40">
      <c r="A1482">
        <v>3550</v>
      </c>
      <c r="B1482" t="s">
        <v>691</v>
      </c>
      <c r="C1482" t="s">
        <v>684</v>
      </c>
      <c r="D1482" t="s">
        <v>685</v>
      </c>
      <c r="E1482">
        <v>340</v>
      </c>
      <c r="F1482">
        <v>913</v>
      </c>
      <c r="G1482">
        <v>111.2540542</v>
      </c>
      <c r="H1482">
        <v>884</v>
      </c>
      <c r="I1482">
        <v>0.17388158200000001</v>
      </c>
      <c r="J1482">
        <v>1797</v>
      </c>
      <c r="K1482">
        <v>10334.619570000001</v>
      </c>
      <c r="L1482">
        <v>0.82399999999999995</v>
      </c>
      <c r="M1482">
        <v>0.72222222199999997</v>
      </c>
      <c r="N1482">
        <v>0</v>
      </c>
      <c r="O1482" t="s">
        <v>620</v>
      </c>
      <c r="P1482">
        <f t="shared" si="200"/>
        <v>14.08240196</v>
      </c>
      <c r="Q1482">
        <f t="shared" si="201"/>
        <v>1.2999999999999999E-2</v>
      </c>
      <c r="R1482">
        <f t="shared" si="202"/>
        <v>3.2000000000000001E-2</v>
      </c>
      <c r="S1482">
        <f t="shared" si="203"/>
        <v>0.82399999999999995</v>
      </c>
      <c r="T1482">
        <f t="shared" si="204"/>
        <v>2.2757499999999999</v>
      </c>
      <c r="U1482">
        <f t="shared" si="205"/>
        <v>8.1609241249999993</v>
      </c>
      <c r="V1482">
        <f t="shared" si="206"/>
        <v>5.6000000000000001E-2</v>
      </c>
      <c r="W1482">
        <f t="shared" si="207"/>
        <v>3.4000000000000002E-2</v>
      </c>
      <c r="X1482">
        <f t="shared" si="208"/>
        <v>0.872</v>
      </c>
      <c r="Y1482">
        <v>41.335006059999998</v>
      </c>
      <c r="Z1482">
        <v>0</v>
      </c>
      <c r="AA1482">
        <v>236250</v>
      </c>
      <c r="AB1482">
        <v>76158</v>
      </c>
      <c r="AC1482">
        <v>1.7652984E-2</v>
      </c>
      <c r="AD1482">
        <v>0.84750225300000004</v>
      </c>
      <c r="AF1482">
        <v>14.08240196</v>
      </c>
      <c r="AG1482">
        <v>1.2999999999999999E-2</v>
      </c>
      <c r="AH1482">
        <v>3.2000000000000001E-2</v>
      </c>
      <c r="AI1482">
        <v>0.82399999999999995</v>
      </c>
      <c r="AJ1482">
        <v>2.2757499999999999</v>
      </c>
      <c r="AK1482">
        <v>8.1609241249999993</v>
      </c>
      <c r="AL1482">
        <v>5.6000000000000001E-2</v>
      </c>
      <c r="AM1482">
        <v>3.4000000000000002E-2</v>
      </c>
      <c r="AN1482">
        <v>0.872</v>
      </c>
    </row>
    <row r="1483" spans="1:40">
      <c r="A1483">
        <v>3551</v>
      </c>
      <c r="B1483" t="s">
        <v>691</v>
      </c>
      <c r="C1483" t="s">
        <v>684</v>
      </c>
      <c r="D1483" t="s">
        <v>685</v>
      </c>
      <c r="E1483">
        <v>187</v>
      </c>
      <c r="F1483">
        <v>645</v>
      </c>
      <c r="G1483">
        <v>63.834292689999998</v>
      </c>
      <c r="H1483">
        <v>0</v>
      </c>
      <c r="I1483">
        <v>9.9784801000000006E-2</v>
      </c>
      <c r="J1483">
        <v>645</v>
      </c>
      <c r="K1483">
        <v>6463.9102700000003</v>
      </c>
      <c r="L1483">
        <v>0.81299999999999994</v>
      </c>
      <c r="M1483">
        <v>0</v>
      </c>
      <c r="N1483">
        <v>0</v>
      </c>
      <c r="O1483" t="s">
        <v>620</v>
      </c>
      <c r="P1483">
        <f t="shared" si="200"/>
        <v>13.974426230000001</v>
      </c>
      <c r="Q1483">
        <f t="shared" si="201"/>
        <v>2.5000000000000001E-2</v>
      </c>
      <c r="R1483">
        <f t="shared" si="202"/>
        <v>1.7000000000000001E-2</v>
      </c>
      <c r="S1483">
        <f t="shared" si="203"/>
        <v>0.81299999999999994</v>
      </c>
      <c r="T1483">
        <f t="shared" si="204"/>
        <v>1.3316666669999999</v>
      </c>
      <c r="U1483">
        <f t="shared" si="205"/>
        <v>7.2272473870000002</v>
      </c>
      <c r="V1483">
        <f t="shared" si="206"/>
        <v>3.5151315789473656E-2</v>
      </c>
      <c r="W1483">
        <f t="shared" si="207"/>
        <v>0.114</v>
      </c>
      <c r="X1483">
        <f t="shared" si="208"/>
        <v>0.871</v>
      </c>
      <c r="Y1483">
        <v>41.64726117</v>
      </c>
      <c r="Z1483">
        <v>0</v>
      </c>
      <c r="AA1483">
        <v>236250</v>
      </c>
      <c r="AB1483">
        <v>76158</v>
      </c>
      <c r="AC1483">
        <v>1.7652984E-2</v>
      </c>
      <c r="AD1483">
        <v>0.84750225300000004</v>
      </c>
      <c r="AF1483">
        <v>13.974426230000001</v>
      </c>
      <c r="AG1483">
        <v>2.5000000000000001E-2</v>
      </c>
      <c r="AH1483">
        <v>1.7000000000000001E-2</v>
      </c>
      <c r="AI1483">
        <v>0.81299999999999994</v>
      </c>
      <c r="AJ1483">
        <v>1.3316666669999999</v>
      </c>
      <c r="AK1483">
        <v>7.2272473870000002</v>
      </c>
      <c r="AL1483">
        <v>0</v>
      </c>
      <c r="AM1483">
        <v>0.114</v>
      </c>
      <c r="AN1483">
        <v>0.871</v>
      </c>
    </row>
    <row r="1484" spans="1:40">
      <c r="A1484">
        <v>3552</v>
      </c>
      <c r="B1484" t="s">
        <v>691</v>
      </c>
      <c r="C1484" t="s">
        <v>684</v>
      </c>
      <c r="D1484" t="s">
        <v>685</v>
      </c>
      <c r="E1484">
        <v>278</v>
      </c>
      <c r="F1484">
        <v>938</v>
      </c>
      <c r="G1484">
        <v>210.4445035</v>
      </c>
      <c r="H1484">
        <v>6</v>
      </c>
      <c r="I1484">
        <v>0.32893159100000002</v>
      </c>
      <c r="J1484">
        <v>944</v>
      </c>
      <c r="K1484">
        <v>2869.8976499999999</v>
      </c>
      <c r="L1484">
        <v>0.96899999999999997</v>
      </c>
      <c r="M1484">
        <v>2.1126761000000001E-2</v>
      </c>
      <c r="N1484">
        <v>0</v>
      </c>
      <c r="O1484" t="s">
        <v>625</v>
      </c>
      <c r="P1484">
        <f t="shared" ref="P1484:P1547" si="209">IF(OR(IFERROR(AF1484=0,TRUE),ISERROR(AF1484)),AVERAGEIFS(AF:AF,$B:$B,$B1484,AF:AF,"&gt;0"),AF1484)</f>
        <v>11.44904762</v>
      </c>
      <c r="Q1484">
        <f t="shared" ref="Q1484:Q1547" si="210">IF(OR(IFERROR(AG1484=0,TRUE),ISERROR(AG1484)),AVERAGEIFS(AG:AG,$B:$B,$B1484,AG:AG,"&gt;0"),AG1484)</f>
        <v>5.0000000000000001E-3</v>
      </c>
      <c r="R1484">
        <f t="shared" ref="R1484:R1547" si="211">IF(OR(IFERROR(AH1484=0,TRUE),ISERROR(AH1484)),AVERAGEIFS(AH:AH,$B:$B,$B1484,AH:AH,"&gt;0"),AH1484)</f>
        <v>0.01</v>
      </c>
      <c r="S1484">
        <f t="shared" ref="S1484:S1547" si="212">IF(OR(IFERROR(AI1484=0,TRUE),ISERROR(AI1484)),AVERAGEIFS(AI:AI,$B:$B,$B1484,AI:AI,"&gt;0"),AI1484)</f>
        <v>0.96899999999999997</v>
      </c>
      <c r="T1484">
        <f t="shared" ref="T1484:T1547" si="213">IF(OR(IFERROR(AJ1484=0,TRUE),ISERROR(AJ1484)),AVERAGEIFS(AJ:AJ,$B:$B,$B1484,AJ:AJ,"&gt;0"),AJ1484)</f>
        <v>2.7749999999999999</v>
      </c>
      <c r="U1484">
        <f t="shared" ref="U1484:U1547" si="214">IF(OR(IFERROR(AK1484=0,TRUE),ISERROR(AK1484)),AVERAGEIFS(AK:AK,$B:$B,$B1484,AK:AK,"&gt;0"),AK1484)</f>
        <v>9.0178804350000004</v>
      </c>
      <c r="V1484">
        <f t="shared" ref="V1484:V1547" si="215">IF(OR(IFERROR(AL1484=0,TRUE),ISERROR(AL1484)),AVERAGEIFS(AL:AL,$B:$B,$B1484,AL:AL,"&gt;0"),AL1484)</f>
        <v>3.5151315789473656E-2</v>
      </c>
      <c r="W1484">
        <f t="shared" ref="W1484:W1547" si="216">IF(OR(IFERROR(AM1484=0,TRUE),ISERROR(AM1484)),AVERAGEIFS(AM:AM,$B:$B,$B1484,AM:AM,"&gt;0"),AM1484)</f>
        <v>2.3E-2</v>
      </c>
      <c r="X1484">
        <f t="shared" ref="X1484:X1547" si="217">IF(OR(IFERROR(AN1484=0,TRUE),ISERROR(AN1484)),AVERAGEIFS(AN:AN,$B:$B,$B1484,AN:AN,"&gt;0"),AN1484)</f>
        <v>0.97699999999999998</v>
      </c>
      <c r="Y1484">
        <v>39.840869519999998</v>
      </c>
      <c r="Z1484">
        <v>0</v>
      </c>
      <c r="AA1484">
        <v>236250</v>
      </c>
      <c r="AB1484">
        <v>76158</v>
      </c>
      <c r="AC1484">
        <v>1.7652984E-2</v>
      </c>
      <c r="AD1484">
        <v>0.84750225300000004</v>
      </c>
      <c r="AF1484">
        <v>11.44904762</v>
      </c>
      <c r="AG1484">
        <v>5.0000000000000001E-3</v>
      </c>
      <c r="AH1484">
        <v>0.01</v>
      </c>
      <c r="AI1484">
        <v>0.96899999999999997</v>
      </c>
      <c r="AJ1484">
        <v>2.7749999999999999</v>
      </c>
      <c r="AK1484">
        <v>9.0178804350000004</v>
      </c>
      <c r="AL1484">
        <v>0</v>
      </c>
      <c r="AM1484">
        <v>2.3E-2</v>
      </c>
      <c r="AN1484">
        <v>0.97699999999999998</v>
      </c>
    </row>
    <row r="1485" spans="1:40">
      <c r="A1485">
        <v>3553</v>
      </c>
      <c r="B1485" t="s">
        <v>691</v>
      </c>
      <c r="C1485" t="s">
        <v>684</v>
      </c>
      <c r="D1485" t="s">
        <v>685</v>
      </c>
      <c r="E1485">
        <v>509</v>
      </c>
      <c r="F1485">
        <v>1423</v>
      </c>
      <c r="G1485">
        <v>24.76515903</v>
      </c>
      <c r="H1485">
        <v>111</v>
      </c>
      <c r="I1485">
        <v>3.8711069000000001E-2</v>
      </c>
      <c r="J1485">
        <v>1534</v>
      </c>
      <c r="K1485">
        <v>39626.908779999998</v>
      </c>
      <c r="L1485">
        <v>0.81100000000000005</v>
      </c>
      <c r="M1485">
        <v>0.179032258</v>
      </c>
      <c r="N1485">
        <v>0</v>
      </c>
      <c r="O1485" t="s">
        <v>613</v>
      </c>
      <c r="P1485">
        <f t="shared" si="209"/>
        <v>12.209536419999999</v>
      </c>
      <c r="Q1485">
        <f t="shared" si="210"/>
        <v>1.9E-2</v>
      </c>
      <c r="R1485">
        <f t="shared" si="211"/>
        <v>8.9999999999999993E-3</v>
      </c>
      <c r="S1485">
        <f t="shared" si="212"/>
        <v>0.81100000000000005</v>
      </c>
      <c r="T1485">
        <f t="shared" si="213"/>
        <v>2.3187500000000001</v>
      </c>
      <c r="U1485">
        <f t="shared" si="214"/>
        <v>6.559001447</v>
      </c>
      <c r="V1485">
        <f t="shared" si="215"/>
        <v>3.5151315789473656E-2</v>
      </c>
      <c r="W1485">
        <f t="shared" si="216"/>
        <v>6.7000000000000004E-2</v>
      </c>
      <c r="X1485">
        <f t="shared" si="217"/>
        <v>0.92100000000000004</v>
      </c>
      <c r="Y1485">
        <v>187.70165059999999</v>
      </c>
      <c r="Z1485">
        <v>0</v>
      </c>
      <c r="AA1485">
        <v>236250</v>
      </c>
      <c r="AB1485">
        <v>76158</v>
      </c>
      <c r="AC1485">
        <v>1.7652984E-2</v>
      </c>
      <c r="AD1485">
        <v>0.84750225300000004</v>
      </c>
      <c r="AF1485">
        <v>12.209536419999999</v>
      </c>
      <c r="AG1485">
        <v>1.9E-2</v>
      </c>
      <c r="AH1485">
        <v>8.9999999999999993E-3</v>
      </c>
      <c r="AI1485">
        <v>0.81100000000000005</v>
      </c>
      <c r="AJ1485">
        <v>2.3187500000000001</v>
      </c>
      <c r="AK1485">
        <v>6.559001447</v>
      </c>
      <c r="AL1485">
        <v>0</v>
      </c>
      <c r="AM1485">
        <v>6.7000000000000004E-2</v>
      </c>
      <c r="AN1485">
        <v>0.92100000000000004</v>
      </c>
    </row>
    <row r="1486" spans="1:40">
      <c r="A1486">
        <v>3554</v>
      </c>
      <c r="B1486" t="s">
        <v>691</v>
      </c>
      <c r="C1486" t="s">
        <v>684</v>
      </c>
      <c r="D1486" t="s">
        <v>685</v>
      </c>
      <c r="E1486">
        <v>0</v>
      </c>
      <c r="F1486">
        <v>0</v>
      </c>
      <c r="G1486">
        <v>41.210675530000003</v>
      </c>
      <c r="H1486">
        <v>1729</v>
      </c>
      <c r="I1486">
        <v>6.4416329999999994E-2</v>
      </c>
      <c r="J1486">
        <v>1729</v>
      </c>
      <c r="K1486">
        <v>26841.019970000001</v>
      </c>
      <c r="L1486">
        <v>0.78400000000000003</v>
      </c>
      <c r="M1486" s="515">
        <v>1</v>
      </c>
      <c r="N1486">
        <v>1</v>
      </c>
      <c r="O1486" t="s">
        <v>613</v>
      </c>
      <c r="P1486">
        <f t="shared" si="209"/>
        <v>12.58885463</v>
      </c>
      <c r="Q1486">
        <f t="shared" si="210"/>
        <v>4.2000000000000003E-2</v>
      </c>
      <c r="R1486">
        <f t="shared" si="211"/>
        <v>1.4999999999999999E-2</v>
      </c>
      <c r="S1486">
        <f t="shared" si="212"/>
        <v>0.78400000000000003</v>
      </c>
      <c r="T1486">
        <f t="shared" si="213"/>
        <v>1.607</v>
      </c>
      <c r="U1486">
        <f t="shared" si="214"/>
        <v>6.7861294579999996</v>
      </c>
      <c r="V1486">
        <f t="shared" si="215"/>
        <v>3.1E-2</v>
      </c>
      <c r="W1486">
        <f t="shared" si="216"/>
        <v>0.14699999999999999</v>
      </c>
      <c r="X1486">
        <f t="shared" si="217"/>
        <v>0.77500000000000002</v>
      </c>
      <c r="Y1486">
        <v>187.88099070000001</v>
      </c>
      <c r="Z1486">
        <v>0</v>
      </c>
      <c r="AA1486">
        <v>236250</v>
      </c>
      <c r="AB1486">
        <v>76158</v>
      </c>
      <c r="AC1486">
        <v>1.7652984E-2</v>
      </c>
      <c r="AD1486">
        <v>0.84750225300000004</v>
      </c>
      <c r="AF1486">
        <v>12.58885463</v>
      </c>
      <c r="AG1486">
        <v>4.2000000000000003E-2</v>
      </c>
      <c r="AH1486">
        <v>1.4999999999999999E-2</v>
      </c>
      <c r="AI1486">
        <v>0.78400000000000003</v>
      </c>
      <c r="AJ1486">
        <v>1.607</v>
      </c>
      <c r="AK1486">
        <v>6.7861294579999996</v>
      </c>
      <c r="AL1486">
        <v>3.1E-2</v>
      </c>
      <c r="AM1486">
        <v>0.14699999999999999</v>
      </c>
      <c r="AN1486">
        <v>0.77500000000000002</v>
      </c>
    </row>
    <row r="1487" spans="1:40">
      <c r="A1487">
        <v>3555</v>
      </c>
      <c r="B1487" t="s">
        <v>691</v>
      </c>
      <c r="C1487" t="s">
        <v>684</v>
      </c>
      <c r="D1487" t="s">
        <v>685</v>
      </c>
      <c r="E1487">
        <v>107</v>
      </c>
      <c r="F1487">
        <v>190</v>
      </c>
      <c r="G1487">
        <v>62.208120319999999</v>
      </c>
      <c r="H1487">
        <v>809</v>
      </c>
      <c r="I1487">
        <v>9.7238085000000002E-2</v>
      </c>
      <c r="J1487">
        <v>999</v>
      </c>
      <c r="K1487">
        <v>10273.75231</v>
      </c>
      <c r="L1487">
        <v>0.82199999999999995</v>
      </c>
      <c r="M1487">
        <v>0.88318777299999995</v>
      </c>
      <c r="N1487">
        <v>0</v>
      </c>
      <c r="O1487" t="s">
        <v>613</v>
      </c>
      <c r="P1487">
        <f t="shared" si="209"/>
        <v>13.5807377</v>
      </c>
      <c r="Q1487">
        <f t="shared" si="210"/>
        <v>1.0999999999999999E-2</v>
      </c>
      <c r="R1487">
        <f t="shared" si="211"/>
        <v>1.6E-2</v>
      </c>
      <c r="S1487">
        <f t="shared" si="212"/>
        <v>0.82199999999999995</v>
      </c>
      <c r="T1487">
        <f t="shared" si="213"/>
        <v>2.1695652170000002</v>
      </c>
      <c r="U1487">
        <f t="shared" si="214"/>
        <v>6.1673107050000002</v>
      </c>
      <c r="V1487">
        <f t="shared" si="215"/>
        <v>5.3999999999999999E-2</v>
      </c>
      <c r="W1487">
        <f t="shared" si="216"/>
        <v>0.04</v>
      </c>
      <c r="X1487">
        <f t="shared" si="217"/>
        <v>0.81899999999999995</v>
      </c>
      <c r="Y1487">
        <v>187.4883572</v>
      </c>
      <c r="Z1487">
        <v>0</v>
      </c>
      <c r="AA1487">
        <v>236250</v>
      </c>
      <c r="AB1487">
        <v>76158</v>
      </c>
      <c r="AC1487">
        <v>1.7652984E-2</v>
      </c>
      <c r="AD1487">
        <v>0.84750225300000004</v>
      </c>
      <c r="AF1487">
        <v>13.5807377</v>
      </c>
      <c r="AG1487">
        <v>1.0999999999999999E-2</v>
      </c>
      <c r="AH1487">
        <v>1.6E-2</v>
      </c>
      <c r="AI1487">
        <v>0.82199999999999995</v>
      </c>
      <c r="AJ1487">
        <v>2.1695652170000002</v>
      </c>
      <c r="AK1487">
        <v>6.1673107050000002</v>
      </c>
      <c r="AL1487">
        <v>5.3999999999999999E-2</v>
      </c>
      <c r="AM1487">
        <v>0.04</v>
      </c>
      <c r="AN1487">
        <v>0.81899999999999995</v>
      </c>
    </row>
    <row r="1488" spans="1:40">
      <c r="A1488">
        <v>3556</v>
      </c>
      <c r="B1488" t="s">
        <v>691</v>
      </c>
      <c r="C1488" t="s">
        <v>684</v>
      </c>
      <c r="D1488" t="s">
        <v>685</v>
      </c>
      <c r="E1488">
        <v>12</v>
      </c>
      <c r="F1488">
        <v>20</v>
      </c>
      <c r="G1488">
        <v>69.19201108</v>
      </c>
      <c r="H1488">
        <v>331</v>
      </c>
      <c r="I1488">
        <v>0.108154791</v>
      </c>
      <c r="J1488">
        <v>351</v>
      </c>
      <c r="K1488">
        <v>3245.3486039999998</v>
      </c>
      <c r="L1488">
        <v>0.875</v>
      </c>
      <c r="M1488">
        <v>0.96501457700000004</v>
      </c>
      <c r="N1488">
        <v>0</v>
      </c>
      <c r="O1488" t="s">
        <v>620</v>
      </c>
      <c r="P1488">
        <f t="shared" si="209"/>
        <v>16.48029412</v>
      </c>
      <c r="Q1488">
        <f t="shared" si="210"/>
        <v>1.4E-2</v>
      </c>
      <c r="R1488">
        <f t="shared" si="211"/>
        <v>2.4E-2</v>
      </c>
      <c r="S1488">
        <f t="shared" si="212"/>
        <v>0.875</v>
      </c>
      <c r="T1488">
        <f t="shared" si="213"/>
        <v>3.25</v>
      </c>
      <c r="U1488">
        <f t="shared" si="214"/>
        <v>11.54134831</v>
      </c>
      <c r="V1488">
        <f t="shared" si="215"/>
        <v>2.7E-2</v>
      </c>
      <c r="W1488">
        <f t="shared" si="216"/>
        <v>0.04</v>
      </c>
      <c r="X1488">
        <f t="shared" si="217"/>
        <v>0.90700000000000003</v>
      </c>
      <c r="Y1488">
        <v>138.98267619999999</v>
      </c>
      <c r="Z1488">
        <v>0</v>
      </c>
      <c r="AA1488">
        <v>236250</v>
      </c>
      <c r="AB1488">
        <v>76158</v>
      </c>
      <c r="AC1488">
        <v>1.7652984E-2</v>
      </c>
      <c r="AD1488">
        <v>0.84750225300000004</v>
      </c>
      <c r="AF1488">
        <v>16.48029412</v>
      </c>
      <c r="AG1488">
        <v>1.4E-2</v>
      </c>
      <c r="AH1488">
        <v>2.4E-2</v>
      </c>
      <c r="AI1488">
        <v>0.875</v>
      </c>
      <c r="AJ1488">
        <v>3.25</v>
      </c>
      <c r="AK1488">
        <v>11.54134831</v>
      </c>
      <c r="AL1488">
        <v>2.7E-2</v>
      </c>
      <c r="AM1488">
        <v>0.04</v>
      </c>
      <c r="AN1488">
        <v>0.90700000000000003</v>
      </c>
    </row>
    <row r="1489" spans="1:40">
      <c r="A1489">
        <v>3557</v>
      </c>
      <c r="B1489" t="s">
        <v>691</v>
      </c>
      <c r="C1489" t="s">
        <v>684</v>
      </c>
      <c r="D1489" t="s">
        <v>685</v>
      </c>
      <c r="E1489">
        <v>662</v>
      </c>
      <c r="F1489">
        <v>1881</v>
      </c>
      <c r="G1489">
        <v>116.585998</v>
      </c>
      <c r="H1489">
        <v>73</v>
      </c>
      <c r="I1489">
        <v>0.18223867699999999</v>
      </c>
      <c r="J1489">
        <v>1954</v>
      </c>
      <c r="K1489">
        <v>10722.202509999999</v>
      </c>
      <c r="L1489">
        <v>0.84299999999999997</v>
      </c>
      <c r="M1489">
        <v>9.9319727999999996E-2</v>
      </c>
      <c r="N1489">
        <v>0</v>
      </c>
      <c r="O1489" t="s">
        <v>620</v>
      </c>
      <c r="P1489">
        <f t="shared" si="209"/>
        <v>12.41389262</v>
      </c>
      <c r="Q1489">
        <f t="shared" si="210"/>
        <v>4.9000000000000002E-2</v>
      </c>
      <c r="R1489">
        <f t="shared" si="211"/>
        <v>1.7999999999999999E-2</v>
      </c>
      <c r="S1489">
        <f t="shared" si="212"/>
        <v>0.84299999999999997</v>
      </c>
      <c r="T1489">
        <f t="shared" si="213"/>
        <v>2.4028571429999999</v>
      </c>
      <c r="U1489">
        <f t="shared" si="214"/>
        <v>7.489299065</v>
      </c>
      <c r="V1489">
        <f t="shared" si="215"/>
        <v>1.7999999999999999E-2</v>
      </c>
      <c r="W1489">
        <f t="shared" si="216"/>
        <v>0.111</v>
      </c>
      <c r="X1489">
        <f t="shared" si="217"/>
        <v>0.871</v>
      </c>
      <c r="Y1489">
        <v>150.1221328</v>
      </c>
      <c r="Z1489">
        <v>0</v>
      </c>
      <c r="AA1489">
        <v>236250</v>
      </c>
      <c r="AB1489">
        <v>76158</v>
      </c>
      <c r="AC1489">
        <v>1.7652984E-2</v>
      </c>
      <c r="AD1489">
        <v>0.84750225300000004</v>
      </c>
      <c r="AF1489">
        <v>12.41389262</v>
      </c>
      <c r="AG1489">
        <v>4.9000000000000002E-2</v>
      </c>
      <c r="AH1489">
        <v>1.7999999999999999E-2</v>
      </c>
      <c r="AI1489">
        <v>0.84299999999999997</v>
      </c>
      <c r="AJ1489">
        <v>2.4028571429999999</v>
      </c>
      <c r="AK1489">
        <v>7.489299065</v>
      </c>
      <c r="AL1489">
        <v>1.7999999999999999E-2</v>
      </c>
      <c r="AM1489">
        <v>0.111</v>
      </c>
      <c r="AN1489">
        <v>0.871</v>
      </c>
    </row>
    <row r="1490" spans="1:40">
      <c r="A1490">
        <v>3558</v>
      </c>
      <c r="B1490" t="s">
        <v>691</v>
      </c>
      <c r="C1490" t="s">
        <v>684</v>
      </c>
      <c r="D1490" t="s">
        <v>685</v>
      </c>
      <c r="E1490">
        <v>539</v>
      </c>
      <c r="F1490">
        <v>1444</v>
      </c>
      <c r="G1490">
        <v>43.87007191</v>
      </c>
      <c r="H1490">
        <v>1199</v>
      </c>
      <c r="I1490">
        <v>6.8570623999999997E-2</v>
      </c>
      <c r="J1490">
        <v>2643</v>
      </c>
      <c r="K1490">
        <v>38544.202250000002</v>
      </c>
      <c r="L1490">
        <v>0.88800000000000001</v>
      </c>
      <c r="M1490">
        <v>0.68987341800000002</v>
      </c>
      <c r="N1490">
        <v>0</v>
      </c>
      <c r="O1490" t="s">
        <v>620</v>
      </c>
      <c r="P1490">
        <f t="shared" si="209"/>
        <v>13.39598007</v>
      </c>
      <c r="Q1490">
        <f t="shared" si="210"/>
        <v>5.0000000000000001E-3</v>
      </c>
      <c r="R1490">
        <f t="shared" si="211"/>
        <v>7.0000000000000001E-3</v>
      </c>
      <c r="S1490">
        <f t="shared" si="212"/>
        <v>0.88800000000000001</v>
      </c>
      <c r="T1490">
        <f t="shared" si="213"/>
        <v>2.8475000000000001</v>
      </c>
      <c r="U1490">
        <f t="shared" si="214"/>
        <v>9.6577016889999996</v>
      </c>
      <c r="V1490">
        <f t="shared" si="215"/>
        <v>1.2999999999999999E-2</v>
      </c>
      <c r="W1490">
        <f t="shared" si="216"/>
        <v>5.9146341463414652E-2</v>
      </c>
      <c r="X1490">
        <f t="shared" si="217"/>
        <v>0.96199999999999997</v>
      </c>
      <c r="Y1490">
        <v>13.06488725</v>
      </c>
      <c r="Z1490">
        <v>0</v>
      </c>
      <c r="AA1490">
        <v>236250</v>
      </c>
      <c r="AB1490">
        <v>76158</v>
      </c>
      <c r="AC1490">
        <v>1.7652984E-2</v>
      </c>
      <c r="AD1490">
        <v>0.84750225300000004</v>
      </c>
      <c r="AF1490">
        <v>13.39598007</v>
      </c>
      <c r="AG1490">
        <v>5.0000000000000001E-3</v>
      </c>
      <c r="AH1490">
        <v>7.0000000000000001E-3</v>
      </c>
      <c r="AI1490">
        <v>0.88800000000000001</v>
      </c>
      <c r="AJ1490">
        <v>2.8475000000000001</v>
      </c>
      <c r="AK1490">
        <v>9.6577016889999996</v>
      </c>
      <c r="AL1490">
        <v>1.2999999999999999E-2</v>
      </c>
      <c r="AM1490">
        <v>0</v>
      </c>
      <c r="AN1490">
        <v>0.96199999999999997</v>
      </c>
    </row>
    <row r="1491" spans="1:40">
      <c r="A1491">
        <v>3559</v>
      </c>
      <c r="B1491" t="s">
        <v>691</v>
      </c>
      <c r="C1491" t="s">
        <v>684</v>
      </c>
      <c r="D1491" t="s">
        <v>685</v>
      </c>
      <c r="E1491">
        <v>0</v>
      </c>
      <c r="F1491">
        <v>14</v>
      </c>
      <c r="G1491">
        <v>384.22828920000001</v>
      </c>
      <c r="H1491">
        <v>4252</v>
      </c>
      <c r="I1491">
        <v>0.600568765</v>
      </c>
      <c r="J1491">
        <v>4266</v>
      </c>
      <c r="K1491">
        <v>7103.2665180000004</v>
      </c>
      <c r="L1491">
        <v>0.96799999999999997</v>
      </c>
      <c r="M1491" s="515">
        <v>1</v>
      </c>
      <c r="N1491">
        <v>0</v>
      </c>
      <c r="O1491" t="s">
        <v>620</v>
      </c>
      <c r="P1491">
        <f t="shared" si="209"/>
        <v>15.92268333</v>
      </c>
      <c r="Q1491">
        <f t="shared" si="210"/>
        <v>7.0000000000000001E-3</v>
      </c>
      <c r="R1491">
        <f t="shared" si="211"/>
        <v>1.7999999999999999E-2</v>
      </c>
      <c r="S1491">
        <f t="shared" si="212"/>
        <v>0.96799999999999997</v>
      </c>
      <c r="T1491">
        <f t="shared" si="213"/>
        <v>2.7749999999999999</v>
      </c>
      <c r="U1491">
        <f t="shared" si="214"/>
        <v>12.419081200000001</v>
      </c>
      <c r="V1491">
        <f t="shared" si="215"/>
        <v>2.7E-2</v>
      </c>
      <c r="W1491">
        <f t="shared" si="216"/>
        <v>1.6E-2</v>
      </c>
      <c r="X1491">
        <f t="shared" si="217"/>
        <v>0.95699999999999996</v>
      </c>
      <c r="Y1491">
        <v>12.965551120000001</v>
      </c>
      <c r="Z1491">
        <v>0</v>
      </c>
      <c r="AA1491">
        <v>236250</v>
      </c>
      <c r="AB1491">
        <v>76158</v>
      </c>
      <c r="AC1491">
        <v>1.7652984E-2</v>
      </c>
      <c r="AD1491">
        <v>0.84750225300000004</v>
      </c>
      <c r="AF1491">
        <v>15.92268333</v>
      </c>
      <c r="AG1491">
        <v>7.0000000000000001E-3</v>
      </c>
      <c r="AH1491">
        <v>1.7999999999999999E-2</v>
      </c>
      <c r="AI1491">
        <v>0.96799999999999997</v>
      </c>
      <c r="AJ1491">
        <v>2.7749999999999999</v>
      </c>
      <c r="AK1491">
        <v>12.419081200000001</v>
      </c>
      <c r="AL1491">
        <v>2.7E-2</v>
      </c>
      <c r="AM1491">
        <v>1.6E-2</v>
      </c>
      <c r="AN1491">
        <v>0.95699999999999996</v>
      </c>
    </row>
    <row r="1492" spans="1:40">
      <c r="A1492">
        <v>3560</v>
      </c>
      <c r="B1492" t="s">
        <v>691</v>
      </c>
      <c r="C1492" t="s">
        <v>684</v>
      </c>
      <c r="D1492" t="s">
        <v>685</v>
      </c>
      <c r="E1492">
        <v>0</v>
      </c>
      <c r="F1492">
        <v>14</v>
      </c>
      <c r="G1492">
        <v>76.011908090000006</v>
      </c>
      <c r="H1492">
        <v>981</v>
      </c>
      <c r="I1492">
        <v>0.118817775</v>
      </c>
      <c r="J1492">
        <v>995</v>
      </c>
      <c r="K1492">
        <v>8374.1679220000005</v>
      </c>
      <c r="L1492">
        <v>0.91700000000000004</v>
      </c>
      <c r="M1492" s="515">
        <v>1</v>
      </c>
      <c r="N1492">
        <v>1</v>
      </c>
      <c r="O1492" t="s">
        <v>620</v>
      </c>
      <c r="P1492">
        <f t="shared" si="209"/>
        <v>17.484999999999999</v>
      </c>
      <c r="Q1492">
        <f t="shared" si="210"/>
        <v>2.8000000000000001E-2</v>
      </c>
      <c r="R1492">
        <f t="shared" si="211"/>
        <v>8.9999999999999993E-3</v>
      </c>
      <c r="S1492">
        <f t="shared" si="212"/>
        <v>0.91700000000000004</v>
      </c>
      <c r="T1492">
        <f t="shared" si="213"/>
        <v>3.503333333</v>
      </c>
      <c r="U1492">
        <f t="shared" si="214"/>
        <v>8.3281545739999991</v>
      </c>
      <c r="V1492">
        <f t="shared" si="215"/>
        <v>2.1999999999999999E-2</v>
      </c>
      <c r="W1492">
        <f t="shared" si="216"/>
        <v>0.10100000000000001</v>
      </c>
      <c r="X1492">
        <f t="shared" si="217"/>
        <v>0.876</v>
      </c>
      <c r="Y1492">
        <v>12.965551120000001</v>
      </c>
      <c r="Z1492">
        <v>0</v>
      </c>
      <c r="AA1492">
        <v>236250</v>
      </c>
      <c r="AB1492">
        <v>76158</v>
      </c>
      <c r="AC1492">
        <v>1.7652984E-2</v>
      </c>
      <c r="AD1492">
        <v>0.84750225300000004</v>
      </c>
      <c r="AF1492">
        <v>17.484999999999999</v>
      </c>
      <c r="AG1492">
        <v>2.8000000000000001E-2</v>
      </c>
      <c r="AH1492">
        <v>8.9999999999999993E-3</v>
      </c>
      <c r="AI1492">
        <v>0.91700000000000004</v>
      </c>
      <c r="AJ1492">
        <v>3.503333333</v>
      </c>
      <c r="AK1492">
        <v>8.3281545739999991</v>
      </c>
      <c r="AL1492">
        <v>2.1999999999999999E-2</v>
      </c>
      <c r="AM1492">
        <v>0.10100000000000001</v>
      </c>
      <c r="AN1492">
        <v>0.876</v>
      </c>
    </row>
    <row r="1493" spans="1:40">
      <c r="A1493">
        <v>3561</v>
      </c>
      <c r="B1493" t="s">
        <v>691</v>
      </c>
      <c r="C1493" t="s">
        <v>684</v>
      </c>
      <c r="D1493" t="s">
        <v>685</v>
      </c>
      <c r="E1493">
        <v>2</v>
      </c>
      <c r="F1493">
        <v>3</v>
      </c>
      <c r="G1493">
        <v>513.52421340000001</v>
      </c>
      <c r="H1493">
        <v>4428</v>
      </c>
      <c r="I1493">
        <v>0.80267762499999995</v>
      </c>
      <c r="J1493">
        <v>4431</v>
      </c>
      <c r="K1493">
        <v>5520.2734719999999</v>
      </c>
      <c r="L1493">
        <v>0.93200000000000005</v>
      </c>
      <c r="M1493">
        <v>0.99954853300000002</v>
      </c>
      <c r="N1493">
        <v>0</v>
      </c>
      <c r="O1493" t="s">
        <v>620</v>
      </c>
      <c r="P1493">
        <f t="shared" si="209"/>
        <v>16.28963504</v>
      </c>
      <c r="Q1493">
        <f t="shared" si="210"/>
        <v>0.01</v>
      </c>
      <c r="R1493">
        <f t="shared" si="211"/>
        <v>1.2E-2</v>
      </c>
      <c r="S1493">
        <f t="shared" si="212"/>
        <v>0.93200000000000005</v>
      </c>
      <c r="T1493">
        <f t="shared" si="213"/>
        <v>2.596388889</v>
      </c>
      <c r="U1493">
        <f t="shared" si="214"/>
        <v>10.45385463</v>
      </c>
      <c r="V1493">
        <f t="shared" si="215"/>
        <v>2.8000000000000001E-2</v>
      </c>
      <c r="W1493">
        <f t="shared" si="216"/>
        <v>2.5000000000000001E-2</v>
      </c>
      <c r="X1493">
        <f t="shared" si="217"/>
        <v>0.94699999999999995</v>
      </c>
      <c r="Y1493">
        <v>12.965551120000001</v>
      </c>
      <c r="Z1493">
        <v>0</v>
      </c>
      <c r="AA1493">
        <v>236250</v>
      </c>
      <c r="AB1493">
        <v>76158</v>
      </c>
      <c r="AC1493">
        <v>1.7652984E-2</v>
      </c>
      <c r="AD1493">
        <v>0.84750225300000004</v>
      </c>
      <c r="AF1493">
        <v>16.28963504</v>
      </c>
      <c r="AG1493">
        <v>0.01</v>
      </c>
      <c r="AH1493">
        <v>1.2E-2</v>
      </c>
      <c r="AI1493">
        <v>0.93200000000000005</v>
      </c>
      <c r="AJ1493">
        <v>2.596388889</v>
      </c>
      <c r="AK1493">
        <v>10.45385463</v>
      </c>
      <c r="AL1493">
        <v>2.8000000000000001E-2</v>
      </c>
      <c r="AM1493">
        <v>2.5000000000000001E-2</v>
      </c>
      <c r="AN1493">
        <v>0.94699999999999995</v>
      </c>
    </row>
    <row r="1494" spans="1:40">
      <c r="A1494">
        <v>3562</v>
      </c>
      <c r="B1494" t="s">
        <v>691</v>
      </c>
      <c r="C1494" t="s">
        <v>684</v>
      </c>
      <c r="D1494" t="s">
        <v>685</v>
      </c>
      <c r="E1494">
        <v>0</v>
      </c>
      <c r="F1494">
        <v>0</v>
      </c>
      <c r="G1494">
        <v>570.67353049999997</v>
      </c>
      <c r="H1494">
        <v>191</v>
      </c>
      <c r="I1494">
        <v>0.89199177399999996</v>
      </c>
      <c r="J1494">
        <v>191</v>
      </c>
      <c r="K1494">
        <v>214.12753520000001</v>
      </c>
      <c r="L1494">
        <v>0.95</v>
      </c>
      <c r="M1494" s="515">
        <v>1</v>
      </c>
      <c r="N1494">
        <v>0</v>
      </c>
      <c r="O1494" t="s">
        <v>625</v>
      </c>
      <c r="P1494">
        <f t="shared" si="209"/>
        <v>15.27783784</v>
      </c>
      <c r="Q1494">
        <f t="shared" si="210"/>
        <v>1.8070175438596476E-2</v>
      </c>
      <c r="R1494">
        <f t="shared" si="211"/>
        <v>2.5000000000000001E-2</v>
      </c>
      <c r="S1494">
        <f t="shared" si="212"/>
        <v>0.95</v>
      </c>
      <c r="T1494">
        <f t="shared" si="213"/>
        <v>4.5599999999999996</v>
      </c>
      <c r="U1494">
        <f t="shared" si="214"/>
        <v>11.7325</v>
      </c>
      <c r="V1494">
        <f t="shared" si="215"/>
        <v>2.5999999999999999E-2</v>
      </c>
      <c r="W1494">
        <f t="shared" si="216"/>
        <v>5.9146341463414652E-2</v>
      </c>
      <c r="X1494">
        <f t="shared" si="217"/>
        <v>0.97399999999999998</v>
      </c>
      <c r="Y1494">
        <v>12.965551120000001</v>
      </c>
      <c r="Z1494">
        <v>0</v>
      </c>
      <c r="AA1494">
        <v>236250</v>
      </c>
      <c r="AB1494">
        <v>76158</v>
      </c>
      <c r="AC1494">
        <v>1.7652984E-2</v>
      </c>
      <c r="AD1494">
        <v>0.84750225300000004</v>
      </c>
      <c r="AF1494">
        <v>15.27783784</v>
      </c>
      <c r="AG1494">
        <v>0</v>
      </c>
      <c r="AH1494">
        <v>2.5000000000000001E-2</v>
      </c>
      <c r="AI1494">
        <v>0.95</v>
      </c>
      <c r="AJ1494">
        <v>4.5599999999999996</v>
      </c>
      <c r="AK1494">
        <v>11.7325</v>
      </c>
      <c r="AL1494">
        <v>2.5999999999999999E-2</v>
      </c>
      <c r="AM1494">
        <v>0</v>
      </c>
      <c r="AN1494">
        <v>0.97399999999999998</v>
      </c>
    </row>
    <row r="1495" spans="1:40">
      <c r="A1495">
        <v>3563</v>
      </c>
      <c r="B1495" t="s">
        <v>691</v>
      </c>
      <c r="C1495" t="s">
        <v>684</v>
      </c>
      <c r="D1495" t="s">
        <v>685</v>
      </c>
      <c r="E1495">
        <v>1</v>
      </c>
      <c r="F1495">
        <v>3</v>
      </c>
      <c r="G1495">
        <v>243.88540459999999</v>
      </c>
      <c r="H1495">
        <v>2657</v>
      </c>
      <c r="I1495">
        <v>0.38119546300000001</v>
      </c>
      <c r="J1495">
        <v>2660</v>
      </c>
      <c r="K1495">
        <v>6978.0473750000001</v>
      </c>
      <c r="L1495">
        <v>0.91600000000000004</v>
      </c>
      <c r="M1495">
        <v>0.99962377700000005</v>
      </c>
      <c r="N1495">
        <v>0</v>
      </c>
      <c r="O1495" t="s">
        <v>620</v>
      </c>
      <c r="P1495">
        <f t="shared" si="209"/>
        <v>14.800319630000001</v>
      </c>
      <c r="Q1495">
        <f t="shared" si="210"/>
        <v>4.0000000000000001E-3</v>
      </c>
      <c r="R1495">
        <f t="shared" si="211"/>
        <v>1.4E-2</v>
      </c>
      <c r="S1495">
        <f t="shared" si="212"/>
        <v>0.91600000000000004</v>
      </c>
      <c r="T1495">
        <f t="shared" si="213"/>
        <v>2.9441666670000002</v>
      </c>
      <c r="U1495">
        <f t="shared" si="214"/>
        <v>10.08425265</v>
      </c>
      <c r="V1495">
        <f t="shared" si="215"/>
        <v>2.4E-2</v>
      </c>
      <c r="W1495">
        <f t="shared" si="216"/>
        <v>4.0000000000000001E-3</v>
      </c>
      <c r="X1495">
        <f t="shared" si="217"/>
        <v>0.96299999999999997</v>
      </c>
      <c r="Y1495">
        <v>12.965551120000001</v>
      </c>
      <c r="Z1495">
        <v>0</v>
      </c>
      <c r="AA1495">
        <v>236250</v>
      </c>
      <c r="AB1495">
        <v>76158</v>
      </c>
      <c r="AC1495">
        <v>1.7652984E-2</v>
      </c>
      <c r="AD1495">
        <v>0.84750225300000004</v>
      </c>
      <c r="AF1495">
        <v>14.800319630000001</v>
      </c>
      <c r="AG1495">
        <v>4.0000000000000001E-3</v>
      </c>
      <c r="AH1495">
        <v>1.4E-2</v>
      </c>
      <c r="AI1495">
        <v>0.91600000000000004</v>
      </c>
      <c r="AJ1495">
        <v>2.9441666670000002</v>
      </c>
      <c r="AK1495">
        <v>10.08425265</v>
      </c>
      <c r="AL1495">
        <v>2.4E-2</v>
      </c>
      <c r="AM1495">
        <v>4.0000000000000001E-3</v>
      </c>
      <c r="AN1495">
        <v>0.96299999999999997</v>
      </c>
    </row>
    <row r="1496" spans="1:40">
      <c r="A1496">
        <v>3564</v>
      </c>
      <c r="B1496" t="s">
        <v>691</v>
      </c>
      <c r="C1496" t="s">
        <v>684</v>
      </c>
      <c r="D1496" t="s">
        <v>685</v>
      </c>
      <c r="E1496">
        <v>6</v>
      </c>
      <c r="F1496">
        <v>20</v>
      </c>
      <c r="G1496">
        <v>396.42912619999998</v>
      </c>
      <c r="H1496">
        <v>6777</v>
      </c>
      <c r="I1496">
        <v>0.61965625099999999</v>
      </c>
      <c r="J1496">
        <v>6797</v>
      </c>
      <c r="K1496">
        <v>10968.9848</v>
      </c>
      <c r="L1496">
        <v>0.92200000000000004</v>
      </c>
      <c r="M1496">
        <v>0.99911543599999997</v>
      </c>
      <c r="N1496">
        <v>0</v>
      </c>
      <c r="O1496" t="s">
        <v>620</v>
      </c>
      <c r="P1496">
        <f t="shared" si="209"/>
        <v>15.1229932</v>
      </c>
      <c r="Q1496">
        <f t="shared" si="210"/>
        <v>8.0000000000000002E-3</v>
      </c>
      <c r="R1496">
        <f t="shared" si="211"/>
        <v>1.2999999999999999E-2</v>
      </c>
      <c r="S1496">
        <f t="shared" si="212"/>
        <v>0.92200000000000004</v>
      </c>
      <c r="T1496">
        <f t="shared" si="213"/>
        <v>2.9914999999999998</v>
      </c>
      <c r="U1496">
        <f t="shared" si="214"/>
        <v>9.632797965</v>
      </c>
      <c r="V1496">
        <f t="shared" si="215"/>
        <v>2.3E-2</v>
      </c>
      <c r="W1496">
        <f t="shared" si="216"/>
        <v>2.1000000000000001E-2</v>
      </c>
      <c r="X1496">
        <f t="shared" si="217"/>
        <v>0.95499999999999996</v>
      </c>
      <c r="Y1496">
        <v>13.036408870000001</v>
      </c>
      <c r="Z1496">
        <v>0</v>
      </c>
      <c r="AA1496">
        <v>236250</v>
      </c>
      <c r="AB1496">
        <v>76158</v>
      </c>
      <c r="AC1496">
        <v>1.7652984E-2</v>
      </c>
      <c r="AD1496">
        <v>0.84750225300000004</v>
      </c>
      <c r="AF1496">
        <v>15.1229932</v>
      </c>
      <c r="AG1496">
        <v>8.0000000000000002E-3</v>
      </c>
      <c r="AH1496">
        <v>1.2999999999999999E-2</v>
      </c>
      <c r="AI1496">
        <v>0.92200000000000004</v>
      </c>
      <c r="AJ1496">
        <v>2.9914999999999998</v>
      </c>
      <c r="AK1496">
        <v>9.632797965</v>
      </c>
      <c r="AL1496">
        <v>2.3E-2</v>
      </c>
      <c r="AM1496">
        <v>2.1000000000000001E-2</v>
      </c>
      <c r="AN1496">
        <v>0.95499999999999996</v>
      </c>
    </row>
    <row r="1497" spans="1:40">
      <c r="A1497">
        <v>3565</v>
      </c>
      <c r="B1497" t="s">
        <v>691</v>
      </c>
      <c r="C1497" t="s">
        <v>684</v>
      </c>
      <c r="D1497" t="s">
        <v>685</v>
      </c>
      <c r="E1497">
        <v>14</v>
      </c>
      <c r="F1497">
        <v>23</v>
      </c>
      <c r="G1497">
        <v>372.76125860000002</v>
      </c>
      <c r="H1497">
        <v>4207</v>
      </c>
      <c r="I1497">
        <v>0.582644885</v>
      </c>
      <c r="J1497">
        <v>4230</v>
      </c>
      <c r="K1497">
        <v>7259.9967989999996</v>
      </c>
      <c r="L1497">
        <v>0.95699999999999996</v>
      </c>
      <c r="M1497">
        <v>0.99668325000000002</v>
      </c>
      <c r="N1497">
        <v>0</v>
      </c>
      <c r="O1497" t="s">
        <v>620</v>
      </c>
      <c r="P1497">
        <f t="shared" si="209"/>
        <v>14.08539749</v>
      </c>
      <c r="Q1497">
        <f t="shared" si="210"/>
        <v>1.8070175438596476E-2</v>
      </c>
      <c r="R1497">
        <f t="shared" si="211"/>
        <v>0.01</v>
      </c>
      <c r="S1497">
        <f t="shared" si="212"/>
        <v>0.95699999999999996</v>
      </c>
      <c r="T1497">
        <f t="shared" si="213"/>
        <v>4.0465</v>
      </c>
      <c r="U1497">
        <f t="shared" si="214"/>
        <v>11.13647059</v>
      </c>
      <c r="V1497">
        <f t="shared" si="215"/>
        <v>2.3E-2</v>
      </c>
      <c r="W1497">
        <f t="shared" si="216"/>
        <v>5.9146341463414652E-2</v>
      </c>
      <c r="X1497">
        <f t="shared" si="217"/>
        <v>0.97699999999999998</v>
      </c>
      <c r="Y1497">
        <v>12.965551120000001</v>
      </c>
      <c r="Z1497">
        <v>0</v>
      </c>
      <c r="AA1497">
        <v>236250</v>
      </c>
      <c r="AB1497">
        <v>76158</v>
      </c>
      <c r="AC1497">
        <v>1.7652984E-2</v>
      </c>
      <c r="AD1497">
        <v>0.84750225300000004</v>
      </c>
      <c r="AF1497">
        <v>14.08539749</v>
      </c>
      <c r="AG1497">
        <v>0</v>
      </c>
      <c r="AH1497">
        <v>0.01</v>
      </c>
      <c r="AI1497">
        <v>0.95699999999999996</v>
      </c>
      <c r="AJ1497">
        <v>4.0465</v>
      </c>
      <c r="AK1497">
        <v>11.13647059</v>
      </c>
      <c r="AL1497">
        <v>2.3E-2</v>
      </c>
      <c r="AM1497">
        <v>0</v>
      </c>
      <c r="AN1497">
        <v>0.97699999999999998</v>
      </c>
    </row>
    <row r="1498" spans="1:40">
      <c r="A1498">
        <v>3566</v>
      </c>
      <c r="B1498" t="s">
        <v>691</v>
      </c>
      <c r="C1498" t="s">
        <v>684</v>
      </c>
      <c r="D1498" t="s">
        <v>685</v>
      </c>
      <c r="E1498">
        <v>123</v>
      </c>
      <c r="F1498">
        <v>255</v>
      </c>
      <c r="G1498">
        <v>283.31343720000001</v>
      </c>
      <c r="H1498">
        <v>3573</v>
      </c>
      <c r="I1498">
        <v>0.44283982799999999</v>
      </c>
      <c r="J1498">
        <v>3828</v>
      </c>
      <c r="K1498">
        <v>8644.2089400000004</v>
      </c>
      <c r="L1498">
        <v>0.90800000000000003</v>
      </c>
      <c r="M1498">
        <v>0.96672077899999997</v>
      </c>
      <c r="N1498">
        <v>0</v>
      </c>
      <c r="O1498" t="s">
        <v>620</v>
      </c>
      <c r="P1498">
        <f t="shared" si="209"/>
        <v>14.660348839999999</v>
      </c>
      <c r="Q1498">
        <f t="shared" si="210"/>
        <v>7.0000000000000001E-3</v>
      </c>
      <c r="R1498">
        <f t="shared" si="211"/>
        <v>1.7999999999999999E-2</v>
      </c>
      <c r="S1498">
        <f t="shared" si="212"/>
        <v>0.90800000000000003</v>
      </c>
      <c r="T1498">
        <f t="shared" si="213"/>
        <v>1.916451613</v>
      </c>
      <c r="U1498">
        <f t="shared" si="214"/>
        <v>10.737121699999999</v>
      </c>
      <c r="V1498">
        <f t="shared" si="215"/>
        <v>2.5999999999999999E-2</v>
      </c>
      <c r="W1498">
        <f t="shared" si="216"/>
        <v>1.0999999999999999E-2</v>
      </c>
      <c r="X1498">
        <f t="shared" si="217"/>
        <v>0.94199999999999995</v>
      </c>
      <c r="Y1498">
        <v>13.45081523</v>
      </c>
      <c r="Z1498">
        <v>0</v>
      </c>
      <c r="AA1498">
        <v>236250</v>
      </c>
      <c r="AB1498">
        <v>76158</v>
      </c>
      <c r="AC1498">
        <v>1.7652984E-2</v>
      </c>
      <c r="AD1498">
        <v>0.84750225300000004</v>
      </c>
      <c r="AF1498">
        <v>14.660348839999999</v>
      </c>
      <c r="AG1498">
        <v>7.0000000000000001E-3</v>
      </c>
      <c r="AH1498">
        <v>1.7999999999999999E-2</v>
      </c>
      <c r="AI1498">
        <v>0.90800000000000003</v>
      </c>
      <c r="AJ1498">
        <v>1.916451613</v>
      </c>
      <c r="AK1498">
        <v>10.737121699999999</v>
      </c>
      <c r="AL1498">
        <v>2.5999999999999999E-2</v>
      </c>
      <c r="AM1498">
        <v>1.0999999999999999E-2</v>
      </c>
      <c r="AN1498">
        <v>0.94199999999999995</v>
      </c>
    </row>
    <row r="1499" spans="1:40">
      <c r="A1499">
        <v>3567</v>
      </c>
      <c r="B1499" t="s">
        <v>691</v>
      </c>
      <c r="C1499" t="s">
        <v>684</v>
      </c>
      <c r="D1499" t="s">
        <v>685</v>
      </c>
      <c r="E1499">
        <v>0</v>
      </c>
      <c r="F1499">
        <v>0</v>
      </c>
      <c r="G1499">
        <v>409.53531409999999</v>
      </c>
      <c r="H1499">
        <v>1600</v>
      </c>
      <c r="I1499">
        <v>0.64012453199999997</v>
      </c>
      <c r="J1499">
        <v>1600</v>
      </c>
      <c r="K1499">
        <v>2499.5136419999999</v>
      </c>
      <c r="L1499">
        <v>0.93600000000000005</v>
      </c>
      <c r="M1499" s="515">
        <v>1</v>
      </c>
      <c r="N1499">
        <v>0</v>
      </c>
      <c r="O1499" t="s">
        <v>625</v>
      </c>
      <c r="P1499">
        <f t="shared" si="209"/>
        <v>16.02313131</v>
      </c>
      <c r="Q1499">
        <f t="shared" si="210"/>
        <v>1.8070175438596476E-2</v>
      </c>
      <c r="R1499">
        <f t="shared" si="211"/>
        <v>2.1000000000000001E-2</v>
      </c>
      <c r="S1499">
        <f t="shared" si="212"/>
        <v>0.93600000000000005</v>
      </c>
      <c r="T1499">
        <f t="shared" si="213"/>
        <v>3.3827777779999999</v>
      </c>
      <c r="U1499">
        <f t="shared" si="214"/>
        <v>10.182890029999999</v>
      </c>
      <c r="V1499">
        <f t="shared" si="215"/>
        <v>4.8000000000000001E-2</v>
      </c>
      <c r="W1499">
        <f t="shared" si="216"/>
        <v>5.9146341463414652E-2</v>
      </c>
      <c r="X1499">
        <f t="shared" si="217"/>
        <v>0.95199999999999996</v>
      </c>
      <c r="Y1499">
        <v>12.96620645</v>
      </c>
      <c r="Z1499">
        <v>0</v>
      </c>
      <c r="AA1499">
        <v>236250</v>
      </c>
      <c r="AB1499">
        <v>76158</v>
      </c>
      <c r="AC1499">
        <v>1.7652984E-2</v>
      </c>
      <c r="AD1499">
        <v>0.84750225300000004</v>
      </c>
      <c r="AF1499">
        <v>16.02313131</v>
      </c>
      <c r="AG1499">
        <v>0</v>
      </c>
      <c r="AH1499">
        <v>2.1000000000000001E-2</v>
      </c>
      <c r="AI1499">
        <v>0.93600000000000005</v>
      </c>
      <c r="AJ1499">
        <v>3.3827777779999999</v>
      </c>
      <c r="AK1499">
        <v>10.182890029999999</v>
      </c>
      <c r="AL1499">
        <v>4.8000000000000001E-2</v>
      </c>
      <c r="AM1499">
        <v>0</v>
      </c>
      <c r="AN1499">
        <v>0.95199999999999996</v>
      </c>
    </row>
    <row r="1500" spans="1:40">
      <c r="A1500">
        <v>3568</v>
      </c>
      <c r="B1500" t="s">
        <v>691</v>
      </c>
      <c r="C1500" t="s">
        <v>684</v>
      </c>
      <c r="D1500" t="s">
        <v>685</v>
      </c>
      <c r="E1500">
        <v>138</v>
      </c>
      <c r="F1500">
        <v>487</v>
      </c>
      <c r="G1500">
        <v>35.876959589999998</v>
      </c>
      <c r="H1500">
        <v>0</v>
      </c>
      <c r="I1500">
        <v>5.6075486000000001E-2</v>
      </c>
      <c r="J1500">
        <v>487</v>
      </c>
      <c r="K1500">
        <v>8684.7218769999999</v>
      </c>
      <c r="L1500">
        <v>0.89700000000000002</v>
      </c>
      <c r="M1500">
        <v>0</v>
      </c>
      <c r="N1500">
        <v>0</v>
      </c>
      <c r="O1500" t="s">
        <v>620</v>
      </c>
      <c r="P1500">
        <f t="shared" si="209"/>
        <v>16.656923079999999</v>
      </c>
      <c r="Q1500">
        <f t="shared" si="210"/>
        <v>1.0999999999999999E-2</v>
      </c>
      <c r="R1500">
        <f t="shared" si="211"/>
        <v>1.0999999999999999E-2</v>
      </c>
      <c r="S1500">
        <f t="shared" si="212"/>
        <v>0.89700000000000002</v>
      </c>
      <c r="T1500">
        <f t="shared" si="213"/>
        <v>1.87</v>
      </c>
      <c r="U1500">
        <f t="shared" si="214"/>
        <v>8.7387323939999995</v>
      </c>
      <c r="V1500">
        <f t="shared" si="215"/>
        <v>3.5151315789473656E-2</v>
      </c>
      <c r="W1500">
        <f t="shared" si="216"/>
        <v>7.0999999999999994E-2</v>
      </c>
      <c r="X1500">
        <f t="shared" si="217"/>
        <v>0.92900000000000005</v>
      </c>
      <c r="Y1500">
        <v>115.68201689999999</v>
      </c>
      <c r="Z1500">
        <v>0</v>
      </c>
      <c r="AA1500">
        <v>236250</v>
      </c>
      <c r="AB1500">
        <v>76158</v>
      </c>
      <c r="AC1500">
        <v>1.7652984E-2</v>
      </c>
      <c r="AD1500">
        <v>0.84750225300000004</v>
      </c>
      <c r="AF1500">
        <v>16.656923079999999</v>
      </c>
      <c r="AG1500">
        <v>1.0999999999999999E-2</v>
      </c>
      <c r="AH1500">
        <v>1.0999999999999999E-2</v>
      </c>
      <c r="AI1500">
        <v>0.89700000000000002</v>
      </c>
      <c r="AJ1500">
        <v>1.87</v>
      </c>
      <c r="AK1500">
        <v>8.7387323939999995</v>
      </c>
      <c r="AL1500">
        <v>0</v>
      </c>
      <c r="AM1500">
        <v>7.0999999999999994E-2</v>
      </c>
      <c r="AN1500">
        <v>0.92900000000000005</v>
      </c>
    </row>
    <row r="1501" spans="1:40">
      <c r="A1501">
        <v>3569</v>
      </c>
      <c r="B1501" t="s">
        <v>706</v>
      </c>
      <c r="C1501" t="s">
        <v>684</v>
      </c>
      <c r="D1501" t="s">
        <v>685</v>
      </c>
      <c r="E1501">
        <v>0</v>
      </c>
      <c r="F1501">
        <v>0</v>
      </c>
      <c r="G1501">
        <v>194.42046260000001</v>
      </c>
      <c r="H1501">
        <v>2327</v>
      </c>
      <c r="I1501">
        <v>0.303894887</v>
      </c>
      <c r="J1501">
        <v>2327</v>
      </c>
      <c r="K1501">
        <v>7657.2528840000004</v>
      </c>
      <c r="L1501">
        <v>0.91300000000000003</v>
      </c>
      <c r="M1501" s="515">
        <v>1</v>
      </c>
      <c r="N1501">
        <v>0</v>
      </c>
      <c r="O1501" t="s">
        <v>620</v>
      </c>
      <c r="P1501">
        <f t="shared" si="209"/>
        <v>17.017906979999999</v>
      </c>
      <c r="Q1501">
        <f t="shared" si="210"/>
        <v>7.0000000000000001E-3</v>
      </c>
      <c r="R1501">
        <f t="shared" si="211"/>
        <v>1.6E-2</v>
      </c>
      <c r="S1501">
        <f t="shared" si="212"/>
        <v>0.91300000000000003</v>
      </c>
      <c r="T1501">
        <f t="shared" si="213"/>
        <v>2.254</v>
      </c>
      <c r="U1501">
        <f t="shared" si="214"/>
        <v>12.20561062</v>
      </c>
      <c r="V1501">
        <f t="shared" si="215"/>
        <v>2.9000000000000001E-2</v>
      </c>
      <c r="W1501">
        <f t="shared" si="216"/>
        <v>1.7000000000000001E-2</v>
      </c>
      <c r="X1501">
        <f t="shared" si="217"/>
        <v>0.93700000000000006</v>
      </c>
      <c r="Y1501">
        <v>48.398336180000001</v>
      </c>
      <c r="Z1501">
        <v>0</v>
      </c>
      <c r="AA1501">
        <v>47401</v>
      </c>
      <c r="AB1501">
        <v>14616</v>
      </c>
      <c r="AC1501">
        <v>1.1721782E-2</v>
      </c>
      <c r="AD1501">
        <v>0.85588417900000002</v>
      </c>
      <c r="AF1501">
        <v>17.017906979999999</v>
      </c>
      <c r="AG1501">
        <v>7.0000000000000001E-3</v>
      </c>
      <c r="AH1501">
        <v>1.6E-2</v>
      </c>
      <c r="AI1501">
        <v>0.91300000000000003</v>
      </c>
      <c r="AJ1501">
        <v>2.254</v>
      </c>
      <c r="AK1501">
        <v>12.20561062</v>
      </c>
      <c r="AL1501">
        <v>2.9000000000000001E-2</v>
      </c>
      <c r="AM1501">
        <v>1.7000000000000001E-2</v>
      </c>
      <c r="AN1501">
        <v>0.93700000000000006</v>
      </c>
    </row>
    <row r="1502" spans="1:40">
      <c r="A1502">
        <v>3570</v>
      </c>
      <c r="B1502" t="s">
        <v>706</v>
      </c>
      <c r="C1502" t="s">
        <v>684</v>
      </c>
      <c r="D1502" t="s">
        <v>685</v>
      </c>
      <c r="E1502">
        <v>632</v>
      </c>
      <c r="F1502">
        <v>1896</v>
      </c>
      <c r="G1502">
        <v>79.345846210000005</v>
      </c>
      <c r="H1502">
        <v>292</v>
      </c>
      <c r="I1502">
        <v>0.124017901</v>
      </c>
      <c r="J1502">
        <v>2188</v>
      </c>
      <c r="K1502">
        <v>17642.61435</v>
      </c>
      <c r="L1502">
        <v>0.84599999999999997</v>
      </c>
      <c r="M1502">
        <v>0.31601731599999999</v>
      </c>
      <c r="N1502">
        <v>0</v>
      </c>
      <c r="O1502" t="s">
        <v>620</v>
      </c>
      <c r="P1502">
        <f t="shared" si="209"/>
        <v>13.948994709999999</v>
      </c>
      <c r="Q1502">
        <f t="shared" si="210"/>
        <v>1.2E-2</v>
      </c>
      <c r="R1502">
        <f t="shared" si="211"/>
        <v>1.0999999999999999E-2</v>
      </c>
      <c r="S1502">
        <f t="shared" si="212"/>
        <v>0.84599999999999997</v>
      </c>
      <c r="T1502">
        <f t="shared" si="213"/>
        <v>2.2871428570000001</v>
      </c>
      <c r="U1502">
        <f t="shared" si="214"/>
        <v>7.763238007</v>
      </c>
      <c r="V1502">
        <f t="shared" si="215"/>
        <v>8.9999999999999993E-3</v>
      </c>
      <c r="W1502">
        <f t="shared" si="216"/>
        <v>5.1999999999999998E-2</v>
      </c>
      <c r="X1502">
        <f t="shared" si="217"/>
        <v>0.89600000000000002</v>
      </c>
      <c r="Y1502">
        <v>152.20797350000001</v>
      </c>
      <c r="Z1502">
        <v>0</v>
      </c>
      <c r="AA1502">
        <v>47401</v>
      </c>
      <c r="AB1502">
        <v>14616</v>
      </c>
      <c r="AC1502">
        <v>1.1721782E-2</v>
      </c>
      <c r="AD1502">
        <v>0.85588417900000002</v>
      </c>
      <c r="AF1502">
        <v>13.948994709999999</v>
      </c>
      <c r="AG1502">
        <v>1.2E-2</v>
      </c>
      <c r="AH1502">
        <v>1.0999999999999999E-2</v>
      </c>
      <c r="AI1502">
        <v>0.84599999999999997</v>
      </c>
      <c r="AJ1502">
        <v>2.2871428570000001</v>
      </c>
      <c r="AK1502">
        <v>7.763238007</v>
      </c>
      <c r="AL1502">
        <v>8.9999999999999993E-3</v>
      </c>
      <c r="AM1502">
        <v>5.1999999999999998E-2</v>
      </c>
      <c r="AN1502">
        <v>0.89600000000000002</v>
      </c>
    </row>
    <row r="1503" spans="1:40">
      <c r="A1503">
        <v>3571</v>
      </c>
      <c r="B1503" t="s">
        <v>706</v>
      </c>
      <c r="C1503" t="s">
        <v>684</v>
      </c>
      <c r="D1503" t="s">
        <v>685</v>
      </c>
      <c r="E1503">
        <v>790</v>
      </c>
      <c r="F1503">
        <v>2433</v>
      </c>
      <c r="G1503">
        <v>184.98489190000001</v>
      </c>
      <c r="H1503">
        <v>1167</v>
      </c>
      <c r="I1503">
        <v>0.28914712300000001</v>
      </c>
      <c r="J1503">
        <v>3600</v>
      </c>
      <c r="K1503">
        <v>12450.4092</v>
      </c>
      <c r="L1503">
        <v>0.85699999999999998</v>
      </c>
      <c r="M1503">
        <v>0.59632089899999996</v>
      </c>
      <c r="N1503">
        <v>0</v>
      </c>
      <c r="O1503" t="s">
        <v>620</v>
      </c>
      <c r="P1503">
        <f t="shared" si="209"/>
        <v>13.694791090000001</v>
      </c>
      <c r="Q1503">
        <f t="shared" si="210"/>
        <v>1.2999999999999999E-2</v>
      </c>
      <c r="R1503">
        <f t="shared" si="211"/>
        <v>1.4E-2</v>
      </c>
      <c r="S1503">
        <f t="shared" si="212"/>
        <v>0.85699999999999998</v>
      </c>
      <c r="T1503">
        <f t="shared" si="213"/>
        <v>1.847352941</v>
      </c>
      <c r="U1503">
        <f t="shared" si="214"/>
        <v>7.5327830640000002</v>
      </c>
      <c r="V1503">
        <f t="shared" si="215"/>
        <v>3.1E-2</v>
      </c>
      <c r="W1503">
        <f t="shared" si="216"/>
        <v>3.5999999999999997E-2</v>
      </c>
      <c r="X1503">
        <f t="shared" si="217"/>
        <v>0.92100000000000004</v>
      </c>
      <c r="Y1503">
        <v>48.586112839999998</v>
      </c>
      <c r="Z1503">
        <v>0</v>
      </c>
      <c r="AA1503">
        <v>47401</v>
      </c>
      <c r="AB1503">
        <v>14616</v>
      </c>
      <c r="AC1503">
        <v>1.1721782E-2</v>
      </c>
      <c r="AD1503">
        <v>0.85588417900000002</v>
      </c>
      <c r="AF1503">
        <v>13.694791090000001</v>
      </c>
      <c r="AG1503">
        <v>1.2999999999999999E-2</v>
      </c>
      <c r="AH1503">
        <v>1.4E-2</v>
      </c>
      <c r="AI1503">
        <v>0.85699999999999998</v>
      </c>
      <c r="AJ1503">
        <v>1.847352941</v>
      </c>
      <c r="AK1503">
        <v>7.5327830640000002</v>
      </c>
      <c r="AL1503">
        <v>3.1E-2</v>
      </c>
      <c r="AM1503">
        <v>3.5999999999999997E-2</v>
      </c>
      <c r="AN1503">
        <v>0.92100000000000004</v>
      </c>
    </row>
    <row r="1504" spans="1:40">
      <c r="A1504">
        <v>3572</v>
      </c>
      <c r="B1504" t="s">
        <v>706</v>
      </c>
      <c r="C1504" t="s">
        <v>684</v>
      </c>
      <c r="D1504" t="s">
        <v>685</v>
      </c>
      <c r="E1504">
        <v>159</v>
      </c>
      <c r="F1504">
        <v>275</v>
      </c>
      <c r="G1504">
        <v>347.02720520000003</v>
      </c>
      <c r="H1504">
        <v>785</v>
      </c>
      <c r="I1504">
        <v>0.542442278</v>
      </c>
      <c r="J1504">
        <v>1060</v>
      </c>
      <c r="K1504">
        <v>1954.1249700000001</v>
      </c>
      <c r="L1504">
        <v>0.95299999999999996</v>
      </c>
      <c r="M1504">
        <v>0.83156779700000005</v>
      </c>
      <c r="N1504">
        <v>0</v>
      </c>
      <c r="O1504" t="s">
        <v>625</v>
      </c>
      <c r="P1504">
        <f t="shared" si="209"/>
        <v>18.613823530000001</v>
      </c>
      <c r="Q1504">
        <f t="shared" si="210"/>
        <v>1.4851851851851857E-2</v>
      </c>
      <c r="R1504">
        <f t="shared" si="211"/>
        <v>8.0000000000000002E-3</v>
      </c>
      <c r="S1504">
        <f t="shared" si="212"/>
        <v>0.95299999999999996</v>
      </c>
      <c r="T1504">
        <f t="shared" si="213"/>
        <v>3.13</v>
      </c>
      <c r="U1504">
        <f t="shared" si="214"/>
        <v>11.432103</v>
      </c>
      <c r="V1504">
        <f t="shared" si="215"/>
        <v>1.9E-2</v>
      </c>
      <c r="W1504">
        <f t="shared" si="216"/>
        <v>4.6111111111111124E-2</v>
      </c>
      <c r="X1504">
        <f t="shared" si="217"/>
        <v>0.98099999999999998</v>
      </c>
      <c r="Y1504">
        <v>6.8135218870000003</v>
      </c>
      <c r="Z1504">
        <v>0</v>
      </c>
      <c r="AA1504">
        <v>47401</v>
      </c>
      <c r="AB1504">
        <v>14616</v>
      </c>
      <c r="AC1504">
        <v>1.1721782E-2</v>
      </c>
      <c r="AD1504">
        <v>0.85588417900000002</v>
      </c>
      <c r="AF1504">
        <v>18.613823530000001</v>
      </c>
      <c r="AG1504">
        <v>0</v>
      </c>
      <c r="AH1504">
        <v>8.0000000000000002E-3</v>
      </c>
      <c r="AI1504">
        <v>0.95299999999999996</v>
      </c>
      <c r="AJ1504">
        <v>3.13</v>
      </c>
      <c r="AK1504">
        <v>11.432103</v>
      </c>
      <c r="AL1504">
        <v>1.9E-2</v>
      </c>
      <c r="AM1504">
        <v>0</v>
      </c>
      <c r="AN1504">
        <v>0.98099999999999998</v>
      </c>
    </row>
    <row r="1505" spans="1:40">
      <c r="A1505">
        <v>3573</v>
      </c>
      <c r="B1505" t="s">
        <v>706</v>
      </c>
      <c r="C1505" t="s">
        <v>684</v>
      </c>
      <c r="D1505" t="s">
        <v>685</v>
      </c>
      <c r="E1505">
        <v>499</v>
      </c>
      <c r="F1505">
        <v>1503</v>
      </c>
      <c r="G1505">
        <v>122.75871309999999</v>
      </c>
      <c r="H1505">
        <v>535</v>
      </c>
      <c r="I1505">
        <v>0.191882988</v>
      </c>
      <c r="J1505">
        <v>2038</v>
      </c>
      <c r="K1505">
        <v>10621.056200000001</v>
      </c>
      <c r="L1505">
        <v>0.83399999999999996</v>
      </c>
      <c r="M1505">
        <v>0.51740812400000002</v>
      </c>
      <c r="N1505">
        <v>0</v>
      </c>
      <c r="O1505" t="s">
        <v>620</v>
      </c>
      <c r="P1505">
        <f t="shared" si="209"/>
        <v>12.69839779</v>
      </c>
      <c r="Q1505">
        <f t="shared" si="210"/>
        <v>1.0999999999999999E-2</v>
      </c>
      <c r="R1505">
        <f t="shared" si="211"/>
        <v>0.02</v>
      </c>
      <c r="S1505">
        <f t="shared" si="212"/>
        <v>0.83399999999999996</v>
      </c>
      <c r="T1505">
        <f t="shared" si="213"/>
        <v>1.9485106379999999</v>
      </c>
      <c r="U1505">
        <f t="shared" si="214"/>
        <v>6.3755625</v>
      </c>
      <c r="V1505">
        <f t="shared" si="215"/>
        <v>0.05</v>
      </c>
      <c r="W1505">
        <f t="shared" si="216"/>
        <v>0.05</v>
      </c>
      <c r="X1505">
        <f t="shared" si="217"/>
        <v>0.83</v>
      </c>
      <c r="Y1505">
        <v>61.643784699999998</v>
      </c>
      <c r="Z1505">
        <v>0</v>
      </c>
      <c r="AA1505">
        <v>47401</v>
      </c>
      <c r="AB1505">
        <v>14616</v>
      </c>
      <c r="AC1505">
        <v>1.1721782E-2</v>
      </c>
      <c r="AD1505">
        <v>0.85588417900000002</v>
      </c>
      <c r="AF1505">
        <v>12.69839779</v>
      </c>
      <c r="AG1505">
        <v>1.0999999999999999E-2</v>
      </c>
      <c r="AH1505">
        <v>0.02</v>
      </c>
      <c r="AI1505">
        <v>0.83399999999999996</v>
      </c>
      <c r="AJ1505">
        <v>1.9485106379999999</v>
      </c>
      <c r="AK1505">
        <v>6.3755625</v>
      </c>
      <c r="AL1505">
        <v>0.05</v>
      </c>
      <c r="AM1505">
        <v>0.05</v>
      </c>
      <c r="AN1505">
        <v>0.83</v>
      </c>
    </row>
    <row r="1506" spans="1:40">
      <c r="A1506">
        <v>3574</v>
      </c>
      <c r="B1506" t="s">
        <v>691</v>
      </c>
      <c r="C1506" t="s">
        <v>684</v>
      </c>
      <c r="D1506" t="s">
        <v>685</v>
      </c>
      <c r="E1506">
        <v>260</v>
      </c>
      <c r="F1506">
        <v>830</v>
      </c>
      <c r="G1506">
        <v>72.929713770000006</v>
      </c>
      <c r="H1506">
        <v>81</v>
      </c>
      <c r="I1506">
        <v>0.114003881</v>
      </c>
      <c r="J1506">
        <v>911</v>
      </c>
      <c r="K1506">
        <v>7990.9560270000002</v>
      </c>
      <c r="L1506">
        <v>0.86499999999999999</v>
      </c>
      <c r="M1506">
        <v>0.23753665700000001</v>
      </c>
      <c r="N1506">
        <v>0</v>
      </c>
      <c r="O1506" t="s">
        <v>620</v>
      </c>
      <c r="P1506">
        <f t="shared" si="209"/>
        <v>12.87427083</v>
      </c>
      <c r="Q1506">
        <f t="shared" si="210"/>
        <v>2.3E-2</v>
      </c>
      <c r="R1506">
        <f t="shared" si="211"/>
        <v>2.3E-2</v>
      </c>
      <c r="S1506">
        <f t="shared" si="212"/>
        <v>0.86499999999999999</v>
      </c>
      <c r="T1506">
        <f t="shared" si="213"/>
        <v>1.6776470590000001</v>
      </c>
      <c r="U1506">
        <f t="shared" si="214"/>
        <v>6.8632539680000004</v>
      </c>
      <c r="V1506">
        <f t="shared" si="215"/>
        <v>1.7999999999999999E-2</v>
      </c>
      <c r="W1506">
        <f t="shared" si="216"/>
        <v>9.0999999999999998E-2</v>
      </c>
      <c r="X1506">
        <f t="shared" si="217"/>
        <v>0.873</v>
      </c>
      <c r="Y1506">
        <v>107.51838739999999</v>
      </c>
      <c r="Z1506">
        <v>0</v>
      </c>
      <c r="AA1506">
        <v>236250</v>
      </c>
      <c r="AB1506">
        <v>76158</v>
      </c>
      <c r="AC1506">
        <v>1.7652984E-2</v>
      </c>
      <c r="AD1506">
        <v>0.84750225300000004</v>
      </c>
      <c r="AF1506">
        <v>12.87427083</v>
      </c>
      <c r="AG1506">
        <v>2.3E-2</v>
      </c>
      <c r="AH1506">
        <v>2.3E-2</v>
      </c>
      <c r="AI1506">
        <v>0.86499999999999999</v>
      </c>
      <c r="AJ1506">
        <v>1.6776470590000001</v>
      </c>
      <c r="AK1506">
        <v>6.8632539680000004</v>
      </c>
      <c r="AL1506">
        <v>1.7999999999999999E-2</v>
      </c>
      <c r="AM1506">
        <v>9.0999999999999998E-2</v>
      </c>
      <c r="AN1506">
        <v>0.873</v>
      </c>
    </row>
    <row r="1507" spans="1:40">
      <c r="A1507">
        <v>3575</v>
      </c>
      <c r="B1507" t="s">
        <v>691</v>
      </c>
      <c r="C1507" t="s">
        <v>684</v>
      </c>
      <c r="D1507" t="s">
        <v>685</v>
      </c>
      <c r="E1507">
        <v>231</v>
      </c>
      <c r="F1507">
        <v>801</v>
      </c>
      <c r="G1507">
        <v>37.882843690000001</v>
      </c>
      <c r="H1507">
        <v>2</v>
      </c>
      <c r="I1507">
        <v>5.9213356000000002E-2</v>
      </c>
      <c r="J1507">
        <v>803</v>
      </c>
      <c r="K1507">
        <v>13561.12969</v>
      </c>
      <c r="L1507">
        <v>0.79100000000000004</v>
      </c>
      <c r="M1507">
        <v>8.5836909999999992E-3</v>
      </c>
      <c r="N1507">
        <v>0</v>
      </c>
      <c r="O1507" t="s">
        <v>620</v>
      </c>
      <c r="P1507">
        <f t="shared" si="209"/>
        <v>11.908769230000001</v>
      </c>
      <c r="Q1507">
        <f t="shared" si="210"/>
        <v>1.2E-2</v>
      </c>
      <c r="R1507">
        <f t="shared" si="211"/>
        <v>2.8000000000000001E-2</v>
      </c>
      <c r="S1507">
        <f t="shared" si="212"/>
        <v>0.79100000000000004</v>
      </c>
      <c r="T1507">
        <f t="shared" si="213"/>
        <v>2.1916666669999998</v>
      </c>
      <c r="U1507">
        <f t="shared" si="214"/>
        <v>6.9463467489999999</v>
      </c>
      <c r="V1507">
        <f t="shared" si="215"/>
        <v>3.5151315789473656E-2</v>
      </c>
      <c r="W1507">
        <f t="shared" si="216"/>
        <v>5.6000000000000001E-2</v>
      </c>
      <c r="X1507">
        <f t="shared" si="217"/>
        <v>0.91500000000000004</v>
      </c>
      <c r="Y1507">
        <v>144.16888990000001</v>
      </c>
      <c r="Z1507">
        <v>0</v>
      </c>
      <c r="AA1507">
        <v>236250</v>
      </c>
      <c r="AB1507">
        <v>76158</v>
      </c>
      <c r="AC1507">
        <v>1.7652984E-2</v>
      </c>
      <c r="AD1507">
        <v>0.84750225300000004</v>
      </c>
      <c r="AF1507">
        <v>11.908769230000001</v>
      </c>
      <c r="AG1507">
        <v>1.2E-2</v>
      </c>
      <c r="AH1507">
        <v>2.8000000000000001E-2</v>
      </c>
      <c r="AI1507">
        <v>0.79100000000000004</v>
      </c>
      <c r="AJ1507">
        <v>2.1916666669999998</v>
      </c>
      <c r="AK1507">
        <v>6.9463467489999999</v>
      </c>
      <c r="AL1507">
        <v>0</v>
      </c>
      <c r="AM1507">
        <v>5.6000000000000001E-2</v>
      </c>
      <c r="AN1507">
        <v>0.91500000000000004</v>
      </c>
    </row>
    <row r="1508" spans="1:40">
      <c r="A1508">
        <v>3576</v>
      </c>
      <c r="B1508" t="s">
        <v>691</v>
      </c>
      <c r="C1508" t="s">
        <v>684</v>
      </c>
      <c r="D1508" t="s">
        <v>685</v>
      </c>
      <c r="E1508">
        <v>57</v>
      </c>
      <c r="F1508">
        <v>113</v>
      </c>
      <c r="G1508">
        <v>123.8759611</v>
      </c>
      <c r="H1508">
        <v>0</v>
      </c>
      <c r="I1508">
        <v>0.193634947</v>
      </c>
      <c r="J1508">
        <v>113</v>
      </c>
      <c r="K1508">
        <v>583.57234449999999</v>
      </c>
      <c r="L1508">
        <v>0.88200000000000001</v>
      </c>
      <c r="M1508">
        <v>0</v>
      </c>
      <c r="N1508">
        <v>0</v>
      </c>
      <c r="O1508" t="s">
        <v>620</v>
      </c>
      <c r="P1508">
        <f t="shared" si="209"/>
        <v>12.432499999999999</v>
      </c>
      <c r="Q1508">
        <f t="shared" si="210"/>
        <v>3.9E-2</v>
      </c>
      <c r="R1508">
        <f t="shared" si="211"/>
        <v>1.8486033519553042E-2</v>
      </c>
      <c r="S1508">
        <f t="shared" si="212"/>
        <v>0.88200000000000001</v>
      </c>
      <c r="T1508">
        <f t="shared" si="213"/>
        <v>2.3004685426703912</v>
      </c>
      <c r="U1508">
        <f t="shared" si="214"/>
        <v>6.0912195120000003</v>
      </c>
      <c r="V1508">
        <f t="shared" si="215"/>
        <v>3.5151315789473656E-2</v>
      </c>
      <c r="W1508">
        <f t="shared" si="216"/>
        <v>0.33300000000000002</v>
      </c>
      <c r="X1508">
        <f t="shared" si="217"/>
        <v>0.66700000000000004</v>
      </c>
      <c r="Y1508">
        <v>13.148216570000001</v>
      </c>
      <c r="Z1508">
        <v>0</v>
      </c>
      <c r="AA1508">
        <v>236250</v>
      </c>
      <c r="AB1508">
        <v>76158</v>
      </c>
      <c r="AC1508">
        <v>1.7652984E-2</v>
      </c>
      <c r="AD1508">
        <v>0.84750225300000004</v>
      </c>
      <c r="AF1508">
        <v>12.432499999999999</v>
      </c>
      <c r="AG1508">
        <v>3.9E-2</v>
      </c>
      <c r="AH1508">
        <v>0</v>
      </c>
      <c r="AI1508">
        <v>0.88200000000000001</v>
      </c>
      <c r="AK1508">
        <v>6.0912195120000003</v>
      </c>
      <c r="AL1508">
        <v>0</v>
      </c>
      <c r="AM1508">
        <v>0.33300000000000002</v>
      </c>
      <c r="AN1508">
        <v>0.66700000000000004</v>
      </c>
    </row>
    <row r="1509" spans="1:40">
      <c r="A1509">
        <v>3577</v>
      </c>
      <c r="B1509" t="s">
        <v>691</v>
      </c>
      <c r="C1509" t="s">
        <v>684</v>
      </c>
      <c r="D1509" t="s">
        <v>685</v>
      </c>
      <c r="E1509">
        <v>40</v>
      </c>
      <c r="F1509">
        <v>111</v>
      </c>
      <c r="G1509">
        <v>363.01137929999999</v>
      </c>
      <c r="H1509">
        <v>2901</v>
      </c>
      <c r="I1509">
        <v>0.56741392000000002</v>
      </c>
      <c r="J1509">
        <v>3012</v>
      </c>
      <c r="K1509">
        <v>5308.2941639999999</v>
      </c>
      <c r="L1509">
        <v>0.90900000000000003</v>
      </c>
      <c r="M1509">
        <v>0.98639918400000004</v>
      </c>
      <c r="N1509">
        <v>0</v>
      </c>
      <c r="O1509" t="s">
        <v>620</v>
      </c>
      <c r="P1509">
        <f t="shared" si="209"/>
        <v>14.69019512</v>
      </c>
      <c r="Q1509">
        <f t="shared" si="210"/>
        <v>1.9E-2</v>
      </c>
      <c r="R1509">
        <f t="shared" si="211"/>
        <v>0.01</v>
      </c>
      <c r="S1509">
        <f t="shared" si="212"/>
        <v>0.90900000000000003</v>
      </c>
      <c r="T1509">
        <f t="shared" si="213"/>
        <v>3.1571428570000002</v>
      </c>
      <c r="U1509">
        <f t="shared" si="214"/>
        <v>10.399022670000001</v>
      </c>
      <c r="V1509">
        <f t="shared" si="215"/>
        <v>2.3E-2</v>
      </c>
      <c r="W1509">
        <f t="shared" si="216"/>
        <v>3.4000000000000002E-2</v>
      </c>
      <c r="X1509">
        <f t="shared" si="217"/>
        <v>0.93600000000000005</v>
      </c>
      <c r="Y1509">
        <v>13.01599876</v>
      </c>
      <c r="Z1509">
        <v>0</v>
      </c>
      <c r="AA1509">
        <v>236250</v>
      </c>
      <c r="AB1509">
        <v>76158</v>
      </c>
      <c r="AC1509">
        <v>1.7652984E-2</v>
      </c>
      <c r="AD1509">
        <v>0.84750225300000004</v>
      </c>
      <c r="AF1509">
        <v>14.69019512</v>
      </c>
      <c r="AG1509">
        <v>1.9E-2</v>
      </c>
      <c r="AH1509">
        <v>0.01</v>
      </c>
      <c r="AI1509">
        <v>0.90900000000000003</v>
      </c>
      <c r="AJ1509">
        <v>3.1571428570000002</v>
      </c>
      <c r="AK1509">
        <v>10.399022670000001</v>
      </c>
      <c r="AL1509">
        <v>2.3E-2</v>
      </c>
      <c r="AM1509">
        <v>3.4000000000000002E-2</v>
      </c>
      <c r="AN1509">
        <v>0.93600000000000005</v>
      </c>
    </row>
    <row r="1510" spans="1:40">
      <c r="A1510">
        <v>3578</v>
      </c>
      <c r="B1510" t="s">
        <v>691</v>
      </c>
      <c r="C1510" t="s">
        <v>684</v>
      </c>
      <c r="D1510" t="s">
        <v>685</v>
      </c>
      <c r="E1510">
        <v>162</v>
      </c>
      <c r="F1510">
        <v>302</v>
      </c>
      <c r="G1510">
        <v>65.200635869999999</v>
      </c>
      <c r="H1510">
        <v>368</v>
      </c>
      <c r="I1510">
        <v>0.10191201599999999</v>
      </c>
      <c r="J1510">
        <v>670</v>
      </c>
      <c r="K1510">
        <v>6574.2983629999999</v>
      </c>
      <c r="L1510">
        <v>0.85299999999999998</v>
      </c>
      <c r="M1510">
        <v>0.69433962299999996</v>
      </c>
      <c r="N1510">
        <v>1</v>
      </c>
      <c r="O1510" t="s">
        <v>620</v>
      </c>
      <c r="P1510">
        <f t="shared" si="209"/>
        <v>15.96144578</v>
      </c>
      <c r="Q1510">
        <f t="shared" si="210"/>
        <v>5.5E-2</v>
      </c>
      <c r="R1510">
        <f t="shared" si="211"/>
        <v>0.01</v>
      </c>
      <c r="S1510">
        <f t="shared" si="212"/>
        <v>0.85299999999999998</v>
      </c>
      <c r="T1510">
        <f t="shared" si="213"/>
        <v>1.6575</v>
      </c>
      <c r="U1510">
        <f t="shared" si="214"/>
        <v>10.5051682</v>
      </c>
      <c r="V1510">
        <f t="shared" si="215"/>
        <v>0.02</v>
      </c>
      <c r="W1510">
        <f t="shared" si="216"/>
        <v>0.13300000000000001</v>
      </c>
      <c r="X1510">
        <f t="shared" si="217"/>
        <v>0.84699999999999998</v>
      </c>
      <c r="Y1510">
        <v>13.120143580000001</v>
      </c>
      <c r="Z1510">
        <v>0</v>
      </c>
      <c r="AA1510">
        <v>236250</v>
      </c>
      <c r="AB1510">
        <v>76158</v>
      </c>
      <c r="AC1510">
        <v>1.7652984E-2</v>
      </c>
      <c r="AD1510">
        <v>0.84750225300000004</v>
      </c>
      <c r="AF1510">
        <v>15.96144578</v>
      </c>
      <c r="AG1510">
        <v>5.5E-2</v>
      </c>
      <c r="AH1510">
        <v>0.01</v>
      </c>
      <c r="AI1510">
        <v>0.85299999999999998</v>
      </c>
      <c r="AJ1510">
        <v>1.6575</v>
      </c>
      <c r="AK1510">
        <v>10.5051682</v>
      </c>
      <c r="AL1510">
        <v>0.02</v>
      </c>
      <c r="AM1510">
        <v>0.13300000000000001</v>
      </c>
      <c r="AN1510">
        <v>0.84699999999999998</v>
      </c>
    </row>
    <row r="1511" spans="1:40">
      <c r="A1511">
        <v>3579</v>
      </c>
      <c r="B1511" t="s">
        <v>691</v>
      </c>
      <c r="C1511" t="s">
        <v>684</v>
      </c>
      <c r="D1511" t="s">
        <v>685</v>
      </c>
      <c r="E1511">
        <v>108</v>
      </c>
      <c r="F1511">
        <v>301</v>
      </c>
      <c r="G1511">
        <v>18.010530469999999</v>
      </c>
      <c r="H1511">
        <v>108</v>
      </c>
      <c r="I1511">
        <v>2.8154117999999999E-2</v>
      </c>
      <c r="J1511">
        <v>409</v>
      </c>
      <c r="K1511">
        <v>14527.182129999999</v>
      </c>
      <c r="L1511">
        <v>0.74099999999999999</v>
      </c>
      <c r="M1511">
        <v>0.5</v>
      </c>
      <c r="N1511">
        <v>0</v>
      </c>
      <c r="O1511" t="s">
        <v>620</v>
      </c>
      <c r="P1511">
        <f t="shared" si="209"/>
        <v>12.781794870000001</v>
      </c>
      <c r="Q1511">
        <f t="shared" si="210"/>
        <v>8.9999999999999993E-3</v>
      </c>
      <c r="R1511">
        <f t="shared" si="211"/>
        <v>2.3E-2</v>
      </c>
      <c r="S1511">
        <f t="shared" si="212"/>
        <v>0.74099999999999999</v>
      </c>
      <c r="T1511">
        <f t="shared" si="213"/>
        <v>1.8075000000000001</v>
      </c>
      <c r="U1511">
        <f t="shared" si="214"/>
        <v>6.6325506069999998</v>
      </c>
      <c r="V1511">
        <f t="shared" si="215"/>
        <v>3.5151315789473656E-2</v>
      </c>
      <c r="W1511">
        <f t="shared" si="216"/>
        <v>5.9146341463414652E-2</v>
      </c>
      <c r="X1511">
        <f t="shared" si="217"/>
        <v>1</v>
      </c>
      <c r="Y1511">
        <v>201.8250774</v>
      </c>
      <c r="Z1511">
        <v>0</v>
      </c>
      <c r="AA1511">
        <v>236250</v>
      </c>
      <c r="AB1511">
        <v>76158</v>
      </c>
      <c r="AC1511">
        <v>1.7652984E-2</v>
      </c>
      <c r="AD1511">
        <v>0.84750225300000004</v>
      </c>
      <c r="AF1511">
        <v>12.781794870000001</v>
      </c>
      <c r="AG1511">
        <v>8.9999999999999993E-3</v>
      </c>
      <c r="AH1511">
        <v>2.3E-2</v>
      </c>
      <c r="AI1511">
        <v>0.74099999999999999</v>
      </c>
      <c r="AJ1511">
        <v>1.8075000000000001</v>
      </c>
      <c r="AK1511">
        <v>6.6325506069999998</v>
      </c>
      <c r="AL1511">
        <v>0</v>
      </c>
      <c r="AM1511">
        <v>0</v>
      </c>
      <c r="AN1511">
        <v>1</v>
      </c>
    </row>
    <row r="1512" spans="1:40">
      <c r="A1512">
        <v>3580</v>
      </c>
      <c r="B1512" t="s">
        <v>698</v>
      </c>
      <c r="C1512" t="s">
        <v>693</v>
      </c>
      <c r="D1512" t="s">
        <v>694</v>
      </c>
      <c r="E1512">
        <v>278</v>
      </c>
      <c r="F1512">
        <v>423</v>
      </c>
      <c r="G1512">
        <v>71.341952239999998</v>
      </c>
      <c r="H1512">
        <v>6</v>
      </c>
      <c r="I1512">
        <v>0.11152164000000001</v>
      </c>
      <c r="J1512">
        <v>429</v>
      </c>
      <c r="K1512">
        <v>3846.787045</v>
      </c>
      <c r="L1512">
        <v>0.83599999999999997</v>
      </c>
      <c r="M1512">
        <v>2.1126761000000001E-2</v>
      </c>
      <c r="N1512">
        <v>0</v>
      </c>
      <c r="O1512" t="s">
        <v>625</v>
      </c>
      <c r="P1512">
        <f t="shared" si="209"/>
        <v>21.269285709999998</v>
      </c>
      <c r="Q1512">
        <f t="shared" si="210"/>
        <v>6.0000000000000001E-3</v>
      </c>
      <c r="R1512">
        <f t="shared" si="211"/>
        <v>2.3E-2</v>
      </c>
      <c r="S1512">
        <f t="shared" si="212"/>
        <v>0.83599999999999997</v>
      </c>
      <c r="T1512">
        <f t="shared" si="213"/>
        <v>1.63625</v>
      </c>
      <c r="U1512">
        <f t="shared" si="214"/>
        <v>8.5818772560000003</v>
      </c>
      <c r="V1512">
        <f t="shared" si="215"/>
        <v>4.2999999999999997E-2</v>
      </c>
      <c r="W1512">
        <f t="shared" si="216"/>
        <v>4.2999999999999997E-2</v>
      </c>
      <c r="X1512">
        <f t="shared" si="217"/>
        <v>0.91300000000000003</v>
      </c>
      <c r="Y1512">
        <v>26.85347724</v>
      </c>
      <c r="Z1512">
        <v>0</v>
      </c>
      <c r="AA1512">
        <v>88250</v>
      </c>
      <c r="AB1512">
        <v>31723</v>
      </c>
      <c r="AC1512">
        <v>1.0795895999999999E-2</v>
      </c>
      <c r="AD1512">
        <v>0.817760245</v>
      </c>
      <c r="AF1512">
        <v>21.269285709999998</v>
      </c>
      <c r="AG1512">
        <v>6.0000000000000001E-3</v>
      </c>
      <c r="AH1512">
        <v>2.3E-2</v>
      </c>
      <c r="AI1512">
        <v>0.83599999999999997</v>
      </c>
      <c r="AJ1512">
        <v>1.63625</v>
      </c>
      <c r="AK1512">
        <v>8.5818772560000003</v>
      </c>
      <c r="AL1512">
        <v>4.2999999999999997E-2</v>
      </c>
      <c r="AM1512">
        <v>4.2999999999999997E-2</v>
      </c>
      <c r="AN1512">
        <v>0.91300000000000003</v>
      </c>
    </row>
    <row r="1513" spans="1:40">
      <c r="A1513">
        <v>3581</v>
      </c>
      <c r="B1513" t="s">
        <v>709</v>
      </c>
      <c r="C1513" t="s">
        <v>693</v>
      </c>
      <c r="D1513" t="s">
        <v>694</v>
      </c>
      <c r="E1513">
        <v>233</v>
      </c>
      <c r="F1513">
        <v>233</v>
      </c>
      <c r="G1513">
        <v>28.917717159999999</v>
      </c>
      <c r="H1513">
        <v>378</v>
      </c>
      <c r="I1513">
        <v>4.5205061999999997E-2</v>
      </c>
      <c r="J1513">
        <v>611</v>
      </c>
      <c r="K1513">
        <v>13516.18542</v>
      </c>
      <c r="L1513">
        <v>0.81200000000000006</v>
      </c>
      <c r="M1513">
        <v>0.61865793800000002</v>
      </c>
      <c r="N1513">
        <v>0</v>
      </c>
      <c r="O1513" t="s">
        <v>620</v>
      </c>
      <c r="P1513">
        <f t="shared" si="209"/>
        <v>15.80522124</v>
      </c>
      <c r="Q1513">
        <f t="shared" si="210"/>
        <v>4.1000000000000002E-2</v>
      </c>
      <c r="R1513">
        <f t="shared" si="211"/>
        <v>2.4E-2</v>
      </c>
      <c r="S1513">
        <f t="shared" si="212"/>
        <v>0.81200000000000006</v>
      </c>
      <c r="T1513">
        <f t="shared" si="213"/>
        <v>2.1307142859999999</v>
      </c>
      <c r="U1513">
        <f t="shared" si="214"/>
        <v>8.6782112070000004</v>
      </c>
      <c r="V1513">
        <f t="shared" si="215"/>
        <v>1.6E-2</v>
      </c>
      <c r="W1513">
        <f t="shared" si="216"/>
        <v>1.6E-2</v>
      </c>
      <c r="X1513">
        <f t="shared" si="217"/>
        <v>0.90400000000000003</v>
      </c>
      <c r="Y1513">
        <v>79.160096350000003</v>
      </c>
      <c r="Z1513">
        <v>0</v>
      </c>
      <c r="AA1513">
        <v>56865</v>
      </c>
      <c r="AB1513">
        <v>22398</v>
      </c>
      <c r="AC1513">
        <v>1.1143686E-2</v>
      </c>
      <c r="AD1513">
        <v>0.81944707100000003</v>
      </c>
      <c r="AF1513">
        <v>15.80522124</v>
      </c>
      <c r="AG1513">
        <v>4.1000000000000002E-2</v>
      </c>
      <c r="AH1513">
        <v>2.4E-2</v>
      </c>
      <c r="AI1513">
        <v>0.81200000000000006</v>
      </c>
      <c r="AJ1513">
        <v>2.1307142859999999</v>
      </c>
      <c r="AK1513">
        <v>8.6782112070000004</v>
      </c>
      <c r="AL1513">
        <v>1.6E-2</v>
      </c>
      <c r="AM1513">
        <v>1.6E-2</v>
      </c>
      <c r="AN1513">
        <v>0.90400000000000003</v>
      </c>
    </row>
    <row r="1514" spans="1:40">
      <c r="A1514">
        <v>3582</v>
      </c>
      <c r="B1514" t="s">
        <v>709</v>
      </c>
      <c r="C1514" t="s">
        <v>693</v>
      </c>
      <c r="D1514" t="s">
        <v>694</v>
      </c>
      <c r="E1514">
        <v>0</v>
      </c>
      <c r="F1514">
        <v>0</v>
      </c>
      <c r="G1514">
        <v>38.941987920000003</v>
      </c>
      <c r="H1514">
        <v>945</v>
      </c>
      <c r="I1514">
        <v>6.0867526999999998E-2</v>
      </c>
      <c r="J1514">
        <v>945</v>
      </c>
      <c r="K1514">
        <v>15525.51987</v>
      </c>
      <c r="L1514">
        <v>0.879</v>
      </c>
      <c r="M1514" s="515">
        <v>1</v>
      </c>
      <c r="N1514">
        <v>0</v>
      </c>
      <c r="O1514" t="s">
        <v>620</v>
      </c>
      <c r="P1514">
        <f t="shared" si="209"/>
        <v>15.20783439</v>
      </c>
      <c r="Q1514">
        <f t="shared" si="210"/>
        <v>2.1000000000000001E-2</v>
      </c>
      <c r="R1514">
        <f t="shared" si="211"/>
        <v>1.2999999999999999E-2</v>
      </c>
      <c r="S1514">
        <f t="shared" si="212"/>
        <v>0.879</v>
      </c>
      <c r="T1514">
        <f t="shared" si="213"/>
        <v>2.3325</v>
      </c>
      <c r="U1514">
        <f t="shared" si="214"/>
        <v>10.12925046</v>
      </c>
      <c r="V1514">
        <f t="shared" si="215"/>
        <v>2.9000000000000001E-2</v>
      </c>
      <c r="W1514">
        <f t="shared" si="216"/>
        <v>3.5000000000000003E-2</v>
      </c>
      <c r="X1514">
        <f t="shared" si="217"/>
        <v>0.92400000000000004</v>
      </c>
      <c r="Y1514">
        <v>79.160096350000003</v>
      </c>
      <c r="Z1514">
        <v>0</v>
      </c>
      <c r="AA1514">
        <v>56865</v>
      </c>
      <c r="AB1514">
        <v>22398</v>
      </c>
      <c r="AC1514">
        <v>1.1143686E-2</v>
      </c>
      <c r="AD1514">
        <v>0.81944707100000003</v>
      </c>
      <c r="AF1514">
        <v>15.20783439</v>
      </c>
      <c r="AG1514">
        <v>2.1000000000000001E-2</v>
      </c>
      <c r="AH1514">
        <v>1.2999999999999999E-2</v>
      </c>
      <c r="AI1514">
        <v>0.879</v>
      </c>
      <c r="AJ1514">
        <v>2.3325</v>
      </c>
      <c r="AK1514">
        <v>10.12925046</v>
      </c>
      <c r="AL1514">
        <v>2.9000000000000001E-2</v>
      </c>
      <c r="AM1514">
        <v>3.5000000000000003E-2</v>
      </c>
      <c r="AN1514">
        <v>0.92400000000000004</v>
      </c>
    </row>
    <row r="1515" spans="1:40">
      <c r="A1515">
        <v>3583</v>
      </c>
      <c r="B1515" t="s">
        <v>698</v>
      </c>
      <c r="C1515" t="s">
        <v>693</v>
      </c>
      <c r="D1515" t="s">
        <v>694</v>
      </c>
      <c r="E1515">
        <v>54</v>
      </c>
      <c r="F1515">
        <v>54</v>
      </c>
      <c r="G1515">
        <v>20.031444189999998</v>
      </c>
      <c r="H1515">
        <v>62</v>
      </c>
      <c r="I1515">
        <v>3.1308671000000003E-2</v>
      </c>
      <c r="J1515">
        <v>116</v>
      </c>
      <c r="K1515">
        <v>3705.0438840000002</v>
      </c>
      <c r="L1515">
        <v>0.94899999999999995</v>
      </c>
      <c r="M1515">
        <v>0.53448275899999997</v>
      </c>
      <c r="N1515">
        <v>0</v>
      </c>
      <c r="O1515" t="s">
        <v>620</v>
      </c>
      <c r="P1515">
        <f t="shared" si="209"/>
        <v>27.256250000000001</v>
      </c>
      <c r="Q1515">
        <f t="shared" si="210"/>
        <v>1.452380952380952E-2</v>
      </c>
      <c r="R1515">
        <f t="shared" si="211"/>
        <v>1.2999999999999999E-2</v>
      </c>
      <c r="S1515">
        <f t="shared" si="212"/>
        <v>0.94899999999999995</v>
      </c>
      <c r="T1515">
        <f t="shared" si="213"/>
        <v>2.71</v>
      </c>
      <c r="U1515">
        <f t="shared" si="214"/>
        <v>9.5758783780000005</v>
      </c>
      <c r="V1515">
        <f t="shared" si="215"/>
        <v>4.0705882352941189E-2</v>
      </c>
      <c r="W1515">
        <f t="shared" si="216"/>
        <v>5.2166666666666632E-2</v>
      </c>
      <c r="X1515">
        <f t="shared" si="217"/>
        <v>1</v>
      </c>
      <c r="Y1515">
        <v>113.6812157</v>
      </c>
      <c r="Z1515">
        <v>0</v>
      </c>
      <c r="AA1515">
        <v>88250</v>
      </c>
      <c r="AB1515">
        <v>31723</v>
      </c>
      <c r="AC1515">
        <v>1.0795895999999999E-2</v>
      </c>
      <c r="AD1515">
        <v>0.817760245</v>
      </c>
      <c r="AF1515">
        <v>27.256250000000001</v>
      </c>
      <c r="AG1515">
        <v>0</v>
      </c>
      <c r="AH1515">
        <v>1.2999999999999999E-2</v>
      </c>
      <c r="AI1515">
        <v>0.94899999999999995</v>
      </c>
      <c r="AJ1515">
        <v>2.71</v>
      </c>
      <c r="AK1515">
        <v>9.5758783780000005</v>
      </c>
      <c r="AL1515">
        <v>0</v>
      </c>
      <c r="AM1515">
        <v>0</v>
      </c>
      <c r="AN1515">
        <v>1</v>
      </c>
    </row>
    <row r="1516" spans="1:40">
      <c r="A1516">
        <v>3584</v>
      </c>
      <c r="B1516" t="s">
        <v>691</v>
      </c>
      <c r="C1516" t="s">
        <v>684</v>
      </c>
      <c r="D1516" t="s">
        <v>685</v>
      </c>
      <c r="E1516">
        <v>211</v>
      </c>
      <c r="F1516">
        <v>759</v>
      </c>
      <c r="G1516">
        <v>1361.420621</v>
      </c>
      <c r="H1516">
        <v>971</v>
      </c>
      <c r="I1516" s="515">
        <v>2.1280097150000001</v>
      </c>
      <c r="J1516">
        <v>1730</v>
      </c>
      <c r="K1516">
        <v>812.96621340000002</v>
      </c>
      <c r="L1516">
        <v>0.97799999999999998</v>
      </c>
      <c r="M1516">
        <v>0.82148900199999997</v>
      </c>
      <c r="N1516">
        <v>0</v>
      </c>
      <c r="O1516" t="s">
        <v>625</v>
      </c>
      <c r="P1516">
        <f t="shared" si="209"/>
        <v>19.148624999999999</v>
      </c>
      <c r="Q1516">
        <f t="shared" si="210"/>
        <v>1E-3</v>
      </c>
      <c r="R1516">
        <f t="shared" si="211"/>
        <v>1.2E-2</v>
      </c>
      <c r="S1516">
        <f t="shared" si="212"/>
        <v>0.97799999999999998</v>
      </c>
      <c r="T1516">
        <f t="shared" si="213"/>
        <v>3.4903333330000001</v>
      </c>
      <c r="U1516">
        <f t="shared" si="214"/>
        <v>11.904502369999999</v>
      </c>
      <c r="V1516">
        <f t="shared" si="215"/>
        <v>8.0000000000000002E-3</v>
      </c>
      <c r="W1516">
        <f t="shared" si="216"/>
        <v>8.0000000000000002E-3</v>
      </c>
      <c r="X1516">
        <f t="shared" si="217"/>
        <v>0.98399999999999999</v>
      </c>
      <c r="Y1516">
        <v>16.512049430000001</v>
      </c>
      <c r="Z1516">
        <v>0</v>
      </c>
      <c r="AA1516">
        <v>236250</v>
      </c>
      <c r="AB1516">
        <v>76158</v>
      </c>
      <c r="AC1516">
        <v>1.7652984E-2</v>
      </c>
      <c r="AD1516">
        <v>0.84750225300000004</v>
      </c>
      <c r="AF1516">
        <v>19.148624999999999</v>
      </c>
      <c r="AG1516">
        <v>1E-3</v>
      </c>
      <c r="AH1516">
        <v>1.2E-2</v>
      </c>
      <c r="AI1516">
        <v>0.97799999999999998</v>
      </c>
      <c r="AJ1516">
        <v>3.4903333330000001</v>
      </c>
      <c r="AK1516">
        <v>11.904502369999999</v>
      </c>
      <c r="AL1516">
        <v>8.0000000000000002E-3</v>
      </c>
      <c r="AM1516">
        <v>8.0000000000000002E-3</v>
      </c>
      <c r="AN1516">
        <v>0.98399999999999999</v>
      </c>
    </row>
    <row r="1517" spans="1:40">
      <c r="A1517">
        <v>3585</v>
      </c>
      <c r="B1517" t="s">
        <v>705</v>
      </c>
      <c r="C1517" t="s">
        <v>696</v>
      </c>
      <c r="D1517" t="s">
        <v>697</v>
      </c>
      <c r="E1517">
        <v>25</v>
      </c>
      <c r="F1517">
        <v>76</v>
      </c>
      <c r="G1517">
        <v>60.780717959999997</v>
      </c>
      <c r="H1517">
        <v>40</v>
      </c>
      <c r="I1517">
        <v>9.4998569000000005E-2</v>
      </c>
      <c r="J1517">
        <v>116</v>
      </c>
      <c r="K1517">
        <v>1221.071025</v>
      </c>
      <c r="L1517" s="515">
        <v>1</v>
      </c>
      <c r="M1517">
        <v>0.61538461499999997</v>
      </c>
      <c r="N1517">
        <v>0</v>
      </c>
      <c r="O1517" t="s">
        <v>625</v>
      </c>
      <c r="P1517">
        <f t="shared" si="209"/>
        <v>18.29</v>
      </c>
      <c r="Q1517">
        <f t="shared" si="210"/>
        <v>2.4977443609022529E-2</v>
      </c>
      <c r="R1517">
        <f t="shared" si="211"/>
        <v>2.1978417266187024E-2</v>
      </c>
      <c r="S1517">
        <f t="shared" si="212"/>
        <v>1</v>
      </c>
      <c r="T1517">
        <f t="shared" si="213"/>
        <v>2.2261777137338119</v>
      </c>
      <c r="U1517">
        <f t="shared" si="214"/>
        <v>11.529</v>
      </c>
      <c r="V1517">
        <f t="shared" si="215"/>
        <v>3.8837398373983721E-2</v>
      </c>
      <c r="W1517">
        <f t="shared" si="216"/>
        <v>8.6720930232558141E-2</v>
      </c>
      <c r="X1517">
        <f t="shared" si="217"/>
        <v>1</v>
      </c>
      <c r="Y1517">
        <v>4.9357803730000001</v>
      </c>
      <c r="Z1517">
        <v>0</v>
      </c>
      <c r="AA1517">
        <v>152832</v>
      </c>
      <c r="AB1517">
        <v>45686</v>
      </c>
      <c r="AC1517">
        <v>2.1596295000000001E-2</v>
      </c>
      <c r="AD1517">
        <v>0.84212384500000004</v>
      </c>
      <c r="AF1517">
        <v>18.29</v>
      </c>
      <c r="AG1517">
        <v>0</v>
      </c>
      <c r="AH1517">
        <v>0</v>
      </c>
      <c r="AI1517">
        <v>1</v>
      </c>
      <c r="AK1517">
        <v>11.529</v>
      </c>
      <c r="AL1517">
        <v>0</v>
      </c>
      <c r="AM1517">
        <v>0</v>
      </c>
      <c r="AN1517">
        <v>1</v>
      </c>
    </row>
    <row r="1518" spans="1:40">
      <c r="A1518">
        <v>3586</v>
      </c>
      <c r="B1518" t="s">
        <v>705</v>
      </c>
      <c r="C1518" t="s">
        <v>696</v>
      </c>
      <c r="D1518" t="s">
        <v>697</v>
      </c>
      <c r="E1518">
        <v>461</v>
      </c>
      <c r="F1518">
        <v>1603</v>
      </c>
      <c r="G1518">
        <v>312.23184279999998</v>
      </c>
      <c r="H1518">
        <v>148</v>
      </c>
      <c r="I1518">
        <v>0.48805349199999998</v>
      </c>
      <c r="J1518">
        <v>1751</v>
      </c>
      <c r="K1518">
        <v>3587.7214869999998</v>
      </c>
      <c r="L1518">
        <v>0.81599999999999995</v>
      </c>
      <c r="M1518">
        <v>0.243021346</v>
      </c>
      <c r="N1518">
        <v>1</v>
      </c>
      <c r="O1518" t="s">
        <v>620</v>
      </c>
      <c r="P1518">
        <f t="shared" si="209"/>
        <v>16.416031749999998</v>
      </c>
      <c r="Q1518">
        <f t="shared" si="210"/>
        <v>2.7E-2</v>
      </c>
      <c r="R1518">
        <f t="shared" si="211"/>
        <v>1.6E-2</v>
      </c>
      <c r="S1518">
        <f t="shared" si="212"/>
        <v>0.81599999999999995</v>
      </c>
      <c r="T1518">
        <f t="shared" si="213"/>
        <v>2.595789474</v>
      </c>
      <c r="U1518">
        <f t="shared" si="214"/>
        <v>7.3880546789999997</v>
      </c>
      <c r="V1518">
        <f t="shared" si="215"/>
        <v>3.8837398373983721E-2</v>
      </c>
      <c r="W1518">
        <f t="shared" si="216"/>
        <v>0.125</v>
      </c>
      <c r="X1518">
        <f t="shared" si="217"/>
        <v>0.875</v>
      </c>
      <c r="Y1518">
        <v>26.778222800000002</v>
      </c>
      <c r="Z1518">
        <v>0</v>
      </c>
      <c r="AA1518">
        <v>152832</v>
      </c>
      <c r="AB1518">
        <v>45686</v>
      </c>
      <c r="AC1518">
        <v>2.1596295000000001E-2</v>
      </c>
      <c r="AD1518">
        <v>0.84212384500000004</v>
      </c>
      <c r="AF1518">
        <v>16.416031749999998</v>
      </c>
      <c r="AG1518">
        <v>2.7E-2</v>
      </c>
      <c r="AH1518">
        <v>1.6E-2</v>
      </c>
      <c r="AI1518">
        <v>0.81599999999999995</v>
      </c>
      <c r="AJ1518">
        <v>2.595789474</v>
      </c>
      <c r="AK1518">
        <v>7.3880546789999997</v>
      </c>
      <c r="AL1518">
        <v>0</v>
      </c>
      <c r="AM1518">
        <v>0.125</v>
      </c>
      <c r="AN1518">
        <v>0.875</v>
      </c>
    </row>
    <row r="1519" spans="1:40">
      <c r="A1519">
        <v>3587</v>
      </c>
      <c r="B1519" t="s">
        <v>707</v>
      </c>
      <c r="C1519" t="s">
        <v>693</v>
      </c>
      <c r="D1519" t="s">
        <v>694</v>
      </c>
      <c r="E1519">
        <v>3</v>
      </c>
      <c r="F1519">
        <v>10</v>
      </c>
      <c r="G1519">
        <v>942.13978589999999</v>
      </c>
      <c r="H1519">
        <v>8</v>
      </c>
      <c r="I1519" s="515">
        <v>1.47265282051979</v>
      </c>
      <c r="J1519">
        <v>18</v>
      </c>
      <c r="K1519">
        <v>12.222840140000001</v>
      </c>
      <c r="L1519" s="515">
        <v>1</v>
      </c>
      <c r="M1519">
        <v>0.72727272700000001</v>
      </c>
      <c r="N1519">
        <v>0</v>
      </c>
      <c r="O1519" t="s">
        <v>625</v>
      </c>
      <c r="P1519">
        <f t="shared" si="209"/>
        <v>14.6</v>
      </c>
      <c r="Q1519">
        <f t="shared" si="210"/>
        <v>2.0450000000000006E-2</v>
      </c>
      <c r="R1519">
        <f t="shared" si="211"/>
        <v>7.2846153846153852E-2</v>
      </c>
      <c r="S1519">
        <f t="shared" si="212"/>
        <v>1</v>
      </c>
      <c r="T1519">
        <f t="shared" si="213"/>
        <v>2.2191326312692303</v>
      </c>
      <c r="U1519">
        <f t="shared" si="214"/>
        <v>7.3689999999999998</v>
      </c>
      <c r="V1519">
        <f t="shared" si="215"/>
        <v>0.11835714285714286</v>
      </c>
      <c r="W1519">
        <f t="shared" si="216"/>
        <v>8.5526315789473686E-2</v>
      </c>
      <c r="X1519">
        <f t="shared" si="217"/>
        <v>1</v>
      </c>
      <c r="Y1519">
        <v>0.70208917699999995</v>
      </c>
      <c r="Z1519">
        <v>0</v>
      </c>
      <c r="AA1519">
        <v>21149</v>
      </c>
      <c r="AB1519">
        <v>6968</v>
      </c>
      <c r="AC1519">
        <v>1.6645858999999999E-2</v>
      </c>
      <c r="AD1519">
        <v>0.89069218999999999</v>
      </c>
      <c r="AF1519">
        <v>14.6</v>
      </c>
      <c r="AG1519">
        <v>0</v>
      </c>
      <c r="AH1519">
        <v>0</v>
      </c>
      <c r="AI1519">
        <v>1</v>
      </c>
      <c r="AK1519">
        <v>7.3689999999999998</v>
      </c>
      <c r="AL1519">
        <v>0</v>
      </c>
      <c r="AM1519">
        <v>0</v>
      </c>
      <c r="AN1519">
        <v>1</v>
      </c>
    </row>
    <row r="1520" spans="1:40">
      <c r="A1520">
        <v>3588</v>
      </c>
      <c r="B1520" t="s">
        <v>707</v>
      </c>
      <c r="C1520" t="s">
        <v>693</v>
      </c>
      <c r="D1520" t="s">
        <v>694</v>
      </c>
      <c r="E1520">
        <v>14</v>
      </c>
      <c r="F1520">
        <v>47</v>
      </c>
      <c r="G1520">
        <v>148.08755590000001</v>
      </c>
      <c r="H1520">
        <v>1</v>
      </c>
      <c r="I1520">
        <v>0.23147308599999999</v>
      </c>
      <c r="J1520">
        <v>48</v>
      </c>
      <c r="K1520">
        <v>207.36752089999999</v>
      </c>
      <c r="L1520">
        <v>0.92</v>
      </c>
      <c r="M1520">
        <v>6.6666666999999999E-2</v>
      </c>
      <c r="N1520">
        <v>0</v>
      </c>
      <c r="O1520" t="s">
        <v>625</v>
      </c>
      <c r="P1520">
        <f t="shared" si="209"/>
        <v>23.806666669999998</v>
      </c>
      <c r="Q1520">
        <f t="shared" si="210"/>
        <v>2.0450000000000006E-2</v>
      </c>
      <c r="R1520">
        <f t="shared" si="211"/>
        <v>0.04</v>
      </c>
      <c r="S1520">
        <f t="shared" si="212"/>
        <v>0.92</v>
      </c>
      <c r="T1520">
        <f t="shared" si="213"/>
        <v>1.7450000000000001</v>
      </c>
      <c r="U1520">
        <f t="shared" si="214"/>
        <v>16.19761905</v>
      </c>
      <c r="V1520">
        <f t="shared" si="215"/>
        <v>0.11835714285714286</v>
      </c>
      <c r="W1520">
        <f t="shared" si="216"/>
        <v>8.5526315789473686E-2</v>
      </c>
      <c r="X1520">
        <f t="shared" si="217"/>
        <v>1</v>
      </c>
      <c r="Y1520">
        <v>12.06237439</v>
      </c>
      <c r="Z1520">
        <v>0</v>
      </c>
      <c r="AA1520">
        <v>21149</v>
      </c>
      <c r="AB1520">
        <v>6968</v>
      </c>
      <c r="AC1520">
        <v>1.6645858999999999E-2</v>
      </c>
      <c r="AD1520">
        <v>0.89069218999999999</v>
      </c>
      <c r="AF1520">
        <v>23.806666669999998</v>
      </c>
      <c r="AG1520">
        <v>0</v>
      </c>
      <c r="AH1520">
        <v>0.04</v>
      </c>
      <c r="AI1520">
        <v>0.92</v>
      </c>
      <c r="AJ1520">
        <v>1.7450000000000001</v>
      </c>
      <c r="AK1520">
        <v>16.19761905</v>
      </c>
      <c r="AL1520">
        <v>0</v>
      </c>
      <c r="AM1520">
        <v>0</v>
      </c>
      <c r="AN1520">
        <v>1</v>
      </c>
    </row>
    <row r="1521" spans="1:40">
      <c r="A1521">
        <v>3589</v>
      </c>
      <c r="B1521" t="s">
        <v>698</v>
      </c>
      <c r="C1521" t="s">
        <v>693</v>
      </c>
      <c r="D1521" t="s">
        <v>694</v>
      </c>
      <c r="E1521">
        <v>88</v>
      </c>
      <c r="F1521">
        <v>241</v>
      </c>
      <c r="G1521">
        <v>64.935195359999994</v>
      </c>
      <c r="H1521">
        <v>469</v>
      </c>
      <c r="I1521">
        <v>0.10149820699999999</v>
      </c>
      <c r="J1521">
        <v>710</v>
      </c>
      <c r="K1521">
        <v>6995.1974620000001</v>
      </c>
      <c r="L1521">
        <v>0.77900000000000003</v>
      </c>
      <c r="M1521">
        <v>0.84201077199999996</v>
      </c>
      <c r="N1521">
        <v>0</v>
      </c>
      <c r="O1521" t="s">
        <v>620</v>
      </c>
      <c r="P1521">
        <f t="shared" si="209"/>
        <v>13.623749999999999</v>
      </c>
      <c r="Q1521">
        <f t="shared" si="210"/>
        <v>1.0999999999999999E-2</v>
      </c>
      <c r="R1521">
        <f t="shared" si="211"/>
        <v>4.8000000000000001E-2</v>
      </c>
      <c r="S1521">
        <f t="shared" si="212"/>
        <v>0.77900000000000003</v>
      </c>
      <c r="T1521">
        <f t="shared" si="213"/>
        <v>1.695454545</v>
      </c>
      <c r="U1521">
        <f t="shared" si="214"/>
        <v>7.6450882350000002</v>
      </c>
      <c r="V1521">
        <f t="shared" si="215"/>
        <v>0.108</v>
      </c>
      <c r="W1521">
        <f t="shared" si="216"/>
        <v>5.2166666666666632E-2</v>
      </c>
      <c r="X1521">
        <f t="shared" si="217"/>
        <v>0.86699999999999999</v>
      </c>
      <c r="Y1521">
        <v>146.00390160000001</v>
      </c>
      <c r="Z1521">
        <v>0</v>
      </c>
      <c r="AA1521">
        <v>88250</v>
      </c>
      <c r="AB1521">
        <v>31723</v>
      </c>
      <c r="AC1521">
        <v>1.0795895999999999E-2</v>
      </c>
      <c r="AD1521">
        <v>0.817760245</v>
      </c>
      <c r="AF1521">
        <v>13.623749999999999</v>
      </c>
      <c r="AG1521">
        <v>1.0999999999999999E-2</v>
      </c>
      <c r="AH1521">
        <v>4.8000000000000001E-2</v>
      </c>
      <c r="AI1521">
        <v>0.77900000000000003</v>
      </c>
      <c r="AJ1521">
        <v>1.695454545</v>
      </c>
      <c r="AK1521">
        <v>7.6450882350000002</v>
      </c>
      <c r="AL1521">
        <v>0.108</v>
      </c>
      <c r="AM1521">
        <v>0</v>
      </c>
      <c r="AN1521">
        <v>0.86699999999999999</v>
      </c>
    </row>
    <row r="1522" spans="1:40">
      <c r="A1522">
        <v>3590</v>
      </c>
      <c r="B1522" t="s">
        <v>707</v>
      </c>
      <c r="C1522" t="s">
        <v>693</v>
      </c>
      <c r="D1522" t="s">
        <v>694</v>
      </c>
      <c r="E1522">
        <v>1</v>
      </c>
      <c r="F1522">
        <v>1</v>
      </c>
      <c r="G1522">
        <v>32.24662249</v>
      </c>
      <c r="H1522">
        <v>12</v>
      </c>
      <c r="I1522">
        <v>5.0402849999999999E-2</v>
      </c>
      <c r="J1522">
        <v>13</v>
      </c>
      <c r="K1522">
        <v>257.92192310000001</v>
      </c>
      <c r="L1522">
        <v>0.75</v>
      </c>
      <c r="M1522">
        <v>0.92307692299999999</v>
      </c>
      <c r="N1522">
        <v>0</v>
      </c>
      <c r="O1522" t="s">
        <v>625</v>
      </c>
      <c r="P1522">
        <f t="shared" si="209"/>
        <v>21.61</v>
      </c>
      <c r="Q1522">
        <f t="shared" si="210"/>
        <v>2.0450000000000006E-2</v>
      </c>
      <c r="R1522">
        <f t="shared" si="211"/>
        <v>0.125</v>
      </c>
      <c r="S1522">
        <f t="shared" si="212"/>
        <v>0.75</v>
      </c>
      <c r="T1522">
        <f t="shared" si="213"/>
        <v>0.53</v>
      </c>
      <c r="U1522">
        <f t="shared" si="214"/>
        <v>9.0416666669999994</v>
      </c>
      <c r="V1522">
        <f t="shared" si="215"/>
        <v>0.11835714285714286</v>
      </c>
      <c r="W1522">
        <f t="shared" si="216"/>
        <v>8.5526315789473686E-2</v>
      </c>
      <c r="X1522">
        <f t="shared" si="217"/>
        <v>1</v>
      </c>
      <c r="Y1522">
        <v>60.625877289999998</v>
      </c>
      <c r="Z1522">
        <v>0</v>
      </c>
      <c r="AA1522">
        <v>21149</v>
      </c>
      <c r="AB1522">
        <v>6968</v>
      </c>
      <c r="AC1522">
        <v>1.6645858999999999E-2</v>
      </c>
      <c r="AD1522">
        <v>0.89069218999999999</v>
      </c>
      <c r="AF1522">
        <v>21.61</v>
      </c>
      <c r="AG1522">
        <v>0</v>
      </c>
      <c r="AH1522">
        <v>0.125</v>
      </c>
      <c r="AI1522">
        <v>0.75</v>
      </c>
      <c r="AJ1522">
        <v>0.53</v>
      </c>
      <c r="AK1522">
        <v>9.0416666669999994</v>
      </c>
      <c r="AL1522">
        <v>0</v>
      </c>
      <c r="AM1522">
        <v>0</v>
      </c>
      <c r="AN1522">
        <v>1</v>
      </c>
    </row>
    <row r="1523" spans="1:40">
      <c r="A1523">
        <v>3591</v>
      </c>
      <c r="B1523" t="s">
        <v>707</v>
      </c>
      <c r="C1523" t="s">
        <v>693</v>
      </c>
      <c r="D1523" t="s">
        <v>694</v>
      </c>
      <c r="E1523">
        <v>5</v>
      </c>
      <c r="F1523">
        <v>15</v>
      </c>
      <c r="G1523">
        <v>715.79942459999995</v>
      </c>
      <c r="H1523">
        <v>4</v>
      </c>
      <c r="I1523" s="515">
        <v>1.1188631565838101</v>
      </c>
      <c r="J1523">
        <v>19</v>
      </c>
      <c r="K1523">
        <v>16.98152262</v>
      </c>
      <c r="L1523"/>
      <c r="M1523">
        <v>0.44444444399999999</v>
      </c>
      <c r="N1523">
        <v>0</v>
      </c>
      <c r="O1523" t="s">
        <v>625</v>
      </c>
      <c r="P1523">
        <f t="shared" si="209"/>
        <v>18.273803565652177</v>
      </c>
      <c r="Q1523">
        <f t="shared" si="210"/>
        <v>2.0450000000000006E-2</v>
      </c>
      <c r="R1523">
        <f t="shared" si="211"/>
        <v>7.2846153846153852E-2</v>
      </c>
      <c r="S1523">
        <f t="shared" si="212"/>
        <v>0.9342307692307692</v>
      </c>
      <c r="T1523">
        <f t="shared" si="213"/>
        <v>2.2191326312692303</v>
      </c>
      <c r="U1523">
        <f t="shared" si="214"/>
        <v>11.877651061423077</v>
      </c>
      <c r="V1523">
        <f t="shared" si="215"/>
        <v>0.11835714285714286</v>
      </c>
      <c r="W1523">
        <f t="shared" si="216"/>
        <v>8.5526315789473686E-2</v>
      </c>
      <c r="X1523">
        <f t="shared" si="217"/>
        <v>0.94647826086956499</v>
      </c>
      <c r="Y1523">
        <v>8.1169103640000007</v>
      </c>
      <c r="Z1523">
        <v>0</v>
      </c>
      <c r="AA1523">
        <v>21149</v>
      </c>
      <c r="AB1523">
        <v>6968</v>
      </c>
      <c r="AC1523">
        <v>1.6645858999999999E-2</v>
      </c>
      <c r="AD1523">
        <v>0.89069218999999999</v>
      </c>
    </row>
    <row r="1524" spans="1:40">
      <c r="A1524">
        <v>3592</v>
      </c>
      <c r="B1524" t="s">
        <v>707</v>
      </c>
      <c r="C1524" t="s">
        <v>693</v>
      </c>
      <c r="D1524" t="s">
        <v>694</v>
      </c>
      <c r="E1524">
        <v>0</v>
      </c>
      <c r="F1524">
        <v>0</v>
      </c>
      <c r="G1524">
        <v>468.94254030000002</v>
      </c>
      <c r="H1524">
        <v>3</v>
      </c>
      <c r="I1524">
        <v>0.73300018300000003</v>
      </c>
      <c r="J1524">
        <v>3</v>
      </c>
      <c r="K1524">
        <v>4.0927684190000004</v>
      </c>
      <c r="L1524" s="515">
        <v>1</v>
      </c>
      <c r="M1524" s="515">
        <v>1</v>
      </c>
      <c r="N1524">
        <v>0</v>
      </c>
      <c r="O1524" t="s">
        <v>625</v>
      </c>
      <c r="P1524">
        <f t="shared" si="209"/>
        <v>26.32</v>
      </c>
      <c r="Q1524">
        <f t="shared" si="210"/>
        <v>2.0450000000000006E-2</v>
      </c>
      <c r="R1524">
        <f t="shared" si="211"/>
        <v>7.2846153846153852E-2</v>
      </c>
      <c r="S1524">
        <f t="shared" si="212"/>
        <v>1</v>
      </c>
      <c r="T1524">
        <f t="shared" si="213"/>
        <v>2.2191326312692303</v>
      </c>
      <c r="U1524">
        <f t="shared" si="214"/>
        <v>15.7775</v>
      </c>
      <c r="V1524">
        <f t="shared" si="215"/>
        <v>0.11835714285714286</v>
      </c>
      <c r="W1524">
        <f t="shared" si="216"/>
        <v>8.5526315789473686E-2</v>
      </c>
      <c r="X1524">
        <f t="shared" si="217"/>
        <v>1</v>
      </c>
      <c r="Y1524">
        <v>8.1169103640000007</v>
      </c>
      <c r="Z1524">
        <v>0</v>
      </c>
      <c r="AA1524">
        <v>21149</v>
      </c>
      <c r="AB1524">
        <v>6968</v>
      </c>
      <c r="AC1524">
        <v>1.6645858999999999E-2</v>
      </c>
      <c r="AD1524">
        <v>0.89069218999999999</v>
      </c>
      <c r="AF1524">
        <v>26.32</v>
      </c>
      <c r="AG1524">
        <v>0</v>
      </c>
      <c r="AH1524">
        <v>0</v>
      </c>
      <c r="AI1524">
        <v>1</v>
      </c>
      <c r="AK1524">
        <v>15.7775</v>
      </c>
      <c r="AL1524">
        <v>0</v>
      </c>
      <c r="AM1524">
        <v>0</v>
      </c>
      <c r="AN1524">
        <v>1</v>
      </c>
    </row>
    <row r="1525" spans="1:40">
      <c r="A1525">
        <v>3593</v>
      </c>
      <c r="B1525" t="s">
        <v>707</v>
      </c>
      <c r="C1525" t="s">
        <v>693</v>
      </c>
      <c r="D1525" t="s">
        <v>694</v>
      </c>
      <c r="E1525">
        <v>7</v>
      </c>
      <c r="F1525">
        <v>21</v>
      </c>
      <c r="G1525">
        <v>1635.163628</v>
      </c>
      <c r="H1525">
        <v>11</v>
      </c>
      <c r="I1525" s="515">
        <v>2.5559747390540402</v>
      </c>
      <c r="J1525">
        <v>32</v>
      </c>
      <c r="K1525">
        <v>12.51968555</v>
      </c>
      <c r="L1525" s="515">
        <v>1</v>
      </c>
      <c r="M1525">
        <v>0.61111111100000004</v>
      </c>
      <c r="N1525">
        <v>0</v>
      </c>
      <c r="O1525" t="s">
        <v>625</v>
      </c>
      <c r="P1525">
        <f t="shared" si="209"/>
        <v>17.313333329999999</v>
      </c>
      <c r="Q1525">
        <f t="shared" si="210"/>
        <v>2.0450000000000006E-2</v>
      </c>
      <c r="R1525">
        <f t="shared" si="211"/>
        <v>7.2846153846153852E-2</v>
      </c>
      <c r="S1525">
        <f t="shared" si="212"/>
        <v>1</v>
      </c>
      <c r="T1525">
        <f t="shared" si="213"/>
        <v>2.2191326312692303</v>
      </c>
      <c r="U1525">
        <f t="shared" si="214"/>
        <v>15.08</v>
      </c>
      <c r="V1525">
        <f t="shared" si="215"/>
        <v>0.11835714285714286</v>
      </c>
      <c r="W1525">
        <f t="shared" si="216"/>
        <v>8.5526315789473686E-2</v>
      </c>
      <c r="X1525">
        <f t="shared" si="217"/>
        <v>1</v>
      </c>
      <c r="Y1525">
        <v>8.0751065139999998</v>
      </c>
      <c r="Z1525">
        <v>0</v>
      </c>
      <c r="AA1525">
        <v>21149</v>
      </c>
      <c r="AB1525">
        <v>6968</v>
      </c>
      <c r="AC1525">
        <v>1.6645858999999999E-2</v>
      </c>
      <c r="AD1525">
        <v>0.89069218999999999</v>
      </c>
      <c r="AF1525">
        <v>17.313333329999999</v>
      </c>
      <c r="AG1525">
        <v>0</v>
      </c>
      <c r="AH1525">
        <v>0</v>
      </c>
      <c r="AI1525">
        <v>1</v>
      </c>
      <c r="AK1525">
        <v>15.08</v>
      </c>
      <c r="AL1525">
        <v>0</v>
      </c>
      <c r="AM1525">
        <v>0</v>
      </c>
      <c r="AN1525">
        <v>1</v>
      </c>
    </row>
    <row r="1526" spans="1:40">
      <c r="A1526">
        <v>3594</v>
      </c>
      <c r="B1526" t="s">
        <v>692</v>
      </c>
      <c r="C1526" t="s">
        <v>693</v>
      </c>
      <c r="D1526" t="s">
        <v>694</v>
      </c>
      <c r="E1526">
        <v>128</v>
      </c>
      <c r="F1526">
        <v>359</v>
      </c>
      <c r="G1526">
        <v>415.28263829999997</v>
      </c>
      <c r="H1526">
        <v>18</v>
      </c>
      <c r="I1526">
        <v>0.64913680900000004</v>
      </c>
      <c r="J1526">
        <v>377</v>
      </c>
      <c r="K1526">
        <v>580.77125620000004</v>
      </c>
      <c r="L1526">
        <v>0.94099999999999995</v>
      </c>
      <c r="M1526">
        <v>0.123287671</v>
      </c>
      <c r="N1526">
        <v>0</v>
      </c>
      <c r="O1526" t="s">
        <v>625</v>
      </c>
      <c r="P1526">
        <f t="shared" si="209"/>
        <v>18.21941176</v>
      </c>
      <c r="Q1526">
        <f t="shared" si="210"/>
        <v>1.2828282828282822E-2</v>
      </c>
      <c r="R1526">
        <f t="shared" si="211"/>
        <v>2.5999999999999999E-2</v>
      </c>
      <c r="S1526">
        <f t="shared" si="212"/>
        <v>0.94099999999999995</v>
      </c>
      <c r="T1526">
        <f t="shared" si="213"/>
        <v>1.72</v>
      </c>
      <c r="U1526">
        <f t="shared" si="214"/>
        <v>9.2643884889999999</v>
      </c>
      <c r="V1526">
        <f t="shared" si="215"/>
        <v>4.1084210526315765E-2</v>
      </c>
      <c r="W1526">
        <f t="shared" si="216"/>
        <v>4.7929411764705873E-2</v>
      </c>
      <c r="X1526">
        <f t="shared" si="217"/>
        <v>1</v>
      </c>
      <c r="Y1526">
        <v>8.4844418489999995</v>
      </c>
      <c r="Z1526">
        <v>0</v>
      </c>
      <c r="AA1526">
        <v>77808</v>
      </c>
      <c r="AB1526">
        <v>27489</v>
      </c>
      <c r="AC1526">
        <v>1.1225541E-2</v>
      </c>
      <c r="AD1526">
        <v>0.835708267</v>
      </c>
      <c r="AF1526">
        <v>18.21941176</v>
      </c>
      <c r="AG1526">
        <v>0</v>
      </c>
      <c r="AH1526">
        <v>2.5999999999999999E-2</v>
      </c>
      <c r="AI1526">
        <v>0.94099999999999995</v>
      </c>
      <c r="AJ1526">
        <v>1.72</v>
      </c>
      <c r="AK1526">
        <v>9.2643884889999999</v>
      </c>
      <c r="AL1526">
        <v>0</v>
      </c>
      <c r="AM1526">
        <v>0</v>
      </c>
      <c r="AN1526">
        <v>1</v>
      </c>
    </row>
    <row r="1527" spans="1:40">
      <c r="A1527">
        <v>3595</v>
      </c>
      <c r="B1527" t="s">
        <v>707</v>
      </c>
      <c r="C1527" t="s">
        <v>693</v>
      </c>
      <c r="D1527" t="s">
        <v>694</v>
      </c>
      <c r="E1527">
        <v>2</v>
      </c>
      <c r="F1527">
        <v>2</v>
      </c>
      <c r="G1527">
        <v>538.09688240000003</v>
      </c>
      <c r="H1527">
        <v>3</v>
      </c>
      <c r="I1527">
        <v>0.84109780199999995</v>
      </c>
      <c r="J1527">
        <v>5</v>
      </c>
      <c r="K1527">
        <v>5.9446118969999997</v>
      </c>
      <c r="L1527"/>
      <c r="M1527">
        <v>0.6</v>
      </c>
      <c r="N1527">
        <v>0</v>
      </c>
      <c r="O1527" t="s">
        <v>625</v>
      </c>
      <c r="P1527">
        <f t="shared" si="209"/>
        <v>18.273803565652177</v>
      </c>
      <c r="Q1527">
        <f t="shared" si="210"/>
        <v>2.0450000000000006E-2</v>
      </c>
      <c r="R1527">
        <f t="shared" si="211"/>
        <v>7.2846153846153852E-2</v>
      </c>
      <c r="S1527">
        <f t="shared" si="212"/>
        <v>0.9342307692307692</v>
      </c>
      <c r="T1527">
        <f t="shared" si="213"/>
        <v>2.2191326312692303</v>
      </c>
      <c r="U1527">
        <f t="shared" si="214"/>
        <v>11.877651061423077</v>
      </c>
      <c r="V1527">
        <f t="shared" si="215"/>
        <v>0.11835714285714286</v>
      </c>
      <c r="W1527">
        <f t="shared" si="216"/>
        <v>8.5526315789473686E-2</v>
      </c>
      <c r="X1527">
        <f t="shared" si="217"/>
        <v>0.94647826086956499</v>
      </c>
      <c r="Y1527">
        <v>11.81423446</v>
      </c>
      <c r="Z1527">
        <v>0</v>
      </c>
      <c r="AA1527">
        <v>21149</v>
      </c>
      <c r="AB1527">
        <v>6968</v>
      </c>
      <c r="AC1527">
        <v>1.6645858999999999E-2</v>
      </c>
      <c r="AD1527">
        <v>0.89069218999999999</v>
      </c>
    </row>
    <row r="1528" spans="1:40">
      <c r="A1528">
        <v>3596</v>
      </c>
      <c r="B1528" t="s">
        <v>698</v>
      </c>
      <c r="C1528" t="s">
        <v>693</v>
      </c>
      <c r="D1528" t="s">
        <v>694</v>
      </c>
      <c r="E1528">
        <v>25</v>
      </c>
      <c r="F1528">
        <v>52</v>
      </c>
      <c r="G1528">
        <v>7.8683213030000001</v>
      </c>
      <c r="H1528">
        <v>6</v>
      </c>
      <c r="I1528">
        <v>1.2297084E-2</v>
      </c>
      <c r="J1528">
        <v>58</v>
      </c>
      <c r="K1528">
        <v>4716.5653259999999</v>
      </c>
      <c r="L1528">
        <v>0.68200000000000005</v>
      </c>
      <c r="M1528">
        <v>0.19354838699999999</v>
      </c>
      <c r="N1528">
        <v>0</v>
      </c>
      <c r="O1528" t="s">
        <v>620</v>
      </c>
      <c r="P1528">
        <f t="shared" si="209"/>
        <v>26.56</v>
      </c>
      <c r="Q1528">
        <f t="shared" si="210"/>
        <v>6.8000000000000005E-2</v>
      </c>
      <c r="R1528">
        <f t="shared" si="211"/>
        <v>2.0178861788617868E-2</v>
      </c>
      <c r="S1528">
        <f t="shared" si="212"/>
        <v>0.68200000000000005</v>
      </c>
      <c r="T1528">
        <f t="shared" si="213"/>
        <v>2.0047367888780485</v>
      </c>
      <c r="U1528">
        <f t="shared" si="214"/>
        <v>5.4937500000000004</v>
      </c>
      <c r="V1528">
        <f t="shared" si="215"/>
        <v>4.0705882352941189E-2</v>
      </c>
      <c r="W1528">
        <f t="shared" si="216"/>
        <v>0.5</v>
      </c>
      <c r="X1528">
        <f t="shared" si="217"/>
        <v>0.5</v>
      </c>
      <c r="Y1528">
        <v>117.6977449</v>
      </c>
      <c r="Z1528">
        <v>0</v>
      </c>
      <c r="AA1528">
        <v>88250</v>
      </c>
      <c r="AB1528">
        <v>31723</v>
      </c>
      <c r="AC1528">
        <v>1.0795895999999999E-2</v>
      </c>
      <c r="AD1528">
        <v>0.817760245</v>
      </c>
      <c r="AF1528">
        <v>26.56</v>
      </c>
      <c r="AG1528">
        <v>6.8000000000000005E-2</v>
      </c>
      <c r="AH1528">
        <v>0</v>
      </c>
      <c r="AI1528">
        <v>0.68200000000000005</v>
      </c>
      <c r="AK1528">
        <v>5.4937500000000004</v>
      </c>
      <c r="AL1528">
        <v>0</v>
      </c>
      <c r="AM1528">
        <v>0.5</v>
      </c>
      <c r="AN1528">
        <v>0.5</v>
      </c>
    </row>
    <row r="1529" spans="1:40">
      <c r="A1529">
        <v>3597</v>
      </c>
      <c r="B1529" t="s">
        <v>698</v>
      </c>
      <c r="C1529" t="s">
        <v>693</v>
      </c>
      <c r="D1529" t="s">
        <v>694</v>
      </c>
      <c r="E1529">
        <v>93</v>
      </c>
      <c r="F1529">
        <v>261</v>
      </c>
      <c r="G1529">
        <v>23.374138030000001</v>
      </c>
      <c r="H1529">
        <v>6</v>
      </c>
      <c r="I1529">
        <v>3.6535506000000002E-2</v>
      </c>
      <c r="J1529">
        <v>267</v>
      </c>
      <c r="K1529">
        <v>7307.9595499999996</v>
      </c>
      <c r="L1529">
        <v>0.82399999999999995</v>
      </c>
      <c r="M1529">
        <v>6.0606061000000003E-2</v>
      </c>
      <c r="N1529">
        <v>0</v>
      </c>
      <c r="O1529" t="s">
        <v>620</v>
      </c>
      <c r="P1529">
        <f t="shared" si="209"/>
        <v>23.382142859999998</v>
      </c>
      <c r="Q1529">
        <f t="shared" si="210"/>
        <v>2.9000000000000001E-2</v>
      </c>
      <c r="R1529">
        <f t="shared" si="211"/>
        <v>2.0178861788617868E-2</v>
      </c>
      <c r="S1529">
        <f t="shared" si="212"/>
        <v>0.82399999999999995</v>
      </c>
      <c r="T1529">
        <f t="shared" si="213"/>
        <v>2.0047367888780485</v>
      </c>
      <c r="U1529">
        <f t="shared" si="214"/>
        <v>7.3585714290000004</v>
      </c>
      <c r="V1529">
        <f t="shared" si="215"/>
        <v>4.0705882352941189E-2</v>
      </c>
      <c r="W1529">
        <f t="shared" si="216"/>
        <v>5.2166666666666632E-2</v>
      </c>
      <c r="X1529">
        <f t="shared" si="217"/>
        <v>1</v>
      </c>
      <c r="Y1529">
        <v>118.2559316</v>
      </c>
      <c r="Z1529">
        <v>0</v>
      </c>
      <c r="AA1529">
        <v>88250</v>
      </c>
      <c r="AB1529">
        <v>31723</v>
      </c>
      <c r="AC1529">
        <v>1.0795895999999999E-2</v>
      </c>
      <c r="AD1529">
        <v>0.817760245</v>
      </c>
      <c r="AF1529">
        <v>23.382142859999998</v>
      </c>
      <c r="AG1529">
        <v>2.9000000000000001E-2</v>
      </c>
      <c r="AH1529">
        <v>0</v>
      </c>
      <c r="AI1529">
        <v>0.82399999999999995</v>
      </c>
      <c r="AK1529">
        <v>7.3585714290000004</v>
      </c>
      <c r="AL1529">
        <v>0</v>
      </c>
      <c r="AM1529">
        <v>0</v>
      </c>
      <c r="AN1529">
        <v>1</v>
      </c>
    </row>
    <row r="1530" spans="1:40">
      <c r="A1530">
        <v>3598</v>
      </c>
      <c r="B1530" t="s">
        <v>709</v>
      </c>
      <c r="C1530" t="s">
        <v>693</v>
      </c>
      <c r="D1530" t="s">
        <v>694</v>
      </c>
      <c r="E1530">
        <v>46</v>
      </c>
      <c r="F1530">
        <v>46</v>
      </c>
      <c r="G1530">
        <v>19.041759339999999</v>
      </c>
      <c r="H1530">
        <v>0</v>
      </c>
      <c r="I1530">
        <v>2.9762924999999999E-2</v>
      </c>
      <c r="J1530">
        <v>46</v>
      </c>
      <c r="K1530">
        <v>1545.5470190000001</v>
      </c>
      <c r="L1530">
        <v>0.78900000000000003</v>
      </c>
      <c r="M1530">
        <v>0</v>
      </c>
      <c r="N1530">
        <v>0</v>
      </c>
      <c r="O1530" t="s">
        <v>625</v>
      </c>
      <c r="P1530">
        <f t="shared" si="209"/>
        <v>15.512410047246915</v>
      </c>
      <c r="Q1530">
        <f t="shared" si="210"/>
        <v>5.2999999999999999E-2</v>
      </c>
      <c r="R1530">
        <f t="shared" si="211"/>
        <v>0.105</v>
      </c>
      <c r="S1530">
        <f t="shared" si="212"/>
        <v>0.78900000000000003</v>
      </c>
      <c r="T1530">
        <f t="shared" si="213"/>
        <v>1.6575</v>
      </c>
      <c r="U1530">
        <f t="shared" si="214"/>
        <v>5.2823333330000004</v>
      </c>
      <c r="V1530">
        <f t="shared" si="215"/>
        <v>4.6644067796610157E-2</v>
      </c>
      <c r="W1530">
        <f t="shared" si="216"/>
        <v>5.1076923076923055E-2</v>
      </c>
      <c r="X1530">
        <f t="shared" si="217"/>
        <v>0.89225925925925942</v>
      </c>
      <c r="Y1530">
        <v>34.592856140000002</v>
      </c>
      <c r="Z1530">
        <v>0</v>
      </c>
      <c r="AA1530">
        <v>56865</v>
      </c>
      <c r="AB1530">
        <v>22398</v>
      </c>
      <c r="AC1530">
        <v>1.1143686E-2</v>
      </c>
      <c r="AD1530">
        <v>0.81944707100000003</v>
      </c>
      <c r="AG1530">
        <v>5.2999999999999999E-2</v>
      </c>
      <c r="AH1530">
        <v>0.105</v>
      </c>
      <c r="AI1530">
        <v>0.78900000000000003</v>
      </c>
      <c r="AJ1530">
        <v>1.6575</v>
      </c>
      <c r="AK1530">
        <v>5.2823333330000004</v>
      </c>
    </row>
    <row r="1531" spans="1:40">
      <c r="A1531">
        <v>3599</v>
      </c>
      <c r="B1531" t="s">
        <v>709</v>
      </c>
      <c r="C1531" t="s">
        <v>693</v>
      </c>
      <c r="D1531" t="s">
        <v>694</v>
      </c>
      <c r="E1531">
        <v>0</v>
      </c>
      <c r="F1531">
        <v>0</v>
      </c>
      <c r="G1531">
        <v>21.224161389999999</v>
      </c>
      <c r="H1531">
        <v>0</v>
      </c>
      <c r="I1531">
        <v>3.3178488999999999E-2</v>
      </c>
      <c r="J1531">
        <v>0</v>
      </c>
      <c r="K1531">
        <v>0</v>
      </c>
      <c r="L1531"/>
      <c r="M1531">
        <v>0</v>
      </c>
      <c r="N1531">
        <v>0</v>
      </c>
      <c r="O1531" t="s">
        <v>625</v>
      </c>
      <c r="P1531">
        <f t="shared" si="209"/>
        <v>15.512410047246915</v>
      </c>
      <c r="Q1531">
        <f t="shared" si="210"/>
        <v>1.5184210526315797E-2</v>
      </c>
      <c r="R1531">
        <f t="shared" si="211"/>
        <v>2.3696202531645567E-2</v>
      </c>
      <c r="S1531">
        <f t="shared" si="212"/>
        <v>0.82278823529411782</v>
      </c>
      <c r="T1531">
        <f t="shared" si="213"/>
        <v>2.2169408982405066</v>
      </c>
      <c r="U1531">
        <f t="shared" si="214"/>
        <v>8.1975694672705899</v>
      </c>
      <c r="V1531">
        <f t="shared" si="215"/>
        <v>4.6644067796610157E-2</v>
      </c>
      <c r="W1531">
        <f t="shared" si="216"/>
        <v>5.1076923076923055E-2</v>
      </c>
      <c r="X1531">
        <f t="shared" si="217"/>
        <v>0.89225925925925942</v>
      </c>
      <c r="Y1531">
        <v>54.990017559999998</v>
      </c>
      <c r="Z1531">
        <v>0</v>
      </c>
      <c r="AA1531">
        <v>56865</v>
      </c>
      <c r="AB1531">
        <v>22398</v>
      </c>
      <c r="AC1531">
        <v>1.1143686E-2</v>
      </c>
      <c r="AD1531">
        <v>0.81944707100000003</v>
      </c>
    </row>
    <row r="1532" spans="1:40">
      <c r="A1532">
        <v>3600</v>
      </c>
      <c r="B1532" t="s">
        <v>709</v>
      </c>
      <c r="C1532" t="s">
        <v>693</v>
      </c>
      <c r="D1532" t="s">
        <v>694</v>
      </c>
      <c r="E1532">
        <v>0</v>
      </c>
      <c r="F1532">
        <v>0</v>
      </c>
      <c r="G1532">
        <v>15.22432279</v>
      </c>
      <c r="H1532">
        <v>0</v>
      </c>
      <c r="I1532">
        <v>2.3807455000000002E-2</v>
      </c>
      <c r="J1532">
        <v>0</v>
      </c>
      <c r="K1532">
        <v>0</v>
      </c>
      <c r="L1532"/>
      <c r="M1532">
        <v>0</v>
      </c>
      <c r="N1532">
        <v>0</v>
      </c>
      <c r="O1532" t="s">
        <v>625</v>
      </c>
      <c r="P1532">
        <f t="shared" si="209"/>
        <v>15.512410047246915</v>
      </c>
      <c r="Q1532">
        <f t="shared" si="210"/>
        <v>1.5184210526315797E-2</v>
      </c>
      <c r="R1532">
        <f t="shared" si="211"/>
        <v>2.3696202531645567E-2</v>
      </c>
      <c r="S1532">
        <f t="shared" si="212"/>
        <v>0.82278823529411782</v>
      </c>
      <c r="T1532">
        <f t="shared" si="213"/>
        <v>2.2169408982405066</v>
      </c>
      <c r="U1532">
        <f t="shared" si="214"/>
        <v>8.1975694672705899</v>
      </c>
      <c r="V1532">
        <f t="shared" si="215"/>
        <v>4.6644067796610157E-2</v>
      </c>
      <c r="W1532">
        <f t="shared" si="216"/>
        <v>5.1076923076923055E-2</v>
      </c>
      <c r="X1532">
        <f t="shared" si="217"/>
        <v>0.89225925925925942</v>
      </c>
      <c r="Y1532">
        <v>55.363348729999998</v>
      </c>
      <c r="Z1532">
        <v>0</v>
      </c>
      <c r="AA1532">
        <v>56865</v>
      </c>
      <c r="AB1532">
        <v>22398</v>
      </c>
      <c r="AC1532">
        <v>1.1143686E-2</v>
      </c>
      <c r="AD1532">
        <v>0.81944707100000003</v>
      </c>
    </row>
    <row r="1533" spans="1:40">
      <c r="A1533">
        <v>3601</v>
      </c>
      <c r="B1533" t="s">
        <v>709</v>
      </c>
      <c r="C1533" t="s">
        <v>693</v>
      </c>
      <c r="D1533" t="s">
        <v>694</v>
      </c>
      <c r="E1533">
        <v>0</v>
      </c>
      <c r="F1533">
        <v>0</v>
      </c>
      <c r="G1533">
        <v>57.531393880000003</v>
      </c>
      <c r="H1533">
        <v>0</v>
      </c>
      <c r="I1533">
        <v>8.9933471000000001E-2</v>
      </c>
      <c r="J1533">
        <v>0</v>
      </c>
      <c r="K1533">
        <v>0</v>
      </c>
      <c r="L1533"/>
      <c r="M1533">
        <v>0</v>
      </c>
      <c r="N1533">
        <v>0</v>
      </c>
      <c r="O1533" t="s">
        <v>625</v>
      </c>
      <c r="P1533">
        <f t="shared" si="209"/>
        <v>15.512410047246915</v>
      </c>
      <c r="Q1533">
        <f t="shared" si="210"/>
        <v>1.5184210526315797E-2</v>
      </c>
      <c r="R1533">
        <f t="shared" si="211"/>
        <v>2.3696202531645567E-2</v>
      </c>
      <c r="S1533">
        <f t="shared" si="212"/>
        <v>0.82278823529411782</v>
      </c>
      <c r="T1533">
        <f t="shared" si="213"/>
        <v>2.2169408982405066</v>
      </c>
      <c r="U1533">
        <f t="shared" si="214"/>
        <v>8.1975694672705899</v>
      </c>
      <c r="V1533">
        <f t="shared" si="215"/>
        <v>4.6644067796610157E-2</v>
      </c>
      <c r="W1533">
        <f t="shared" si="216"/>
        <v>5.1076923076923055E-2</v>
      </c>
      <c r="X1533">
        <f t="shared" si="217"/>
        <v>0.89225925925925942</v>
      </c>
      <c r="Y1533">
        <v>55.00011009</v>
      </c>
      <c r="Z1533">
        <v>0</v>
      </c>
      <c r="AA1533">
        <v>56865</v>
      </c>
      <c r="AB1533">
        <v>22398</v>
      </c>
      <c r="AC1533">
        <v>1.1143686E-2</v>
      </c>
      <c r="AD1533">
        <v>0.81944707100000003</v>
      </c>
    </row>
    <row r="1534" spans="1:40">
      <c r="A1534">
        <v>3602</v>
      </c>
      <c r="B1534" t="s">
        <v>709</v>
      </c>
      <c r="C1534" t="s">
        <v>693</v>
      </c>
      <c r="D1534" t="s">
        <v>694</v>
      </c>
      <c r="E1534">
        <v>0</v>
      </c>
      <c r="F1534">
        <v>0</v>
      </c>
      <c r="G1534">
        <v>32.420869770000003</v>
      </c>
      <c r="H1534">
        <v>0</v>
      </c>
      <c r="I1534">
        <v>5.0682412000000003E-2</v>
      </c>
      <c r="J1534">
        <v>0</v>
      </c>
      <c r="K1534">
        <v>0</v>
      </c>
      <c r="L1534"/>
      <c r="M1534">
        <v>0</v>
      </c>
      <c r="N1534">
        <v>0</v>
      </c>
      <c r="O1534" t="s">
        <v>625</v>
      </c>
      <c r="P1534">
        <f t="shared" si="209"/>
        <v>15.512410047246915</v>
      </c>
      <c r="Q1534">
        <f t="shared" si="210"/>
        <v>1.5184210526315797E-2</v>
      </c>
      <c r="R1534">
        <f t="shared" si="211"/>
        <v>2.3696202531645567E-2</v>
      </c>
      <c r="S1534">
        <f t="shared" si="212"/>
        <v>0.82278823529411782</v>
      </c>
      <c r="T1534">
        <f t="shared" si="213"/>
        <v>2.2169408982405066</v>
      </c>
      <c r="U1534">
        <f t="shared" si="214"/>
        <v>8.1975694672705899</v>
      </c>
      <c r="V1534">
        <f t="shared" si="215"/>
        <v>4.6644067796610157E-2</v>
      </c>
      <c r="W1534">
        <f t="shared" si="216"/>
        <v>5.1076923076923055E-2</v>
      </c>
      <c r="X1534">
        <f t="shared" si="217"/>
        <v>0.89225925925925942</v>
      </c>
      <c r="Y1534">
        <v>54.990343199999998</v>
      </c>
      <c r="Z1534">
        <v>0</v>
      </c>
      <c r="AA1534">
        <v>56865</v>
      </c>
      <c r="AB1534">
        <v>22398</v>
      </c>
      <c r="AC1534">
        <v>1.1143686E-2</v>
      </c>
      <c r="AD1534">
        <v>0.81944707100000003</v>
      </c>
    </row>
    <row r="1535" spans="1:40">
      <c r="A1535">
        <v>3603</v>
      </c>
      <c r="B1535" t="s">
        <v>698</v>
      </c>
      <c r="C1535" t="s">
        <v>693</v>
      </c>
      <c r="D1535" t="s">
        <v>694</v>
      </c>
      <c r="E1535">
        <v>218</v>
      </c>
      <c r="F1535">
        <v>760</v>
      </c>
      <c r="G1535">
        <v>67.542655940000003</v>
      </c>
      <c r="H1535">
        <v>15</v>
      </c>
      <c r="I1535">
        <v>0.105580172</v>
      </c>
      <c r="J1535">
        <v>775</v>
      </c>
      <c r="K1535">
        <v>7340.3934220000001</v>
      </c>
      <c r="L1535">
        <v>0.76500000000000001</v>
      </c>
      <c r="M1535">
        <v>6.4377682000000006E-2</v>
      </c>
      <c r="N1535">
        <v>0</v>
      </c>
      <c r="O1535" t="s">
        <v>620</v>
      </c>
      <c r="P1535">
        <f t="shared" si="209"/>
        <v>20.466081079999999</v>
      </c>
      <c r="Q1535">
        <f t="shared" si="210"/>
        <v>1.9E-2</v>
      </c>
      <c r="R1535">
        <f t="shared" si="211"/>
        <v>3.3000000000000002E-2</v>
      </c>
      <c r="S1535">
        <f t="shared" si="212"/>
        <v>0.76500000000000001</v>
      </c>
      <c r="T1535">
        <f t="shared" si="213"/>
        <v>1.9</v>
      </c>
      <c r="U1535">
        <f t="shared" si="214"/>
        <v>10.61650685</v>
      </c>
      <c r="V1535">
        <f t="shared" si="215"/>
        <v>6.2E-2</v>
      </c>
      <c r="W1535">
        <f t="shared" si="216"/>
        <v>2.5000000000000001E-2</v>
      </c>
      <c r="X1535">
        <f t="shared" si="217"/>
        <v>0.91400000000000003</v>
      </c>
      <c r="Y1535">
        <v>114.9459272</v>
      </c>
      <c r="Z1535">
        <v>0</v>
      </c>
      <c r="AA1535">
        <v>88250</v>
      </c>
      <c r="AB1535">
        <v>31723</v>
      </c>
      <c r="AC1535">
        <v>1.0795895999999999E-2</v>
      </c>
      <c r="AD1535">
        <v>0.817760245</v>
      </c>
      <c r="AF1535">
        <v>20.466081079999999</v>
      </c>
      <c r="AG1535">
        <v>1.9E-2</v>
      </c>
      <c r="AH1535">
        <v>3.3000000000000002E-2</v>
      </c>
      <c r="AI1535">
        <v>0.76500000000000001</v>
      </c>
      <c r="AJ1535">
        <v>1.9</v>
      </c>
      <c r="AK1535">
        <v>10.61650685</v>
      </c>
      <c r="AL1535">
        <v>6.2E-2</v>
      </c>
      <c r="AM1535">
        <v>2.5000000000000001E-2</v>
      </c>
      <c r="AN1535">
        <v>0.91400000000000003</v>
      </c>
    </row>
    <row r="1536" spans="1:40">
      <c r="A1536">
        <v>3604</v>
      </c>
      <c r="B1536" t="s">
        <v>691</v>
      </c>
      <c r="C1536" t="s">
        <v>684</v>
      </c>
      <c r="D1536" t="s">
        <v>685</v>
      </c>
      <c r="E1536">
        <v>170</v>
      </c>
      <c r="F1536">
        <v>365</v>
      </c>
      <c r="G1536">
        <v>146.69861399999999</v>
      </c>
      <c r="H1536">
        <v>1179</v>
      </c>
      <c r="I1536">
        <v>0.229289514</v>
      </c>
      <c r="J1536">
        <v>1544</v>
      </c>
      <c r="K1536">
        <v>6733.8447930000002</v>
      </c>
      <c r="L1536">
        <v>0.89100000000000001</v>
      </c>
      <c r="M1536">
        <v>0.87398072599999999</v>
      </c>
      <c r="N1536">
        <v>1</v>
      </c>
      <c r="O1536" t="s">
        <v>620</v>
      </c>
      <c r="P1536">
        <f t="shared" si="209"/>
        <v>14.08476684</v>
      </c>
      <c r="Q1536">
        <f t="shared" si="210"/>
        <v>1.2E-2</v>
      </c>
      <c r="R1536">
        <f t="shared" si="211"/>
        <v>2.1999999999999999E-2</v>
      </c>
      <c r="S1536">
        <f t="shared" si="212"/>
        <v>0.89100000000000001</v>
      </c>
      <c r="T1536">
        <f t="shared" si="213"/>
        <v>2.9576923079999999</v>
      </c>
      <c r="U1536">
        <f t="shared" si="214"/>
        <v>8.5325722539999997</v>
      </c>
      <c r="V1536">
        <f t="shared" si="215"/>
        <v>4.4999999999999998E-2</v>
      </c>
      <c r="W1536">
        <f t="shared" si="216"/>
        <v>4.1000000000000002E-2</v>
      </c>
      <c r="X1536">
        <f t="shared" si="217"/>
        <v>0.877</v>
      </c>
      <c r="Y1536">
        <v>12.975811159999999</v>
      </c>
      <c r="Z1536">
        <v>0</v>
      </c>
      <c r="AA1536">
        <v>236250</v>
      </c>
      <c r="AB1536">
        <v>76158</v>
      </c>
      <c r="AC1536">
        <v>1.7652984E-2</v>
      </c>
      <c r="AD1536">
        <v>0.84750225300000004</v>
      </c>
      <c r="AF1536">
        <v>14.08476684</v>
      </c>
      <c r="AG1536">
        <v>1.2E-2</v>
      </c>
      <c r="AH1536">
        <v>2.1999999999999999E-2</v>
      </c>
      <c r="AI1536">
        <v>0.89100000000000001</v>
      </c>
      <c r="AJ1536">
        <v>2.9576923079999999</v>
      </c>
      <c r="AK1536">
        <v>8.5325722539999997</v>
      </c>
      <c r="AL1536">
        <v>4.4999999999999998E-2</v>
      </c>
      <c r="AM1536">
        <v>4.1000000000000002E-2</v>
      </c>
      <c r="AN1536">
        <v>0.877</v>
      </c>
    </row>
    <row r="1537" spans="1:40">
      <c r="A1537">
        <v>3605</v>
      </c>
      <c r="B1537" t="s">
        <v>699</v>
      </c>
      <c r="C1537" t="s">
        <v>687</v>
      </c>
      <c r="D1537" t="s">
        <v>688</v>
      </c>
      <c r="E1537">
        <v>278</v>
      </c>
      <c r="F1537">
        <v>650</v>
      </c>
      <c r="G1537">
        <v>24.10850525</v>
      </c>
      <c r="H1537">
        <v>148</v>
      </c>
      <c r="I1537">
        <v>3.7691290000000002E-2</v>
      </c>
      <c r="J1537">
        <v>798</v>
      </c>
      <c r="K1537">
        <v>21172.000220000002</v>
      </c>
      <c r="L1537">
        <v>0.67800000000000005</v>
      </c>
      <c r="M1537">
        <v>0.34741783999999998</v>
      </c>
      <c r="N1537">
        <v>0</v>
      </c>
      <c r="O1537" t="s">
        <v>613</v>
      </c>
      <c r="P1537">
        <f t="shared" si="209"/>
        <v>11.65016129</v>
      </c>
      <c r="Q1537">
        <f t="shared" si="210"/>
        <v>7.9000000000000001E-2</v>
      </c>
      <c r="R1537">
        <f t="shared" si="211"/>
        <v>1.7000000000000001E-2</v>
      </c>
      <c r="S1537">
        <f t="shared" si="212"/>
        <v>0.67800000000000005</v>
      </c>
      <c r="T1537">
        <f t="shared" si="213"/>
        <v>2.5387499999999998</v>
      </c>
      <c r="U1537">
        <f t="shared" si="214"/>
        <v>8.0913531350000003</v>
      </c>
      <c r="V1537">
        <f t="shared" si="215"/>
        <v>4.2999999999999997E-2</v>
      </c>
      <c r="W1537">
        <f t="shared" si="216"/>
        <v>0.17399999999999999</v>
      </c>
      <c r="X1537">
        <f t="shared" si="217"/>
        <v>0.67400000000000004</v>
      </c>
      <c r="Y1537">
        <v>115.5649042</v>
      </c>
      <c r="Z1537">
        <v>0</v>
      </c>
      <c r="AA1537">
        <v>20912</v>
      </c>
      <c r="AB1537">
        <v>7469</v>
      </c>
      <c r="AC1537">
        <v>5.5261644999999998E-2</v>
      </c>
      <c r="AD1537">
        <v>0.74284071299999999</v>
      </c>
      <c r="AF1537">
        <v>11.65016129</v>
      </c>
      <c r="AG1537">
        <v>7.9000000000000001E-2</v>
      </c>
      <c r="AH1537">
        <v>1.7000000000000001E-2</v>
      </c>
      <c r="AI1537">
        <v>0.67800000000000005</v>
      </c>
      <c r="AJ1537">
        <v>2.5387499999999998</v>
      </c>
      <c r="AK1537">
        <v>8.0913531350000003</v>
      </c>
      <c r="AL1537">
        <v>4.2999999999999997E-2</v>
      </c>
      <c r="AM1537">
        <v>0.17399999999999999</v>
      </c>
      <c r="AN1537">
        <v>0.67400000000000004</v>
      </c>
    </row>
    <row r="1538" spans="1:40">
      <c r="A1538">
        <v>3606</v>
      </c>
      <c r="B1538" t="s">
        <v>702</v>
      </c>
      <c r="C1538" t="s">
        <v>696</v>
      </c>
      <c r="D1538" t="s">
        <v>697</v>
      </c>
      <c r="E1538">
        <v>256</v>
      </c>
      <c r="F1538">
        <v>857</v>
      </c>
      <c r="G1538">
        <v>65.383588140000001</v>
      </c>
      <c r="H1538">
        <v>165</v>
      </c>
      <c r="I1538">
        <v>0.10220536500000001</v>
      </c>
      <c r="J1538">
        <v>1022</v>
      </c>
      <c r="K1538">
        <v>9999.4750760000006</v>
      </c>
      <c r="L1538">
        <v>0.85399999999999998</v>
      </c>
      <c r="M1538">
        <v>0.39192399</v>
      </c>
      <c r="N1538">
        <v>0</v>
      </c>
      <c r="O1538" t="s">
        <v>613</v>
      </c>
      <c r="P1538">
        <f t="shared" si="209"/>
        <v>13.41176471</v>
      </c>
      <c r="Q1538">
        <f t="shared" si="210"/>
        <v>3.7999999999999999E-2</v>
      </c>
      <c r="R1538">
        <f t="shared" si="211"/>
        <v>1.9E-2</v>
      </c>
      <c r="S1538">
        <f t="shared" si="212"/>
        <v>0.85399999999999998</v>
      </c>
      <c r="T1538">
        <f t="shared" si="213"/>
        <v>2.6120000000000001</v>
      </c>
      <c r="U1538">
        <f t="shared" si="214"/>
        <v>7.6868564920000004</v>
      </c>
      <c r="V1538">
        <f t="shared" si="215"/>
        <v>1.9E-2</v>
      </c>
      <c r="W1538">
        <f t="shared" si="216"/>
        <v>0.13100000000000001</v>
      </c>
      <c r="X1538">
        <f t="shared" si="217"/>
        <v>0.79400000000000004</v>
      </c>
      <c r="Y1538">
        <v>42.073772470000002</v>
      </c>
      <c r="Z1538">
        <v>0</v>
      </c>
      <c r="AA1538">
        <v>90778</v>
      </c>
      <c r="AB1538">
        <v>31662</v>
      </c>
      <c r="AC1538">
        <v>3.1753482E-2</v>
      </c>
      <c r="AD1538">
        <v>0.82960131100000001</v>
      </c>
      <c r="AF1538">
        <v>13.41176471</v>
      </c>
      <c r="AG1538">
        <v>3.7999999999999999E-2</v>
      </c>
      <c r="AH1538">
        <v>1.9E-2</v>
      </c>
      <c r="AI1538">
        <v>0.85399999999999998</v>
      </c>
      <c r="AJ1538">
        <v>2.6120000000000001</v>
      </c>
      <c r="AK1538">
        <v>7.6868564920000004</v>
      </c>
      <c r="AL1538">
        <v>1.9E-2</v>
      </c>
      <c r="AM1538">
        <v>0.13100000000000001</v>
      </c>
      <c r="AN1538">
        <v>0.79400000000000004</v>
      </c>
    </row>
    <row r="1539" spans="1:40">
      <c r="A1539">
        <v>3607</v>
      </c>
      <c r="B1539" t="s">
        <v>705</v>
      </c>
      <c r="C1539" t="s">
        <v>696</v>
      </c>
      <c r="D1539" t="s">
        <v>697</v>
      </c>
      <c r="E1539">
        <v>274</v>
      </c>
      <c r="F1539">
        <v>978</v>
      </c>
      <c r="G1539">
        <v>31.620601839999999</v>
      </c>
      <c r="H1539">
        <v>55</v>
      </c>
      <c r="I1539">
        <v>4.9424203999999999E-2</v>
      </c>
      <c r="J1539">
        <v>1033</v>
      </c>
      <c r="K1539">
        <v>20900.69068</v>
      </c>
      <c r="L1539">
        <v>0.80100000000000005</v>
      </c>
      <c r="M1539">
        <v>0.16717325199999999</v>
      </c>
      <c r="N1539">
        <v>1</v>
      </c>
      <c r="O1539" t="s">
        <v>620</v>
      </c>
      <c r="P1539">
        <f t="shared" si="209"/>
        <v>14.82133333</v>
      </c>
      <c r="Q1539">
        <f t="shared" si="210"/>
        <v>8.1000000000000003E-2</v>
      </c>
      <c r="R1539">
        <f t="shared" si="211"/>
        <v>6.0000000000000001E-3</v>
      </c>
      <c r="S1539">
        <f t="shared" si="212"/>
        <v>0.80100000000000005</v>
      </c>
      <c r="T1539">
        <f t="shared" si="213"/>
        <v>2.3725000000000001</v>
      </c>
      <c r="U1539">
        <f t="shared" si="214"/>
        <v>7.9517184270000003</v>
      </c>
      <c r="V1539">
        <f t="shared" si="215"/>
        <v>1.4E-2</v>
      </c>
      <c r="W1539">
        <f t="shared" si="216"/>
        <v>0.23599999999999999</v>
      </c>
      <c r="X1539">
        <f t="shared" si="217"/>
        <v>0.75</v>
      </c>
      <c r="Y1539">
        <v>191.71673999999999</v>
      </c>
      <c r="Z1539">
        <v>0</v>
      </c>
      <c r="AA1539">
        <v>152832</v>
      </c>
      <c r="AB1539">
        <v>45686</v>
      </c>
      <c r="AC1539">
        <v>2.1596295000000001E-2</v>
      </c>
      <c r="AD1539">
        <v>0.84212384500000004</v>
      </c>
      <c r="AF1539">
        <v>14.82133333</v>
      </c>
      <c r="AG1539">
        <v>8.1000000000000003E-2</v>
      </c>
      <c r="AH1539">
        <v>6.0000000000000001E-3</v>
      </c>
      <c r="AI1539">
        <v>0.80100000000000005</v>
      </c>
      <c r="AJ1539">
        <v>2.3725000000000001</v>
      </c>
      <c r="AK1539">
        <v>7.9517184270000003</v>
      </c>
      <c r="AL1539">
        <v>1.4E-2</v>
      </c>
      <c r="AM1539">
        <v>0.23599999999999999</v>
      </c>
      <c r="AN1539">
        <v>0.75</v>
      </c>
    </row>
    <row r="1540" spans="1:40">
      <c r="A1540">
        <v>3608</v>
      </c>
      <c r="B1540" t="s">
        <v>690</v>
      </c>
      <c r="C1540" t="s">
        <v>687</v>
      </c>
      <c r="D1540" t="s">
        <v>688</v>
      </c>
      <c r="E1540">
        <v>1115</v>
      </c>
      <c r="F1540">
        <v>3201</v>
      </c>
      <c r="G1540">
        <v>164.8385116</v>
      </c>
      <c r="H1540">
        <v>75</v>
      </c>
      <c r="I1540">
        <v>0.257657513</v>
      </c>
      <c r="J1540">
        <v>3276</v>
      </c>
      <c r="K1540">
        <v>12714.552589999999</v>
      </c>
      <c r="L1540">
        <v>0.80400000000000005</v>
      </c>
      <c r="M1540">
        <v>6.3025209999999998E-2</v>
      </c>
      <c r="N1540">
        <v>0</v>
      </c>
      <c r="O1540" t="s">
        <v>620</v>
      </c>
      <c r="P1540">
        <f t="shared" si="209"/>
        <v>12.383364780000001</v>
      </c>
      <c r="Q1540">
        <f t="shared" si="210"/>
        <v>5.1999999999999998E-2</v>
      </c>
      <c r="R1540">
        <f t="shared" si="211"/>
        <v>1.6E-2</v>
      </c>
      <c r="S1540">
        <f t="shared" si="212"/>
        <v>0.80400000000000005</v>
      </c>
      <c r="T1540">
        <f t="shared" si="213"/>
        <v>2.2755172410000002</v>
      </c>
      <c r="U1540">
        <f t="shared" si="214"/>
        <v>8.4449717510000006</v>
      </c>
      <c r="V1540">
        <f t="shared" si="215"/>
        <v>3.2000000000000001E-2</v>
      </c>
      <c r="W1540">
        <f t="shared" si="216"/>
        <v>0.17100000000000001</v>
      </c>
      <c r="X1540">
        <f t="shared" si="217"/>
        <v>0.77800000000000002</v>
      </c>
      <c r="Y1540">
        <v>534.15397150000001</v>
      </c>
      <c r="Z1540">
        <v>0</v>
      </c>
      <c r="AA1540">
        <v>82284</v>
      </c>
      <c r="AB1540">
        <v>32030</v>
      </c>
      <c r="AC1540">
        <v>4.7570397E-2</v>
      </c>
      <c r="AD1540">
        <v>0.78974696300000002</v>
      </c>
      <c r="AF1540">
        <v>12.383364780000001</v>
      </c>
      <c r="AG1540">
        <v>5.1999999999999998E-2</v>
      </c>
      <c r="AH1540">
        <v>1.6E-2</v>
      </c>
      <c r="AI1540">
        <v>0.80400000000000005</v>
      </c>
      <c r="AJ1540">
        <v>2.2755172410000002</v>
      </c>
      <c r="AK1540">
        <v>8.4449717510000006</v>
      </c>
      <c r="AL1540">
        <v>3.2000000000000001E-2</v>
      </c>
      <c r="AM1540">
        <v>0.17100000000000001</v>
      </c>
      <c r="AN1540">
        <v>0.77800000000000002</v>
      </c>
    </row>
    <row r="1541" spans="1:40">
      <c r="A1541">
        <v>3609</v>
      </c>
      <c r="B1541" t="s">
        <v>686</v>
      </c>
      <c r="C1541" t="s">
        <v>687</v>
      </c>
      <c r="D1541" t="s">
        <v>688</v>
      </c>
      <c r="E1541">
        <v>183</v>
      </c>
      <c r="F1541">
        <v>398</v>
      </c>
      <c r="G1541">
        <v>25.26930673</v>
      </c>
      <c r="H1541">
        <v>47</v>
      </c>
      <c r="I1541">
        <v>3.9501582E-2</v>
      </c>
      <c r="J1541">
        <v>445</v>
      </c>
      <c r="K1541">
        <v>11265.3716</v>
      </c>
      <c r="L1541">
        <v>0.77400000000000002</v>
      </c>
      <c r="M1541">
        <v>0.20434782600000001</v>
      </c>
      <c r="N1541">
        <v>1</v>
      </c>
      <c r="O1541" t="s">
        <v>613</v>
      </c>
      <c r="P1541">
        <f t="shared" si="209"/>
        <v>8.6243333329999992</v>
      </c>
      <c r="Q1541">
        <f t="shared" si="210"/>
        <v>3.5000000000000003E-2</v>
      </c>
      <c r="R1541">
        <f t="shared" si="211"/>
        <v>4.4999999999999998E-2</v>
      </c>
      <c r="S1541">
        <f t="shared" si="212"/>
        <v>0.77400000000000002</v>
      </c>
      <c r="T1541">
        <f t="shared" si="213"/>
        <v>1.656428571</v>
      </c>
      <c r="U1541">
        <f t="shared" si="214"/>
        <v>5.7527848099999996</v>
      </c>
      <c r="V1541">
        <f t="shared" si="215"/>
        <v>5.8000000000000003E-2</v>
      </c>
      <c r="W1541">
        <f t="shared" si="216"/>
        <v>4.2999999999999997E-2</v>
      </c>
      <c r="X1541">
        <f t="shared" si="217"/>
        <v>0.87</v>
      </c>
      <c r="Y1541">
        <v>238.9353002</v>
      </c>
      <c r="Z1541">
        <v>1</v>
      </c>
      <c r="AA1541">
        <v>140316</v>
      </c>
      <c r="AB1541">
        <v>49638</v>
      </c>
      <c r="AC1541">
        <v>9.1283894000000004E-2</v>
      </c>
      <c r="AD1541">
        <v>0.60339869999999995</v>
      </c>
      <c r="AF1541">
        <v>8.6243333329999992</v>
      </c>
      <c r="AG1541">
        <v>3.5000000000000003E-2</v>
      </c>
      <c r="AH1541">
        <v>4.4999999999999998E-2</v>
      </c>
      <c r="AI1541">
        <v>0.77400000000000002</v>
      </c>
      <c r="AJ1541">
        <v>1.656428571</v>
      </c>
      <c r="AK1541">
        <v>5.7527848099999996</v>
      </c>
      <c r="AL1541">
        <v>5.8000000000000003E-2</v>
      </c>
      <c r="AM1541">
        <v>4.2999999999999997E-2</v>
      </c>
      <c r="AN1541">
        <v>0.87</v>
      </c>
    </row>
    <row r="1542" spans="1:40">
      <c r="A1542">
        <v>3610</v>
      </c>
      <c r="B1542" t="s">
        <v>699</v>
      </c>
      <c r="C1542" t="s">
        <v>687</v>
      </c>
      <c r="D1542" t="s">
        <v>688</v>
      </c>
      <c r="E1542">
        <v>158</v>
      </c>
      <c r="F1542">
        <v>469</v>
      </c>
      <c r="G1542">
        <v>135.4926399</v>
      </c>
      <c r="H1542">
        <v>148</v>
      </c>
      <c r="I1542">
        <v>0.21180195700000001</v>
      </c>
      <c r="J1542">
        <v>617</v>
      </c>
      <c r="K1542">
        <v>2913.0986739999998</v>
      </c>
      <c r="L1542">
        <v>0.85799999999999998</v>
      </c>
      <c r="M1542">
        <v>0.48366013099999999</v>
      </c>
      <c r="N1542">
        <v>0</v>
      </c>
      <c r="O1542" t="s">
        <v>620</v>
      </c>
      <c r="P1542">
        <f t="shared" si="209"/>
        <v>11.409298250000001</v>
      </c>
      <c r="Q1542">
        <f t="shared" si="210"/>
        <v>6.0999999999999999E-2</v>
      </c>
      <c r="R1542">
        <f t="shared" si="211"/>
        <v>1.0999999999999999E-2</v>
      </c>
      <c r="S1542">
        <f t="shared" si="212"/>
        <v>0.85799999999999998</v>
      </c>
      <c r="T1542">
        <f t="shared" si="213"/>
        <v>3.2949999999999999</v>
      </c>
      <c r="U1542">
        <f t="shared" si="214"/>
        <v>7.7907361960000001</v>
      </c>
      <c r="V1542">
        <f t="shared" si="215"/>
        <v>1.4E-2</v>
      </c>
      <c r="W1542">
        <f t="shared" si="216"/>
        <v>0.19400000000000001</v>
      </c>
      <c r="X1542">
        <f t="shared" si="217"/>
        <v>0.79200000000000004</v>
      </c>
      <c r="Y1542">
        <v>186.9467837</v>
      </c>
      <c r="Z1542">
        <v>0</v>
      </c>
      <c r="AA1542">
        <v>20912</v>
      </c>
      <c r="AB1542">
        <v>7469</v>
      </c>
      <c r="AC1542">
        <v>5.5261644999999998E-2</v>
      </c>
      <c r="AD1542">
        <v>0.74284071299999999</v>
      </c>
      <c r="AF1542">
        <v>11.409298250000001</v>
      </c>
      <c r="AG1542">
        <v>6.0999999999999999E-2</v>
      </c>
      <c r="AH1542">
        <v>1.0999999999999999E-2</v>
      </c>
      <c r="AI1542">
        <v>0.85799999999999998</v>
      </c>
      <c r="AJ1542">
        <v>3.2949999999999999</v>
      </c>
      <c r="AK1542">
        <v>7.7907361960000001</v>
      </c>
      <c r="AL1542">
        <v>1.4E-2</v>
      </c>
      <c r="AM1542">
        <v>0.19400000000000001</v>
      </c>
      <c r="AN1542">
        <v>0.79200000000000004</v>
      </c>
    </row>
    <row r="1543" spans="1:40">
      <c r="A1543">
        <v>3611</v>
      </c>
      <c r="B1543" t="s">
        <v>705</v>
      </c>
      <c r="C1543" t="s">
        <v>696</v>
      </c>
      <c r="D1543" t="s">
        <v>697</v>
      </c>
      <c r="E1543">
        <v>0</v>
      </c>
      <c r="F1543">
        <v>0</v>
      </c>
      <c r="G1543">
        <v>110.1832002</v>
      </c>
      <c r="H1543">
        <v>1083</v>
      </c>
      <c r="I1543">
        <v>0.17222932599999999</v>
      </c>
      <c r="J1543">
        <v>1083</v>
      </c>
      <c r="K1543">
        <v>6288.1277259999997</v>
      </c>
      <c r="L1543">
        <v>0.92800000000000005</v>
      </c>
      <c r="M1543" s="515">
        <v>1</v>
      </c>
      <c r="N1543">
        <v>0</v>
      </c>
      <c r="O1543" t="s">
        <v>620</v>
      </c>
      <c r="P1543">
        <f t="shared" si="209"/>
        <v>14.647182320000001</v>
      </c>
      <c r="Q1543">
        <f t="shared" si="210"/>
        <v>2E-3</v>
      </c>
      <c r="R1543">
        <f t="shared" si="211"/>
        <v>2.5000000000000001E-2</v>
      </c>
      <c r="S1543">
        <f t="shared" si="212"/>
        <v>0.92800000000000005</v>
      </c>
      <c r="T1543">
        <f t="shared" si="213"/>
        <v>2.6957142859999998</v>
      </c>
      <c r="U1543">
        <f t="shared" si="214"/>
        <v>11.327067960000001</v>
      </c>
      <c r="V1543">
        <f t="shared" si="215"/>
        <v>5.1999999999999998E-2</v>
      </c>
      <c r="W1543">
        <f t="shared" si="216"/>
        <v>8.6720930232558141E-2</v>
      </c>
      <c r="X1543">
        <f t="shared" si="217"/>
        <v>0.94799999999999995</v>
      </c>
      <c r="Y1543">
        <v>12.845485610000001</v>
      </c>
      <c r="Z1543">
        <v>0</v>
      </c>
      <c r="AA1543">
        <v>152832</v>
      </c>
      <c r="AB1543">
        <v>45686</v>
      </c>
      <c r="AC1543">
        <v>2.1596295000000001E-2</v>
      </c>
      <c r="AD1543">
        <v>0.84212384500000004</v>
      </c>
      <c r="AF1543">
        <v>14.647182320000001</v>
      </c>
      <c r="AG1543">
        <v>2E-3</v>
      </c>
      <c r="AH1543">
        <v>2.5000000000000001E-2</v>
      </c>
      <c r="AI1543">
        <v>0.92800000000000005</v>
      </c>
      <c r="AJ1543">
        <v>2.6957142859999998</v>
      </c>
      <c r="AK1543">
        <v>11.327067960000001</v>
      </c>
      <c r="AL1543">
        <v>5.1999999999999998E-2</v>
      </c>
      <c r="AM1543">
        <v>0</v>
      </c>
      <c r="AN1543">
        <v>0.94799999999999995</v>
      </c>
    </row>
    <row r="1544" spans="1:40">
      <c r="A1544">
        <v>3612</v>
      </c>
      <c r="B1544" t="s">
        <v>705</v>
      </c>
      <c r="C1544" t="s">
        <v>696</v>
      </c>
      <c r="D1544" t="s">
        <v>697</v>
      </c>
      <c r="E1544">
        <v>0</v>
      </c>
      <c r="F1544">
        <v>0</v>
      </c>
      <c r="G1544">
        <v>138.51149559999999</v>
      </c>
      <c r="H1544">
        <v>1942</v>
      </c>
      <c r="I1544">
        <v>0.216506435</v>
      </c>
      <c r="J1544">
        <v>1942</v>
      </c>
      <c r="K1544">
        <v>8969.7103000000006</v>
      </c>
      <c r="L1544">
        <v>0.89700000000000002</v>
      </c>
      <c r="M1544" s="515">
        <v>1</v>
      </c>
      <c r="N1544">
        <v>0</v>
      </c>
      <c r="O1544" t="s">
        <v>620</v>
      </c>
      <c r="P1544">
        <f t="shared" si="209"/>
        <v>14.3481877</v>
      </c>
      <c r="Q1544">
        <f t="shared" si="210"/>
        <v>1.2E-2</v>
      </c>
      <c r="R1544">
        <f t="shared" si="211"/>
        <v>1.6E-2</v>
      </c>
      <c r="S1544">
        <f t="shared" si="212"/>
        <v>0.89700000000000002</v>
      </c>
      <c r="T1544">
        <f t="shared" si="213"/>
        <v>2.4620000000000002</v>
      </c>
      <c r="U1544">
        <f t="shared" si="214"/>
        <v>9.7445998239999998</v>
      </c>
      <c r="V1544">
        <f t="shared" si="215"/>
        <v>2.4E-2</v>
      </c>
      <c r="W1544">
        <f t="shared" si="216"/>
        <v>3.3000000000000002E-2</v>
      </c>
      <c r="X1544">
        <f t="shared" si="217"/>
        <v>0.93600000000000005</v>
      </c>
      <c r="Y1544">
        <v>12.91851917</v>
      </c>
      <c r="Z1544">
        <v>0</v>
      </c>
      <c r="AA1544">
        <v>152832</v>
      </c>
      <c r="AB1544">
        <v>45686</v>
      </c>
      <c r="AC1544">
        <v>2.1596295000000001E-2</v>
      </c>
      <c r="AD1544">
        <v>0.84212384500000004</v>
      </c>
      <c r="AF1544">
        <v>14.3481877</v>
      </c>
      <c r="AG1544">
        <v>1.2E-2</v>
      </c>
      <c r="AH1544">
        <v>1.6E-2</v>
      </c>
      <c r="AI1544">
        <v>0.89700000000000002</v>
      </c>
      <c r="AJ1544">
        <v>2.4620000000000002</v>
      </c>
      <c r="AK1544">
        <v>9.7445998239999998</v>
      </c>
      <c r="AL1544">
        <v>2.4E-2</v>
      </c>
      <c r="AM1544">
        <v>3.3000000000000002E-2</v>
      </c>
      <c r="AN1544">
        <v>0.93600000000000005</v>
      </c>
    </row>
    <row r="1545" spans="1:40">
      <c r="A1545">
        <v>3613</v>
      </c>
      <c r="B1545" t="s">
        <v>705</v>
      </c>
      <c r="C1545" t="s">
        <v>696</v>
      </c>
      <c r="D1545" t="s">
        <v>697</v>
      </c>
      <c r="E1545">
        <v>9</v>
      </c>
      <c r="F1545">
        <v>32</v>
      </c>
      <c r="G1545">
        <v>167.68582040000001</v>
      </c>
      <c r="H1545">
        <v>1884</v>
      </c>
      <c r="I1545">
        <v>0.26211093699999999</v>
      </c>
      <c r="J1545">
        <v>1916</v>
      </c>
      <c r="K1545">
        <v>7309.8819219999996</v>
      </c>
      <c r="L1545">
        <v>0.90700000000000003</v>
      </c>
      <c r="M1545">
        <v>0.99524564199999999</v>
      </c>
      <c r="N1545">
        <v>0</v>
      </c>
      <c r="O1545" t="s">
        <v>620</v>
      </c>
      <c r="P1545">
        <f t="shared" si="209"/>
        <v>17.259927009999998</v>
      </c>
      <c r="Q1545">
        <f t="shared" si="210"/>
        <v>2.4977443609022529E-2</v>
      </c>
      <c r="R1545">
        <f t="shared" si="211"/>
        <v>0.03</v>
      </c>
      <c r="S1545">
        <f t="shared" si="212"/>
        <v>0.90700000000000003</v>
      </c>
      <c r="T1545">
        <f t="shared" si="213"/>
        <v>3.6166666670000001</v>
      </c>
      <c r="U1545">
        <f t="shared" si="214"/>
        <v>13.20816761</v>
      </c>
      <c r="V1545">
        <f t="shared" si="215"/>
        <v>3.5000000000000003E-2</v>
      </c>
      <c r="W1545">
        <f t="shared" si="216"/>
        <v>8.6720930232558141E-2</v>
      </c>
      <c r="X1545">
        <f t="shared" si="217"/>
        <v>0.96499999999999997</v>
      </c>
      <c r="Y1545">
        <v>12.845485610000001</v>
      </c>
      <c r="Z1545">
        <v>0</v>
      </c>
      <c r="AA1545">
        <v>152832</v>
      </c>
      <c r="AB1545">
        <v>45686</v>
      </c>
      <c r="AC1545">
        <v>2.1596295000000001E-2</v>
      </c>
      <c r="AD1545">
        <v>0.84212384500000004</v>
      </c>
      <c r="AF1545">
        <v>17.259927009999998</v>
      </c>
      <c r="AG1545">
        <v>0</v>
      </c>
      <c r="AH1545">
        <v>0.03</v>
      </c>
      <c r="AI1545">
        <v>0.90700000000000003</v>
      </c>
      <c r="AJ1545">
        <v>3.6166666670000001</v>
      </c>
      <c r="AK1545">
        <v>13.20816761</v>
      </c>
      <c r="AL1545">
        <v>3.5000000000000003E-2</v>
      </c>
      <c r="AM1545">
        <v>0</v>
      </c>
      <c r="AN1545">
        <v>0.96499999999999997</v>
      </c>
    </row>
    <row r="1546" spans="1:40">
      <c r="A1546">
        <v>3614</v>
      </c>
      <c r="B1546" t="s">
        <v>705</v>
      </c>
      <c r="C1546" t="s">
        <v>696</v>
      </c>
      <c r="D1546" t="s">
        <v>697</v>
      </c>
      <c r="E1546">
        <v>1</v>
      </c>
      <c r="F1546">
        <v>5</v>
      </c>
      <c r="G1546">
        <v>212.03915470000001</v>
      </c>
      <c r="H1546">
        <v>10782</v>
      </c>
      <c r="I1546">
        <v>0.33144439999999997</v>
      </c>
      <c r="J1546">
        <v>10787</v>
      </c>
      <c r="K1546">
        <v>32545.42843</v>
      </c>
      <c r="L1546">
        <v>0.91600000000000004</v>
      </c>
      <c r="M1546">
        <v>0.99990726100000005</v>
      </c>
      <c r="N1546">
        <v>0</v>
      </c>
      <c r="O1546" t="s">
        <v>620</v>
      </c>
      <c r="P1546">
        <f t="shared" si="209"/>
        <v>16.83478972</v>
      </c>
      <c r="Q1546">
        <f t="shared" si="210"/>
        <v>2.4977443609022529E-2</v>
      </c>
      <c r="R1546">
        <f t="shared" si="211"/>
        <v>1.2E-2</v>
      </c>
      <c r="S1546">
        <f t="shared" si="212"/>
        <v>0.91600000000000004</v>
      </c>
      <c r="T1546">
        <f t="shared" si="213"/>
        <v>3.0327777779999998</v>
      </c>
      <c r="U1546">
        <f t="shared" si="214"/>
        <v>12.61911164</v>
      </c>
      <c r="V1546">
        <f t="shared" si="215"/>
        <v>1.4999999999999999E-2</v>
      </c>
      <c r="W1546">
        <f t="shared" si="216"/>
        <v>8.6720930232558141E-2</v>
      </c>
      <c r="X1546">
        <f t="shared" si="217"/>
        <v>0.98399999999999999</v>
      </c>
      <c r="Y1546">
        <v>12.845485610000001</v>
      </c>
      <c r="Z1546">
        <v>0</v>
      </c>
      <c r="AA1546">
        <v>152832</v>
      </c>
      <c r="AB1546">
        <v>45686</v>
      </c>
      <c r="AC1546">
        <v>2.1596295000000001E-2</v>
      </c>
      <c r="AD1546">
        <v>0.84212384500000004</v>
      </c>
      <c r="AF1546">
        <v>16.83478972</v>
      </c>
      <c r="AG1546">
        <v>0</v>
      </c>
      <c r="AH1546">
        <v>1.2E-2</v>
      </c>
      <c r="AI1546">
        <v>0.91600000000000004</v>
      </c>
      <c r="AJ1546">
        <v>3.0327777779999998</v>
      </c>
      <c r="AK1546">
        <v>12.61911164</v>
      </c>
      <c r="AL1546">
        <v>1.4999999999999999E-2</v>
      </c>
      <c r="AM1546">
        <v>0</v>
      </c>
      <c r="AN1546">
        <v>0.98399999999999999</v>
      </c>
    </row>
    <row r="1547" spans="1:40">
      <c r="A1547">
        <v>3615</v>
      </c>
      <c r="B1547" t="s">
        <v>702</v>
      </c>
      <c r="C1547" t="s">
        <v>696</v>
      </c>
      <c r="D1547" t="s">
        <v>697</v>
      </c>
      <c r="E1547">
        <v>0</v>
      </c>
      <c r="F1547">
        <v>0</v>
      </c>
      <c r="G1547">
        <v>44.547186459999999</v>
      </c>
      <c r="H1547">
        <v>1009</v>
      </c>
      <c r="I1547">
        <v>6.9633899999999999E-2</v>
      </c>
      <c r="J1547">
        <v>1009</v>
      </c>
      <c r="K1547">
        <v>14490.06877</v>
      </c>
      <c r="L1547">
        <v>0.88800000000000001</v>
      </c>
      <c r="M1547" s="515">
        <v>1</v>
      </c>
      <c r="N1547">
        <v>0</v>
      </c>
      <c r="O1547" t="s">
        <v>620</v>
      </c>
      <c r="P1547">
        <f t="shared" si="209"/>
        <v>15.15066116</v>
      </c>
      <c r="Q1547">
        <f t="shared" si="210"/>
        <v>1.6E-2</v>
      </c>
      <c r="R1547">
        <f t="shared" si="211"/>
        <v>8.9999999999999993E-3</v>
      </c>
      <c r="S1547">
        <f t="shared" si="212"/>
        <v>0.88800000000000001</v>
      </c>
      <c r="T1547">
        <f t="shared" si="213"/>
        <v>2.0916666670000001</v>
      </c>
      <c r="U1547">
        <f t="shared" si="214"/>
        <v>9.9409380859999992</v>
      </c>
      <c r="V1547">
        <f t="shared" si="215"/>
        <v>4.2301204819277106E-2</v>
      </c>
      <c r="W1547">
        <f t="shared" si="216"/>
        <v>4.7E-2</v>
      </c>
      <c r="X1547">
        <f t="shared" si="217"/>
        <v>0.93799999999999994</v>
      </c>
      <c r="Y1547">
        <v>38.505565679999997</v>
      </c>
      <c r="Z1547">
        <v>0</v>
      </c>
      <c r="AA1547">
        <v>90778</v>
      </c>
      <c r="AB1547">
        <v>31662</v>
      </c>
      <c r="AC1547">
        <v>3.1753482E-2</v>
      </c>
      <c r="AD1547">
        <v>0.82960131100000001</v>
      </c>
      <c r="AF1547">
        <v>15.15066116</v>
      </c>
      <c r="AG1547">
        <v>1.6E-2</v>
      </c>
      <c r="AH1547">
        <v>8.9999999999999993E-3</v>
      </c>
      <c r="AI1547">
        <v>0.88800000000000001</v>
      </c>
      <c r="AJ1547">
        <v>2.0916666670000001</v>
      </c>
      <c r="AK1547">
        <v>9.9409380859999992</v>
      </c>
      <c r="AL1547">
        <v>0</v>
      </c>
      <c r="AM1547">
        <v>4.7E-2</v>
      </c>
      <c r="AN1547">
        <v>0.93799999999999994</v>
      </c>
    </row>
    <row r="1548" spans="1:40">
      <c r="A1548">
        <v>3616</v>
      </c>
      <c r="B1548" t="s">
        <v>698</v>
      </c>
      <c r="C1548" t="s">
        <v>693</v>
      </c>
      <c r="D1548" t="s">
        <v>694</v>
      </c>
      <c r="E1548">
        <v>1</v>
      </c>
      <c r="F1548">
        <v>7</v>
      </c>
      <c r="G1548">
        <v>336.1636838</v>
      </c>
      <c r="H1548">
        <v>88</v>
      </c>
      <c r="I1548">
        <v>0.52545030599999998</v>
      </c>
      <c r="J1548">
        <v>95</v>
      </c>
      <c r="K1548">
        <v>180.79730649999999</v>
      </c>
      <c r="L1548">
        <v>0.95</v>
      </c>
      <c r="M1548">
        <v>0.98876404500000004</v>
      </c>
      <c r="N1548">
        <v>0</v>
      </c>
      <c r="O1548" t="s">
        <v>620</v>
      </c>
      <c r="P1548">
        <f t="shared" ref="P1548:P1611" si="218">IF(OR(IFERROR(AF1548=0,TRUE),ISERROR(AF1548)),AVERAGEIFS(AF:AF,$B:$B,$B1548,AF:AF,"&gt;0"),AF1548)</f>
        <v>13.132</v>
      </c>
      <c r="Q1548">
        <f t="shared" ref="Q1548:Q1611" si="219">IF(OR(IFERROR(AG1548=0,TRUE),ISERROR(AG1548)),AVERAGEIFS(AG:AG,$B:$B,$B1548,AG:AG,"&gt;0"),AG1548)</f>
        <v>1.452380952380952E-2</v>
      </c>
      <c r="R1548">
        <f t="shared" ref="R1548:R1611" si="220">IF(OR(IFERROR(AH1548=0,TRUE),ISERROR(AH1548)),AVERAGEIFS(AH:AH,$B:$B,$B1548,AH:AH,"&gt;0"),AH1548)</f>
        <v>0.05</v>
      </c>
      <c r="S1548">
        <f t="shared" ref="S1548:S1611" si="221">IF(OR(IFERROR(AI1548=0,TRUE),ISERROR(AI1548)),AVERAGEIFS(AI:AI,$B:$B,$B1548,AI:AI,"&gt;0"),AI1548)</f>
        <v>0.95</v>
      </c>
      <c r="T1548">
        <f t="shared" ref="T1548:T1611" si="222">IF(OR(IFERROR(AJ1548=0,TRUE),ISERROR(AJ1548)),AVERAGEIFS(AJ:AJ,$B:$B,$B1548,AJ:AJ,"&gt;0"),AJ1548)</f>
        <v>1.83</v>
      </c>
      <c r="U1548">
        <f t="shared" ref="U1548:U1611" si="223">IF(OR(IFERROR(AK1548=0,TRUE),ISERROR(AK1548)),AVERAGEIFS(AK:AK,$B:$B,$B1548,AK:AK,"&gt;0"),AK1548)</f>
        <v>12.09578947</v>
      </c>
      <c r="V1548">
        <f t="shared" ref="V1548:V1611" si="224">IF(OR(IFERROR(AL1548=0,TRUE),ISERROR(AL1548)),AVERAGEIFS(AL:AL,$B:$B,$B1548,AL:AL,"&gt;0"),AL1548)</f>
        <v>9.0999999999999998E-2</v>
      </c>
      <c r="W1548">
        <f t="shared" ref="W1548:W1611" si="225">IF(OR(IFERROR(AM1548=0,TRUE),ISERROR(AM1548)),AVERAGEIFS(AM:AM,$B:$B,$B1548,AM:AM,"&gt;0"),AM1548)</f>
        <v>5.2166666666666632E-2</v>
      </c>
      <c r="X1548">
        <f t="shared" ref="X1548:X1611" si="226">IF(OR(IFERROR(AN1548=0,TRUE),ISERROR(AN1548)),AVERAGEIFS(AN:AN,$B:$B,$B1548,AN:AN,"&gt;0"),AN1548)</f>
        <v>0.90900000000000003</v>
      </c>
      <c r="Y1548">
        <v>79.990224530000006</v>
      </c>
      <c r="Z1548">
        <v>0</v>
      </c>
      <c r="AA1548">
        <v>88250</v>
      </c>
      <c r="AB1548">
        <v>31723</v>
      </c>
      <c r="AC1548">
        <v>1.0795895999999999E-2</v>
      </c>
      <c r="AD1548">
        <v>0.817760245</v>
      </c>
      <c r="AF1548">
        <v>13.132</v>
      </c>
      <c r="AG1548">
        <v>0</v>
      </c>
      <c r="AH1548">
        <v>0.05</v>
      </c>
      <c r="AI1548">
        <v>0.95</v>
      </c>
      <c r="AJ1548">
        <v>1.83</v>
      </c>
      <c r="AK1548">
        <v>12.09578947</v>
      </c>
      <c r="AL1548">
        <v>9.0999999999999998E-2</v>
      </c>
      <c r="AM1548">
        <v>0</v>
      </c>
      <c r="AN1548">
        <v>0.90900000000000003</v>
      </c>
    </row>
    <row r="1549" spans="1:40">
      <c r="A1549">
        <v>3617</v>
      </c>
      <c r="B1549" t="s">
        <v>692</v>
      </c>
      <c r="C1549" t="s">
        <v>693</v>
      </c>
      <c r="D1549" t="s">
        <v>694</v>
      </c>
      <c r="E1549">
        <v>63</v>
      </c>
      <c r="F1549">
        <v>203</v>
      </c>
      <c r="G1549">
        <v>580.39717599999994</v>
      </c>
      <c r="H1549">
        <v>28</v>
      </c>
      <c r="I1549">
        <v>0.90721771799999995</v>
      </c>
      <c r="J1549">
        <v>231</v>
      </c>
      <c r="K1549">
        <v>254.6246567</v>
      </c>
      <c r="L1549" s="515">
        <v>1</v>
      </c>
      <c r="M1549">
        <v>0.30769230800000003</v>
      </c>
      <c r="N1549">
        <v>0</v>
      </c>
      <c r="O1549" t="s">
        <v>625</v>
      </c>
      <c r="P1549">
        <f t="shared" si="218"/>
        <v>18.1047619</v>
      </c>
      <c r="Q1549">
        <f t="shared" si="219"/>
        <v>1.2828282828282822E-2</v>
      </c>
      <c r="R1549">
        <f t="shared" si="220"/>
        <v>1.9814814814814796E-2</v>
      </c>
      <c r="S1549">
        <f t="shared" si="221"/>
        <v>1</v>
      </c>
      <c r="T1549">
        <f t="shared" si="222"/>
        <v>2.2234128568796301</v>
      </c>
      <c r="U1549">
        <f t="shared" si="223"/>
        <v>10.68848214</v>
      </c>
      <c r="V1549">
        <f t="shared" si="224"/>
        <v>4.1084210526315765E-2</v>
      </c>
      <c r="W1549">
        <f t="shared" si="225"/>
        <v>4.7929411764705873E-2</v>
      </c>
      <c r="X1549">
        <f t="shared" si="226"/>
        <v>1</v>
      </c>
      <c r="Y1549">
        <v>2.9056941169999999</v>
      </c>
      <c r="Z1549">
        <v>0</v>
      </c>
      <c r="AA1549">
        <v>77808</v>
      </c>
      <c r="AB1549">
        <v>27489</v>
      </c>
      <c r="AC1549">
        <v>1.1225541E-2</v>
      </c>
      <c r="AD1549">
        <v>0.835708267</v>
      </c>
      <c r="AF1549">
        <v>18.1047619</v>
      </c>
      <c r="AG1549">
        <v>0</v>
      </c>
      <c r="AH1549">
        <v>0</v>
      </c>
      <c r="AI1549">
        <v>1</v>
      </c>
      <c r="AK1549">
        <v>10.68848214</v>
      </c>
      <c r="AL1549">
        <v>0</v>
      </c>
      <c r="AM1549">
        <v>0</v>
      </c>
      <c r="AN1549">
        <v>1</v>
      </c>
    </row>
    <row r="1550" spans="1:40">
      <c r="A1550">
        <v>3618</v>
      </c>
      <c r="B1550" t="s">
        <v>692</v>
      </c>
      <c r="C1550" t="s">
        <v>693</v>
      </c>
      <c r="D1550" t="s">
        <v>694</v>
      </c>
      <c r="E1550">
        <v>463</v>
      </c>
      <c r="F1550">
        <v>1544</v>
      </c>
      <c r="G1550">
        <v>1508.897451</v>
      </c>
      <c r="H1550">
        <v>223</v>
      </c>
      <c r="I1550" s="515">
        <v>2.358546831</v>
      </c>
      <c r="J1550">
        <v>1767</v>
      </c>
      <c r="K1550">
        <v>749.19012710000004</v>
      </c>
      <c r="L1550">
        <v>0.82899999999999996</v>
      </c>
      <c r="M1550">
        <v>0.32507288600000001</v>
      </c>
      <c r="N1550">
        <v>0</v>
      </c>
      <c r="O1550" t="s">
        <v>625</v>
      </c>
      <c r="P1550">
        <f t="shared" si="218"/>
        <v>18.08317568</v>
      </c>
      <c r="Q1550">
        <f t="shared" si="219"/>
        <v>1.2999999999999999E-2</v>
      </c>
      <c r="R1550">
        <f t="shared" si="220"/>
        <v>4.4999999999999998E-2</v>
      </c>
      <c r="S1550">
        <f t="shared" si="221"/>
        <v>0.82899999999999996</v>
      </c>
      <c r="T1550">
        <f t="shared" si="222"/>
        <v>1.628947368</v>
      </c>
      <c r="U1550">
        <f t="shared" si="223"/>
        <v>10.63029762</v>
      </c>
      <c r="V1550">
        <f t="shared" si="224"/>
        <v>4.8000000000000001E-2</v>
      </c>
      <c r="W1550">
        <f t="shared" si="225"/>
        <v>5.3999999999999999E-2</v>
      </c>
      <c r="X1550">
        <f t="shared" si="226"/>
        <v>0.88600000000000001</v>
      </c>
      <c r="Y1550">
        <v>1.6607793559999999</v>
      </c>
      <c r="Z1550">
        <v>0</v>
      </c>
      <c r="AA1550">
        <v>77808</v>
      </c>
      <c r="AB1550">
        <v>27489</v>
      </c>
      <c r="AC1550">
        <v>1.1225541E-2</v>
      </c>
      <c r="AD1550">
        <v>0.835708267</v>
      </c>
      <c r="AF1550">
        <v>18.08317568</v>
      </c>
      <c r="AG1550">
        <v>1.2999999999999999E-2</v>
      </c>
      <c r="AH1550">
        <v>4.4999999999999998E-2</v>
      </c>
      <c r="AI1550">
        <v>0.82899999999999996</v>
      </c>
      <c r="AJ1550">
        <v>1.628947368</v>
      </c>
      <c r="AK1550">
        <v>10.63029762</v>
      </c>
      <c r="AL1550">
        <v>4.8000000000000001E-2</v>
      </c>
      <c r="AM1550">
        <v>5.3999999999999999E-2</v>
      </c>
      <c r="AN1550">
        <v>0.88600000000000001</v>
      </c>
    </row>
    <row r="1551" spans="1:40">
      <c r="A1551">
        <v>3619</v>
      </c>
      <c r="B1551" t="s">
        <v>686</v>
      </c>
      <c r="C1551" t="s">
        <v>687</v>
      </c>
      <c r="D1551" t="s">
        <v>688</v>
      </c>
      <c r="E1551">
        <v>289</v>
      </c>
      <c r="F1551">
        <v>638</v>
      </c>
      <c r="G1551">
        <v>20.679558310000001</v>
      </c>
      <c r="H1551">
        <v>2567</v>
      </c>
      <c r="I1551">
        <v>3.2325834999999997E-2</v>
      </c>
      <c r="J1551">
        <v>3205</v>
      </c>
      <c r="K1551">
        <v>99146.704180000001</v>
      </c>
      <c r="L1551">
        <v>0.54800000000000004</v>
      </c>
      <c r="M1551">
        <v>0.89880952400000003</v>
      </c>
      <c r="N1551">
        <v>1</v>
      </c>
      <c r="O1551" t="s">
        <v>606</v>
      </c>
      <c r="P1551">
        <f t="shared" si="218"/>
        <v>15.903473679999999</v>
      </c>
      <c r="Q1551">
        <f t="shared" si="219"/>
        <v>0.111</v>
      </c>
      <c r="R1551">
        <f t="shared" si="220"/>
        <v>0.04</v>
      </c>
      <c r="S1551">
        <f t="shared" si="221"/>
        <v>0.54800000000000004</v>
      </c>
      <c r="T1551">
        <f t="shared" si="222"/>
        <v>1.4694339620000001</v>
      </c>
      <c r="U1551">
        <f t="shared" si="223"/>
        <v>7.9974042550000002</v>
      </c>
      <c r="V1551">
        <f t="shared" si="224"/>
        <v>6.9000000000000006E-2</v>
      </c>
      <c r="W1551">
        <f t="shared" si="225"/>
        <v>0.28299999999999997</v>
      </c>
      <c r="X1551">
        <f t="shared" si="226"/>
        <v>0.501</v>
      </c>
      <c r="Y1551">
        <v>386.80029250000001</v>
      </c>
      <c r="Z1551">
        <v>1</v>
      </c>
      <c r="AA1551">
        <v>140316</v>
      </c>
      <c r="AB1551">
        <v>49638</v>
      </c>
      <c r="AC1551">
        <v>9.1283894000000004E-2</v>
      </c>
      <c r="AD1551">
        <v>0.60339869999999995</v>
      </c>
      <c r="AF1551">
        <v>15.903473679999999</v>
      </c>
      <c r="AG1551">
        <v>0.111</v>
      </c>
      <c r="AH1551">
        <v>0.04</v>
      </c>
      <c r="AI1551">
        <v>0.54800000000000004</v>
      </c>
      <c r="AJ1551">
        <v>1.4694339620000001</v>
      </c>
      <c r="AK1551">
        <v>7.9974042550000002</v>
      </c>
      <c r="AL1551">
        <v>6.9000000000000006E-2</v>
      </c>
      <c r="AM1551">
        <v>0.28299999999999997</v>
      </c>
      <c r="AN1551">
        <v>0.501</v>
      </c>
    </row>
    <row r="1552" spans="1:40">
      <c r="A1552">
        <v>3620</v>
      </c>
      <c r="B1552" t="s">
        <v>686</v>
      </c>
      <c r="C1552" t="s">
        <v>687</v>
      </c>
      <c r="D1552" t="s">
        <v>688</v>
      </c>
      <c r="E1552">
        <v>598</v>
      </c>
      <c r="F1552">
        <v>1142</v>
      </c>
      <c r="G1552">
        <v>28.953761969999999</v>
      </c>
      <c r="H1552">
        <v>3928</v>
      </c>
      <c r="I1552">
        <v>4.5262626E-2</v>
      </c>
      <c r="J1552">
        <v>5070</v>
      </c>
      <c r="K1552">
        <v>112012.9442</v>
      </c>
      <c r="L1552">
        <v>0.47</v>
      </c>
      <c r="M1552">
        <v>0.86787450300000002</v>
      </c>
      <c r="N1552">
        <v>1</v>
      </c>
      <c r="O1552" t="s">
        <v>606</v>
      </c>
      <c r="P1552">
        <f t="shared" si="218"/>
        <v>15.963086730000001</v>
      </c>
      <c r="Q1552">
        <f t="shared" si="219"/>
        <v>0.14899999999999999</v>
      </c>
      <c r="R1552">
        <f t="shared" si="220"/>
        <v>3.6999999999999998E-2</v>
      </c>
      <c r="S1552">
        <f t="shared" si="221"/>
        <v>0.47</v>
      </c>
      <c r="T1552">
        <f t="shared" si="222"/>
        <v>1.5258421049999999</v>
      </c>
      <c r="U1552">
        <f t="shared" si="223"/>
        <v>8.0034426229999998</v>
      </c>
      <c r="V1552">
        <f t="shared" si="224"/>
        <v>7.5999999999999998E-2</v>
      </c>
      <c r="W1552">
        <f t="shared" si="225"/>
        <v>0.26600000000000001</v>
      </c>
      <c r="X1552">
        <f t="shared" si="226"/>
        <v>0.44500000000000001</v>
      </c>
      <c r="Y1552">
        <v>385.21248000000003</v>
      </c>
      <c r="Z1552">
        <v>1</v>
      </c>
      <c r="AA1552">
        <v>140316</v>
      </c>
      <c r="AB1552">
        <v>49638</v>
      </c>
      <c r="AC1552">
        <v>9.1283894000000004E-2</v>
      </c>
      <c r="AD1552">
        <v>0.60339869999999995</v>
      </c>
      <c r="AF1552">
        <v>15.963086730000001</v>
      </c>
      <c r="AG1552">
        <v>0.14899999999999999</v>
      </c>
      <c r="AH1552">
        <v>3.6999999999999998E-2</v>
      </c>
      <c r="AI1552">
        <v>0.47</v>
      </c>
      <c r="AJ1552">
        <v>1.5258421049999999</v>
      </c>
      <c r="AK1552">
        <v>8.0034426229999998</v>
      </c>
      <c r="AL1552">
        <v>7.5999999999999998E-2</v>
      </c>
      <c r="AM1552">
        <v>0.26600000000000001</v>
      </c>
      <c r="AN1552">
        <v>0.44500000000000001</v>
      </c>
    </row>
    <row r="1553" spans="1:40">
      <c r="A1553">
        <v>3621</v>
      </c>
      <c r="B1553" t="s">
        <v>691</v>
      </c>
      <c r="C1553" t="s">
        <v>684</v>
      </c>
      <c r="D1553" t="s">
        <v>685</v>
      </c>
      <c r="E1553">
        <v>25</v>
      </c>
      <c r="F1553">
        <v>74</v>
      </c>
      <c r="G1553">
        <v>73.033676069999999</v>
      </c>
      <c r="H1553">
        <v>388</v>
      </c>
      <c r="I1553">
        <v>0.114153688</v>
      </c>
      <c r="J1553">
        <v>462</v>
      </c>
      <c r="K1553">
        <v>4047.1754179999998</v>
      </c>
      <c r="L1553">
        <v>0.877</v>
      </c>
      <c r="M1553">
        <v>0.939467312</v>
      </c>
      <c r="N1553">
        <v>0</v>
      </c>
      <c r="O1553" t="s">
        <v>620</v>
      </c>
      <c r="P1553">
        <f t="shared" si="218"/>
        <v>13.660571429999999</v>
      </c>
      <c r="Q1553">
        <f t="shared" si="219"/>
        <v>2.1000000000000001E-2</v>
      </c>
      <c r="R1553">
        <f t="shared" si="220"/>
        <v>1.4E-2</v>
      </c>
      <c r="S1553">
        <f t="shared" si="221"/>
        <v>0.877</v>
      </c>
      <c r="T1553">
        <f t="shared" si="222"/>
        <v>0.57999999999999996</v>
      </c>
      <c r="U1553">
        <f t="shared" si="223"/>
        <v>9.8169531249999995</v>
      </c>
      <c r="V1553">
        <f t="shared" si="224"/>
        <v>3.5151315789473656E-2</v>
      </c>
      <c r="W1553">
        <f t="shared" si="225"/>
        <v>2.8000000000000001E-2</v>
      </c>
      <c r="X1553">
        <f t="shared" si="226"/>
        <v>0.97199999999999998</v>
      </c>
      <c r="Y1553">
        <v>12.965551120000001</v>
      </c>
      <c r="Z1553">
        <v>0</v>
      </c>
      <c r="AA1553">
        <v>236250</v>
      </c>
      <c r="AB1553">
        <v>76158</v>
      </c>
      <c r="AC1553">
        <v>1.7652984E-2</v>
      </c>
      <c r="AD1553">
        <v>0.84750225300000004</v>
      </c>
      <c r="AF1553">
        <v>13.660571429999999</v>
      </c>
      <c r="AG1553">
        <v>2.1000000000000001E-2</v>
      </c>
      <c r="AH1553">
        <v>1.4E-2</v>
      </c>
      <c r="AI1553">
        <v>0.877</v>
      </c>
      <c r="AJ1553">
        <v>0.57999999999999996</v>
      </c>
      <c r="AK1553">
        <v>9.8169531249999995</v>
      </c>
      <c r="AL1553">
        <v>0</v>
      </c>
      <c r="AM1553">
        <v>2.8000000000000001E-2</v>
      </c>
      <c r="AN1553">
        <v>0.97199999999999998</v>
      </c>
    </row>
    <row r="1554" spans="1:40">
      <c r="A1554">
        <v>3622</v>
      </c>
      <c r="B1554" t="s">
        <v>691</v>
      </c>
      <c r="C1554" t="s">
        <v>684</v>
      </c>
      <c r="D1554" t="s">
        <v>685</v>
      </c>
      <c r="E1554">
        <v>0</v>
      </c>
      <c r="F1554">
        <v>0</v>
      </c>
      <c r="G1554">
        <v>126.115245</v>
      </c>
      <c r="H1554">
        <v>1763</v>
      </c>
      <c r="I1554">
        <v>0.197115029</v>
      </c>
      <c r="J1554">
        <v>1763</v>
      </c>
      <c r="K1554">
        <v>8944.0161360000002</v>
      </c>
      <c r="L1554">
        <v>0.95</v>
      </c>
      <c r="M1554" s="515">
        <v>1</v>
      </c>
      <c r="N1554">
        <v>0</v>
      </c>
      <c r="O1554" t="s">
        <v>620</v>
      </c>
      <c r="P1554">
        <f t="shared" si="218"/>
        <v>14.68161905</v>
      </c>
      <c r="Q1554">
        <f t="shared" si="219"/>
        <v>1.8070175438596476E-2</v>
      </c>
      <c r="R1554">
        <f t="shared" si="220"/>
        <v>1.6E-2</v>
      </c>
      <c r="S1554">
        <f t="shared" si="221"/>
        <v>0.95</v>
      </c>
      <c r="T1554">
        <f t="shared" si="222"/>
        <v>2.7056249999999999</v>
      </c>
      <c r="U1554">
        <f t="shared" si="223"/>
        <v>11.109916139999999</v>
      </c>
      <c r="V1554">
        <f t="shared" si="224"/>
        <v>2.1999999999999999E-2</v>
      </c>
      <c r="W1554">
        <f t="shared" si="225"/>
        <v>5.9146341463414652E-2</v>
      </c>
      <c r="X1554">
        <f t="shared" si="226"/>
        <v>0.97799999999999998</v>
      </c>
      <c r="Y1554">
        <v>12.965551120000001</v>
      </c>
      <c r="Z1554">
        <v>0</v>
      </c>
      <c r="AA1554">
        <v>236250</v>
      </c>
      <c r="AB1554">
        <v>76158</v>
      </c>
      <c r="AC1554">
        <v>1.7652984E-2</v>
      </c>
      <c r="AD1554">
        <v>0.84750225300000004</v>
      </c>
      <c r="AF1554">
        <v>14.68161905</v>
      </c>
      <c r="AG1554">
        <v>0</v>
      </c>
      <c r="AH1554">
        <v>1.6E-2</v>
      </c>
      <c r="AI1554">
        <v>0.95</v>
      </c>
      <c r="AJ1554">
        <v>2.7056249999999999</v>
      </c>
      <c r="AK1554">
        <v>11.109916139999999</v>
      </c>
      <c r="AL1554">
        <v>2.1999999999999999E-2</v>
      </c>
      <c r="AM1554">
        <v>0</v>
      </c>
      <c r="AN1554">
        <v>0.97799999999999998</v>
      </c>
    </row>
    <row r="1555" spans="1:40">
      <c r="A1555">
        <v>3623</v>
      </c>
      <c r="B1555" t="s">
        <v>691</v>
      </c>
      <c r="C1555" t="s">
        <v>684</v>
      </c>
      <c r="D1555" t="s">
        <v>685</v>
      </c>
      <c r="E1555">
        <v>1</v>
      </c>
      <c r="F1555">
        <v>2</v>
      </c>
      <c r="G1555">
        <v>140.04570319999999</v>
      </c>
      <c r="H1555">
        <v>387</v>
      </c>
      <c r="I1555">
        <v>0.218891004</v>
      </c>
      <c r="J1555">
        <v>389</v>
      </c>
      <c r="K1555">
        <v>1777.1401880000001</v>
      </c>
      <c r="L1555">
        <v>0.96</v>
      </c>
      <c r="M1555">
        <v>0.99742268000000001</v>
      </c>
      <c r="N1555">
        <v>0</v>
      </c>
      <c r="O1555" t="s">
        <v>620</v>
      </c>
      <c r="P1555">
        <f t="shared" si="218"/>
        <v>13.96224138</v>
      </c>
      <c r="Q1555">
        <f t="shared" si="219"/>
        <v>1.8070175438596476E-2</v>
      </c>
      <c r="R1555">
        <f t="shared" si="220"/>
        <v>1.8486033519553042E-2</v>
      </c>
      <c r="S1555">
        <f t="shared" si="221"/>
        <v>0.96</v>
      </c>
      <c r="T1555">
        <f t="shared" si="222"/>
        <v>2.3004685426703912</v>
      </c>
      <c r="U1555">
        <f t="shared" si="223"/>
        <v>11.623105260000001</v>
      </c>
      <c r="V1555">
        <f t="shared" si="224"/>
        <v>3.5151315789473656E-2</v>
      </c>
      <c r="W1555">
        <f t="shared" si="225"/>
        <v>5.9146341463414652E-2</v>
      </c>
      <c r="X1555">
        <f t="shared" si="226"/>
        <v>1</v>
      </c>
      <c r="Y1555">
        <v>12.965551120000001</v>
      </c>
      <c r="Z1555">
        <v>0</v>
      </c>
      <c r="AA1555">
        <v>236250</v>
      </c>
      <c r="AB1555">
        <v>76158</v>
      </c>
      <c r="AC1555">
        <v>1.7652984E-2</v>
      </c>
      <c r="AD1555">
        <v>0.84750225300000004</v>
      </c>
      <c r="AF1555">
        <v>13.96224138</v>
      </c>
      <c r="AG1555">
        <v>0</v>
      </c>
      <c r="AH1555">
        <v>0</v>
      </c>
      <c r="AI1555">
        <v>0.96</v>
      </c>
      <c r="AK1555">
        <v>11.623105260000001</v>
      </c>
      <c r="AL1555">
        <v>0</v>
      </c>
      <c r="AM1555">
        <v>0</v>
      </c>
      <c r="AN1555">
        <v>1</v>
      </c>
    </row>
    <row r="1556" spans="1:40">
      <c r="A1556">
        <v>3624</v>
      </c>
      <c r="B1556" t="s">
        <v>691</v>
      </c>
      <c r="C1556" t="s">
        <v>684</v>
      </c>
      <c r="D1556" t="s">
        <v>685</v>
      </c>
      <c r="E1556">
        <v>0</v>
      </c>
      <c r="F1556">
        <v>0</v>
      </c>
      <c r="G1556">
        <v>126.38361399999999</v>
      </c>
      <c r="H1556">
        <v>1987</v>
      </c>
      <c r="I1556">
        <v>0.19755888199999999</v>
      </c>
      <c r="J1556">
        <v>1987</v>
      </c>
      <c r="K1556">
        <v>10057.760910000001</v>
      </c>
      <c r="L1556">
        <v>0.93100000000000005</v>
      </c>
      <c r="M1556" s="515">
        <v>1</v>
      </c>
      <c r="N1556">
        <v>0</v>
      </c>
      <c r="O1556" t="s">
        <v>620</v>
      </c>
      <c r="P1556">
        <f t="shared" si="218"/>
        <v>18.308966789999999</v>
      </c>
      <c r="Q1556">
        <f t="shared" si="219"/>
        <v>4.0000000000000001E-3</v>
      </c>
      <c r="R1556">
        <f t="shared" si="220"/>
        <v>0.01</v>
      </c>
      <c r="S1556">
        <f t="shared" si="221"/>
        <v>0.93100000000000005</v>
      </c>
      <c r="T1556">
        <f t="shared" si="222"/>
        <v>4.5708333330000004</v>
      </c>
      <c r="U1556">
        <f t="shared" si="223"/>
        <v>11.717126439999999</v>
      </c>
      <c r="V1556">
        <f t="shared" si="224"/>
        <v>2.8000000000000001E-2</v>
      </c>
      <c r="W1556">
        <f t="shared" si="225"/>
        <v>7.0000000000000001E-3</v>
      </c>
      <c r="X1556">
        <f t="shared" si="226"/>
        <v>0.96399999999999997</v>
      </c>
      <c r="Y1556">
        <v>12.965551120000001</v>
      </c>
      <c r="Z1556">
        <v>0</v>
      </c>
      <c r="AA1556">
        <v>236250</v>
      </c>
      <c r="AB1556">
        <v>76158</v>
      </c>
      <c r="AC1556">
        <v>1.7652984E-2</v>
      </c>
      <c r="AD1556">
        <v>0.84750225300000004</v>
      </c>
      <c r="AF1556">
        <v>18.308966789999999</v>
      </c>
      <c r="AG1556">
        <v>4.0000000000000001E-3</v>
      </c>
      <c r="AH1556">
        <v>0.01</v>
      </c>
      <c r="AI1556">
        <v>0.93100000000000005</v>
      </c>
      <c r="AJ1556">
        <v>4.5708333330000004</v>
      </c>
      <c r="AK1556">
        <v>11.717126439999999</v>
      </c>
      <c r="AL1556">
        <v>2.8000000000000001E-2</v>
      </c>
      <c r="AM1556">
        <v>7.0000000000000001E-3</v>
      </c>
      <c r="AN1556">
        <v>0.96399999999999997</v>
      </c>
    </row>
    <row r="1557" spans="1:40">
      <c r="A1557">
        <v>3625</v>
      </c>
      <c r="B1557" t="s">
        <v>691</v>
      </c>
      <c r="C1557" t="s">
        <v>684</v>
      </c>
      <c r="D1557" t="s">
        <v>685</v>
      </c>
      <c r="E1557">
        <v>25</v>
      </c>
      <c r="F1557">
        <v>74</v>
      </c>
      <c r="G1557">
        <v>222.11035440000001</v>
      </c>
      <c r="H1557">
        <v>3060</v>
      </c>
      <c r="I1557">
        <v>0.34718063100000002</v>
      </c>
      <c r="J1557">
        <v>3134</v>
      </c>
      <c r="K1557">
        <v>9027.0012790000001</v>
      </c>
      <c r="L1557">
        <v>0.89200000000000002</v>
      </c>
      <c r="M1557">
        <v>0.99189627199999997</v>
      </c>
      <c r="N1557">
        <v>0</v>
      </c>
      <c r="O1557" t="s">
        <v>620</v>
      </c>
      <c r="P1557">
        <f t="shared" si="218"/>
        <v>14.28909297</v>
      </c>
      <c r="Q1557">
        <f t="shared" si="219"/>
        <v>2.9000000000000001E-2</v>
      </c>
      <c r="R1557">
        <f t="shared" si="220"/>
        <v>2.1000000000000001E-2</v>
      </c>
      <c r="S1557">
        <f t="shared" si="221"/>
        <v>0.89200000000000002</v>
      </c>
      <c r="T1557">
        <f t="shared" si="222"/>
        <v>2.6023333329999998</v>
      </c>
      <c r="U1557">
        <f t="shared" si="223"/>
        <v>8.0373521350000008</v>
      </c>
      <c r="V1557">
        <f t="shared" si="224"/>
        <v>3.2000000000000001E-2</v>
      </c>
      <c r="W1557">
        <f t="shared" si="225"/>
        <v>2.3E-2</v>
      </c>
      <c r="X1557">
        <f t="shared" si="226"/>
        <v>0.93200000000000005</v>
      </c>
      <c r="Y1557">
        <v>13.067475890000001</v>
      </c>
      <c r="Z1557">
        <v>0</v>
      </c>
      <c r="AA1557">
        <v>236250</v>
      </c>
      <c r="AB1557">
        <v>76158</v>
      </c>
      <c r="AC1557">
        <v>1.7652984E-2</v>
      </c>
      <c r="AD1557">
        <v>0.84750225300000004</v>
      </c>
      <c r="AF1557">
        <v>14.28909297</v>
      </c>
      <c r="AG1557">
        <v>2.9000000000000001E-2</v>
      </c>
      <c r="AH1557">
        <v>2.1000000000000001E-2</v>
      </c>
      <c r="AI1557">
        <v>0.89200000000000002</v>
      </c>
      <c r="AJ1557">
        <v>2.6023333329999998</v>
      </c>
      <c r="AK1557">
        <v>8.0373521350000008</v>
      </c>
      <c r="AL1557">
        <v>3.2000000000000001E-2</v>
      </c>
      <c r="AM1557">
        <v>2.3E-2</v>
      </c>
      <c r="AN1557">
        <v>0.93200000000000005</v>
      </c>
    </row>
    <row r="1558" spans="1:40">
      <c r="A1558">
        <v>3626</v>
      </c>
      <c r="B1558" t="s">
        <v>691</v>
      </c>
      <c r="C1558" t="s">
        <v>684</v>
      </c>
      <c r="D1558" t="s">
        <v>685</v>
      </c>
      <c r="E1558">
        <v>25</v>
      </c>
      <c r="F1558">
        <v>42</v>
      </c>
      <c r="G1558">
        <v>228.15674390000001</v>
      </c>
      <c r="H1558">
        <v>2783</v>
      </c>
      <c r="I1558">
        <v>0.35662366699999998</v>
      </c>
      <c r="J1558">
        <v>2825</v>
      </c>
      <c r="K1558">
        <v>7921.5157639999998</v>
      </c>
      <c r="L1558">
        <v>0.89900000000000002</v>
      </c>
      <c r="M1558">
        <v>0.99109686600000002</v>
      </c>
      <c r="N1558">
        <v>0</v>
      </c>
      <c r="O1558" t="s">
        <v>620</v>
      </c>
      <c r="P1558">
        <f t="shared" si="218"/>
        <v>13.860976859999999</v>
      </c>
      <c r="Q1558">
        <f t="shared" si="219"/>
        <v>8.9999999999999993E-3</v>
      </c>
      <c r="R1558">
        <f t="shared" si="220"/>
        <v>1.2999999999999999E-2</v>
      </c>
      <c r="S1558">
        <f t="shared" si="221"/>
        <v>0.89900000000000002</v>
      </c>
      <c r="T1558">
        <f t="shared" si="222"/>
        <v>1.7696875000000001</v>
      </c>
      <c r="U1558">
        <f t="shared" si="223"/>
        <v>8.536345249</v>
      </c>
      <c r="V1558">
        <f t="shared" si="224"/>
        <v>2.4E-2</v>
      </c>
      <c r="W1558">
        <f t="shared" si="225"/>
        <v>2.5999999999999999E-2</v>
      </c>
      <c r="X1558">
        <f t="shared" si="226"/>
        <v>0.92200000000000004</v>
      </c>
      <c r="Y1558">
        <v>13.35371473</v>
      </c>
      <c r="Z1558">
        <v>0</v>
      </c>
      <c r="AA1558">
        <v>236250</v>
      </c>
      <c r="AB1558">
        <v>76158</v>
      </c>
      <c r="AC1558">
        <v>1.7652984E-2</v>
      </c>
      <c r="AD1558">
        <v>0.84750225300000004</v>
      </c>
      <c r="AF1558">
        <v>13.860976859999999</v>
      </c>
      <c r="AG1558">
        <v>8.9999999999999993E-3</v>
      </c>
      <c r="AH1558">
        <v>1.2999999999999999E-2</v>
      </c>
      <c r="AI1558">
        <v>0.89900000000000002</v>
      </c>
      <c r="AJ1558">
        <v>1.7696875000000001</v>
      </c>
      <c r="AK1558">
        <v>8.536345249</v>
      </c>
      <c r="AL1558">
        <v>2.4E-2</v>
      </c>
      <c r="AM1558">
        <v>2.5999999999999999E-2</v>
      </c>
      <c r="AN1558">
        <v>0.92200000000000004</v>
      </c>
    </row>
    <row r="1559" spans="1:40">
      <c r="A1559">
        <v>3627</v>
      </c>
      <c r="B1559" t="s">
        <v>706</v>
      </c>
      <c r="C1559" t="s">
        <v>684</v>
      </c>
      <c r="D1559" t="s">
        <v>685</v>
      </c>
      <c r="E1559">
        <v>610</v>
      </c>
      <c r="F1559">
        <v>1883</v>
      </c>
      <c r="G1559">
        <v>145.5395326</v>
      </c>
      <c r="H1559">
        <v>23</v>
      </c>
      <c r="I1559">
        <v>0.227479606</v>
      </c>
      <c r="J1559">
        <v>1906</v>
      </c>
      <c r="K1559">
        <v>8378.7730840000004</v>
      </c>
      <c r="L1559">
        <v>0.83499999999999996</v>
      </c>
      <c r="M1559">
        <v>3.6334913000000003E-2</v>
      </c>
      <c r="N1559">
        <v>0</v>
      </c>
      <c r="O1559" t="s">
        <v>620</v>
      </c>
      <c r="P1559">
        <f t="shared" si="218"/>
        <v>12.5154</v>
      </c>
      <c r="Q1559">
        <f t="shared" si="219"/>
        <v>1.4999999999999999E-2</v>
      </c>
      <c r="R1559">
        <f t="shared" si="220"/>
        <v>1.4999999999999999E-2</v>
      </c>
      <c r="S1559">
        <f t="shared" si="221"/>
        <v>0.83499999999999996</v>
      </c>
      <c r="T1559">
        <f t="shared" si="222"/>
        <v>1.592857143</v>
      </c>
      <c r="U1559">
        <f t="shared" si="223"/>
        <v>6.7960244230000004</v>
      </c>
      <c r="V1559">
        <f t="shared" si="224"/>
        <v>1.2999999999999999E-2</v>
      </c>
      <c r="W1559">
        <f t="shared" si="225"/>
        <v>3.7999999999999999E-2</v>
      </c>
      <c r="X1559">
        <f t="shared" si="226"/>
        <v>0.94899999999999995</v>
      </c>
      <c r="Y1559">
        <v>143.14768309999999</v>
      </c>
      <c r="Z1559">
        <v>0</v>
      </c>
      <c r="AA1559">
        <v>47401</v>
      </c>
      <c r="AB1559">
        <v>14616</v>
      </c>
      <c r="AC1559">
        <v>1.1721782E-2</v>
      </c>
      <c r="AD1559">
        <v>0.85588417900000002</v>
      </c>
      <c r="AF1559">
        <v>12.5154</v>
      </c>
      <c r="AG1559">
        <v>1.4999999999999999E-2</v>
      </c>
      <c r="AH1559">
        <v>1.4999999999999999E-2</v>
      </c>
      <c r="AI1559">
        <v>0.83499999999999996</v>
      </c>
      <c r="AJ1559">
        <v>1.592857143</v>
      </c>
      <c r="AK1559">
        <v>6.7960244230000004</v>
      </c>
      <c r="AL1559">
        <v>1.2999999999999999E-2</v>
      </c>
      <c r="AM1559">
        <v>3.7999999999999999E-2</v>
      </c>
      <c r="AN1559">
        <v>0.94899999999999995</v>
      </c>
    </row>
    <row r="1560" spans="1:40">
      <c r="A1560">
        <v>3628</v>
      </c>
      <c r="B1560" t="s">
        <v>690</v>
      </c>
      <c r="C1560" t="s">
        <v>687</v>
      </c>
      <c r="D1560" t="s">
        <v>688</v>
      </c>
      <c r="E1560">
        <v>421</v>
      </c>
      <c r="F1560">
        <v>1194</v>
      </c>
      <c r="G1560">
        <v>39.508660089999999</v>
      </c>
      <c r="H1560">
        <v>88</v>
      </c>
      <c r="I1560">
        <v>6.1757350000000003E-2</v>
      </c>
      <c r="J1560">
        <v>1282</v>
      </c>
      <c r="K1560">
        <v>20758.66273</v>
      </c>
      <c r="L1560">
        <v>0.70099999999999996</v>
      </c>
      <c r="M1560">
        <v>0.17288801600000001</v>
      </c>
      <c r="N1560">
        <v>0</v>
      </c>
      <c r="O1560" t="s">
        <v>613</v>
      </c>
      <c r="P1560">
        <f t="shared" si="218"/>
        <v>9.3974489800000001</v>
      </c>
      <c r="Q1560">
        <f t="shared" si="219"/>
        <v>3.6999999999999998E-2</v>
      </c>
      <c r="R1560">
        <f t="shared" si="220"/>
        <v>3.7999999999999999E-2</v>
      </c>
      <c r="S1560">
        <f t="shared" si="221"/>
        <v>0.70099999999999996</v>
      </c>
      <c r="T1560">
        <f t="shared" si="222"/>
        <v>1.4876470589999999</v>
      </c>
      <c r="U1560">
        <f t="shared" si="223"/>
        <v>5.5248580970000001</v>
      </c>
      <c r="V1560">
        <f t="shared" si="224"/>
        <v>5.8000000000000003E-2</v>
      </c>
      <c r="W1560">
        <f t="shared" si="225"/>
        <v>0.1</v>
      </c>
      <c r="X1560">
        <f t="shared" si="226"/>
        <v>0.81699999999999995</v>
      </c>
      <c r="Y1560">
        <v>172.18669270000001</v>
      </c>
      <c r="Z1560">
        <v>0</v>
      </c>
      <c r="AA1560">
        <v>82284</v>
      </c>
      <c r="AB1560">
        <v>32030</v>
      </c>
      <c r="AC1560">
        <v>4.7570397E-2</v>
      </c>
      <c r="AD1560">
        <v>0.78974696300000002</v>
      </c>
      <c r="AF1560">
        <v>9.3974489800000001</v>
      </c>
      <c r="AG1560">
        <v>3.6999999999999998E-2</v>
      </c>
      <c r="AH1560">
        <v>3.7999999999999999E-2</v>
      </c>
      <c r="AI1560">
        <v>0.70099999999999996</v>
      </c>
      <c r="AJ1560">
        <v>1.4876470589999999</v>
      </c>
      <c r="AK1560">
        <v>5.5248580970000001</v>
      </c>
      <c r="AL1560">
        <v>5.8000000000000003E-2</v>
      </c>
      <c r="AM1560">
        <v>0.1</v>
      </c>
      <c r="AN1560">
        <v>0.81699999999999995</v>
      </c>
    </row>
    <row r="1561" spans="1:40">
      <c r="A1561">
        <v>3629</v>
      </c>
      <c r="B1561" t="s">
        <v>698</v>
      </c>
      <c r="C1561" t="s">
        <v>693</v>
      </c>
      <c r="D1561" t="s">
        <v>694</v>
      </c>
      <c r="E1561">
        <v>0</v>
      </c>
      <c r="F1561">
        <v>43</v>
      </c>
      <c r="G1561">
        <v>140.74874629999999</v>
      </c>
      <c r="H1561">
        <v>2167</v>
      </c>
      <c r="I1561">
        <v>0.22000589400000001</v>
      </c>
      <c r="J1561">
        <v>2210</v>
      </c>
      <c r="K1561">
        <v>10045.18543</v>
      </c>
      <c r="L1561">
        <v>0.91800000000000004</v>
      </c>
      <c r="M1561" s="515">
        <v>1</v>
      </c>
      <c r="N1561">
        <v>0</v>
      </c>
      <c r="O1561" t="s">
        <v>620</v>
      </c>
      <c r="P1561">
        <f t="shared" si="218"/>
        <v>19.369676470000002</v>
      </c>
      <c r="Q1561">
        <f t="shared" si="219"/>
        <v>4.0000000000000001E-3</v>
      </c>
      <c r="R1561">
        <f t="shared" si="220"/>
        <v>0.01</v>
      </c>
      <c r="S1561">
        <f t="shared" si="221"/>
        <v>0.91800000000000004</v>
      </c>
      <c r="T1561">
        <f t="shared" si="222"/>
        <v>2.8050000000000002</v>
      </c>
      <c r="U1561">
        <f t="shared" si="223"/>
        <v>11.137079890000001</v>
      </c>
      <c r="V1561">
        <f t="shared" si="224"/>
        <v>0.02</v>
      </c>
      <c r="W1561">
        <f t="shared" si="225"/>
        <v>1.4E-2</v>
      </c>
      <c r="X1561">
        <f t="shared" si="226"/>
        <v>0.96599999999999997</v>
      </c>
      <c r="Y1561">
        <v>21.810232689999999</v>
      </c>
      <c r="Z1561">
        <v>0</v>
      </c>
      <c r="AA1561">
        <v>88250</v>
      </c>
      <c r="AB1561">
        <v>31723</v>
      </c>
      <c r="AC1561">
        <v>1.0795895999999999E-2</v>
      </c>
      <c r="AD1561">
        <v>0.817760245</v>
      </c>
      <c r="AF1561">
        <v>19.369676470000002</v>
      </c>
      <c r="AG1561">
        <v>4.0000000000000001E-3</v>
      </c>
      <c r="AH1561">
        <v>0.01</v>
      </c>
      <c r="AI1561">
        <v>0.91800000000000004</v>
      </c>
      <c r="AJ1561">
        <v>2.8050000000000002</v>
      </c>
      <c r="AK1561">
        <v>11.137079890000001</v>
      </c>
      <c r="AL1561">
        <v>0.02</v>
      </c>
      <c r="AM1561">
        <v>1.4E-2</v>
      </c>
      <c r="AN1561">
        <v>0.96599999999999997</v>
      </c>
    </row>
    <row r="1562" spans="1:40">
      <c r="A1562">
        <v>3630</v>
      </c>
      <c r="B1562" t="s">
        <v>698</v>
      </c>
      <c r="C1562" t="s">
        <v>693</v>
      </c>
      <c r="D1562" t="s">
        <v>694</v>
      </c>
      <c r="E1562">
        <v>0</v>
      </c>
      <c r="F1562">
        <v>1</v>
      </c>
      <c r="G1562">
        <v>689.00137199999995</v>
      </c>
      <c r="H1562">
        <v>205</v>
      </c>
      <c r="I1562" s="515">
        <v>1.0769969327394699</v>
      </c>
      <c r="J1562">
        <v>206</v>
      </c>
      <c r="K1562">
        <v>191.27259670000001</v>
      </c>
      <c r="L1562">
        <v>0.93</v>
      </c>
      <c r="M1562" s="515">
        <v>1</v>
      </c>
      <c r="N1562">
        <v>0</v>
      </c>
      <c r="O1562" t="s">
        <v>620</v>
      </c>
      <c r="P1562">
        <f t="shared" si="218"/>
        <v>20.093499999999999</v>
      </c>
      <c r="Q1562">
        <f t="shared" si="219"/>
        <v>1.2999999999999999E-2</v>
      </c>
      <c r="R1562">
        <f t="shared" si="220"/>
        <v>0.02</v>
      </c>
      <c r="S1562">
        <f t="shared" si="221"/>
        <v>0.93</v>
      </c>
      <c r="T1562">
        <f t="shared" si="222"/>
        <v>2.1383333329999998</v>
      </c>
      <c r="U1562">
        <f t="shared" si="223"/>
        <v>9.7068821290000002</v>
      </c>
      <c r="V1562">
        <f t="shared" si="224"/>
        <v>4.4999999999999998E-2</v>
      </c>
      <c r="W1562">
        <f t="shared" si="225"/>
        <v>4.4999999999999998E-2</v>
      </c>
      <c r="X1562">
        <f t="shared" si="226"/>
        <v>0.90900000000000003</v>
      </c>
      <c r="Y1562">
        <v>21.835074120000002</v>
      </c>
      <c r="Z1562">
        <v>0</v>
      </c>
      <c r="AA1562">
        <v>88250</v>
      </c>
      <c r="AB1562">
        <v>31723</v>
      </c>
      <c r="AC1562">
        <v>1.0795895999999999E-2</v>
      </c>
      <c r="AD1562">
        <v>0.817760245</v>
      </c>
      <c r="AF1562">
        <v>20.093499999999999</v>
      </c>
      <c r="AG1562">
        <v>1.2999999999999999E-2</v>
      </c>
      <c r="AH1562">
        <v>0.02</v>
      </c>
      <c r="AI1562">
        <v>0.93</v>
      </c>
      <c r="AJ1562">
        <v>2.1383333329999998</v>
      </c>
      <c r="AK1562">
        <v>9.7068821290000002</v>
      </c>
      <c r="AL1562">
        <v>4.4999999999999998E-2</v>
      </c>
      <c r="AM1562">
        <v>4.4999999999999998E-2</v>
      </c>
      <c r="AN1562">
        <v>0.90900000000000003</v>
      </c>
    </row>
    <row r="1563" spans="1:40">
      <c r="A1563">
        <v>3631</v>
      </c>
      <c r="B1563" t="s">
        <v>698</v>
      </c>
      <c r="C1563" t="s">
        <v>693</v>
      </c>
      <c r="D1563" t="s">
        <v>694</v>
      </c>
      <c r="E1563">
        <v>0</v>
      </c>
      <c r="F1563">
        <v>1</v>
      </c>
      <c r="G1563">
        <v>224.8859636</v>
      </c>
      <c r="H1563">
        <v>914</v>
      </c>
      <c r="I1563">
        <v>0.35149506000000003</v>
      </c>
      <c r="J1563">
        <v>915</v>
      </c>
      <c r="K1563">
        <v>2603.1660299999999</v>
      </c>
      <c r="L1563">
        <v>0.95599999999999996</v>
      </c>
      <c r="M1563" s="515">
        <v>1</v>
      </c>
      <c r="N1563">
        <v>0</v>
      </c>
      <c r="O1563" t="s">
        <v>625</v>
      </c>
      <c r="P1563">
        <f t="shared" si="218"/>
        <v>15.415793649999999</v>
      </c>
      <c r="Q1563">
        <f t="shared" si="219"/>
        <v>1E-3</v>
      </c>
      <c r="R1563">
        <f t="shared" si="220"/>
        <v>5.0000000000000001E-3</v>
      </c>
      <c r="S1563">
        <f t="shared" si="221"/>
        <v>0.95599999999999996</v>
      </c>
      <c r="T1563">
        <f t="shared" si="222"/>
        <v>2.9860000000000002</v>
      </c>
      <c r="U1563">
        <f t="shared" si="223"/>
        <v>8.0202996669999997</v>
      </c>
      <c r="V1563">
        <f t="shared" si="224"/>
        <v>1.6E-2</v>
      </c>
      <c r="W1563">
        <f t="shared" si="225"/>
        <v>8.0000000000000002E-3</v>
      </c>
      <c r="X1563">
        <f t="shared" si="226"/>
        <v>0.97699999999999998</v>
      </c>
      <c r="Y1563">
        <v>21.795050310000001</v>
      </c>
      <c r="Z1563">
        <v>0</v>
      </c>
      <c r="AA1563">
        <v>88250</v>
      </c>
      <c r="AB1563">
        <v>31723</v>
      </c>
      <c r="AC1563">
        <v>1.0795895999999999E-2</v>
      </c>
      <c r="AD1563">
        <v>0.817760245</v>
      </c>
      <c r="AF1563">
        <v>15.415793649999999</v>
      </c>
      <c r="AG1563">
        <v>1E-3</v>
      </c>
      <c r="AH1563">
        <v>5.0000000000000001E-3</v>
      </c>
      <c r="AI1563">
        <v>0.95599999999999996</v>
      </c>
      <c r="AJ1563">
        <v>2.9860000000000002</v>
      </c>
      <c r="AK1563">
        <v>8.0202996669999997</v>
      </c>
      <c r="AL1563">
        <v>1.6E-2</v>
      </c>
      <c r="AM1563">
        <v>8.0000000000000002E-3</v>
      </c>
      <c r="AN1563">
        <v>0.97699999999999998</v>
      </c>
    </row>
    <row r="1564" spans="1:40">
      <c r="A1564">
        <v>3632</v>
      </c>
      <c r="B1564" t="s">
        <v>707</v>
      </c>
      <c r="C1564" t="s">
        <v>693</v>
      </c>
      <c r="D1564" t="s">
        <v>694</v>
      </c>
      <c r="E1564">
        <v>3</v>
      </c>
      <c r="F1564">
        <v>6</v>
      </c>
      <c r="G1564">
        <v>691.44350989999998</v>
      </c>
      <c r="H1564">
        <v>0</v>
      </c>
      <c r="I1564" s="515">
        <v>1.0808138633370199</v>
      </c>
      <c r="J1564">
        <v>6</v>
      </c>
      <c r="K1564">
        <v>5.5513721680000003</v>
      </c>
      <c r="L1564" s="515">
        <v>1</v>
      </c>
      <c r="M1564">
        <v>0</v>
      </c>
      <c r="N1564">
        <v>0</v>
      </c>
      <c r="O1564" t="s">
        <v>625</v>
      </c>
      <c r="P1564">
        <f t="shared" si="218"/>
        <v>18.273803565652177</v>
      </c>
      <c r="Q1564">
        <f t="shared" si="219"/>
        <v>2.0450000000000006E-2</v>
      </c>
      <c r="R1564">
        <f t="shared" si="220"/>
        <v>7.2846153846153852E-2</v>
      </c>
      <c r="S1564">
        <f t="shared" si="221"/>
        <v>1</v>
      </c>
      <c r="T1564">
        <f t="shared" si="222"/>
        <v>2.2191326312692303</v>
      </c>
      <c r="U1564">
        <f t="shared" si="223"/>
        <v>8.4359999999999999</v>
      </c>
      <c r="V1564">
        <f t="shared" si="224"/>
        <v>0.11835714285714286</v>
      </c>
      <c r="W1564">
        <f t="shared" si="225"/>
        <v>8.5526315789473686E-2</v>
      </c>
      <c r="X1564">
        <f t="shared" si="226"/>
        <v>0.94647826086956499</v>
      </c>
      <c r="Y1564">
        <v>8.1590707679999994</v>
      </c>
      <c r="Z1564">
        <v>0</v>
      </c>
      <c r="AA1564">
        <v>21149</v>
      </c>
      <c r="AB1564">
        <v>6968</v>
      </c>
      <c r="AC1564">
        <v>1.6645858999999999E-2</v>
      </c>
      <c r="AD1564">
        <v>0.89069218999999999</v>
      </c>
      <c r="AG1564">
        <v>0</v>
      </c>
      <c r="AH1564">
        <v>0</v>
      </c>
      <c r="AI1564">
        <v>1</v>
      </c>
      <c r="AK1564">
        <v>8.4359999999999999</v>
      </c>
    </row>
    <row r="1565" spans="1:40">
      <c r="A1565">
        <v>3633</v>
      </c>
      <c r="B1565" t="s">
        <v>698</v>
      </c>
      <c r="C1565" t="s">
        <v>693</v>
      </c>
      <c r="D1565" t="s">
        <v>694</v>
      </c>
      <c r="E1565">
        <v>184</v>
      </c>
      <c r="F1565">
        <v>184</v>
      </c>
      <c r="G1565">
        <v>97.58255896</v>
      </c>
      <c r="H1565">
        <v>0</v>
      </c>
      <c r="I1565">
        <v>0.15253438699999999</v>
      </c>
      <c r="J1565">
        <v>184</v>
      </c>
      <c r="K1565">
        <v>1206.285374</v>
      </c>
      <c r="L1565">
        <v>0.83299999999999996</v>
      </c>
      <c r="M1565">
        <v>0</v>
      </c>
      <c r="N1565">
        <v>0</v>
      </c>
      <c r="O1565" t="s">
        <v>625</v>
      </c>
      <c r="P1565">
        <f t="shared" si="218"/>
        <v>19.46473684</v>
      </c>
      <c r="Q1565">
        <f t="shared" si="219"/>
        <v>2.1999999999999999E-2</v>
      </c>
      <c r="R1565">
        <f t="shared" si="220"/>
        <v>8.9999999999999993E-3</v>
      </c>
      <c r="S1565">
        <f t="shared" si="221"/>
        <v>0.83299999999999996</v>
      </c>
      <c r="T1565">
        <f t="shared" si="222"/>
        <v>3.1749999999999998</v>
      </c>
      <c r="U1565">
        <f t="shared" si="223"/>
        <v>8.8595555560000001</v>
      </c>
      <c r="V1565">
        <f t="shared" si="224"/>
        <v>4.0705882352941189E-2</v>
      </c>
      <c r="W1565">
        <f t="shared" si="225"/>
        <v>5.2166666666666632E-2</v>
      </c>
      <c r="X1565">
        <f t="shared" si="226"/>
        <v>0.90500000000000003</v>
      </c>
      <c r="Y1565">
        <v>8.7321030329999996</v>
      </c>
      <c r="Z1565">
        <v>0</v>
      </c>
      <c r="AA1565">
        <v>88250</v>
      </c>
      <c r="AB1565">
        <v>31723</v>
      </c>
      <c r="AC1565">
        <v>1.0795895999999999E-2</v>
      </c>
      <c r="AD1565">
        <v>0.817760245</v>
      </c>
      <c r="AF1565">
        <v>19.46473684</v>
      </c>
      <c r="AG1565">
        <v>2.1999999999999999E-2</v>
      </c>
      <c r="AH1565">
        <v>8.9999999999999993E-3</v>
      </c>
      <c r="AI1565">
        <v>0.83299999999999996</v>
      </c>
      <c r="AJ1565">
        <v>3.1749999999999998</v>
      </c>
      <c r="AK1565">
        <v>8.8595555560000001</v>
      </c>
      <c r="AL1565">
        <v>0</v>
      </c>
      <c r="AM1565">
        <v>0</v>
      </c>
      <c r="AN1565">
        <v>0.90500000000000003</v>
      </c>
    </row>
    <row r="1566" spans="1:40">
      <c r="A1566">
        <v>3634</v>
      </c>
      <c r="B1566" t="s">
        <v>698</v>
      </c>
      <c r="C1566" t="s">
        <v>693</v>
      </c>
      <c r="D1566" t="s">
        <v>694</v>
      </c>
      <c r="E1566">
        <v>151</v>
      </c>
      <c r="F1566">
        <v>347</v>
      </c>
      <c r="G1566">
        <v>92.831348210000002</v>
      </c>
      <c r="H1566">
        <v>3</v>
      </c>
      <c r="I1566">
        <v>0.14510410100000001</v>
      </c>
      <c r="J1566">
        <v>350</v>
      </c>
      <c r="K1566">
        <v>2412.061393</v>
      </c>
      <c r="L1566">
        <v>0.89700000000000002</v>
      </c>
      <c r="M1566">
        <v>1.9480519000000002E-2</v>
      </c>
      <c r="N1566">
        <v>0</v>
      </c>
      <c r="O1566" t="s">
        <v>625</v>
      </c>
      <c r="P1566">
        <f t="shared" si="218"/>
        <v>13.144857139999999</v>
      </c>
      <c r="Q1566">
        <f t="shared" si="219"/>
        <v>1.452380952380952E-2</v>
      </c>
      <c r="R1566">
        <f t="shared" si="220"/>
        <v>1.7000000000000001E-2</v>
      </c>
      <c r="S1566">
        <f t="shared" si="221"/>
        <v>0.89700000000000002</v>
      </c>
      <c r="T1566">
        <f t="shared" si="222"/>
        <v>2.0975000000000001</v>
      </c>
      <c r="U1566">
        <f t="shared" si="223"/>
        <v>6.8227000000000002</v>
      </c>
      <c r="V1566">
        <f t="shared" si="224"/>
        <v>2.8000000000000001E-2</v>
      </c>
      <c r="W1566">
        <f t="shared" si="225"/>
        <v>5.2166666666666632E-2</v>
      </c>
      <c r="X1566">
        <f t="shared" si="226"/>
        <v>0.97199999999999998</v>
      </c>
      <c r="Y1566">
        <v>8.1359523720000002</v>
      </c>
      <c r="Z1566">
        <v>0</v>
      </c>
      <c r="AA1566">
        <v>88250</v>
      </c>
      <c r="AB1566">
        <v>31723</v>
      </c>
      <c r="AC1566">
        <v>1.0795895999999999E-2</v>
      </c>
      <c r="AD1566">
        <v>0.817760245</v>
      </c>
      <c r="AF1566">
        <v>13.144857139999999</v>
      </c>
      <c r="AG1566">
        <v>0</v>
      </c>
      <c r="AH1566">
        <v>1.7000000000000001E-2</v>
      </c>
      <c r="AI1566">
        <v>0.89700000000000002</v>
      </c>
      <c r="AJ1566">
        <v>2.0975000000000001</v>
      </c>
      <c r="AK1566">
        <v>6.8227000000000002</v>
      </c>
      <c r="AL1566">
        <v>2.8000000000000001E-2</v>
      </c>
      <c r="AM1566">
        <v>0</v>
      </c>
      <c r="AN1566">
        <v>0.97199999999999998</v>
      </c>
    </row>
    <row r="1567" spans="1:40">
      <c r="A1567">
        <v>3635</v>
      </c>
      <c r="B1567" t="s">
        <v>698</v>
      </c>
      <c r="C1567" t="s">
        <v>693</v>
      </c>
      <c r="D1567" t="s">
        <v>694</v>
      </c>
      <c r="E1567">
        <v>0</v>
      </c>
      <c r="F1567">
        <v>110</v>
      </c>
      <c r="G1567">
        <v>137.63142590000001</v>
      </c>
      <c r="H1567">
        <v>317</v>
      </c>
      <c r="I1567">
        <v>0.215128547</v>
      </c>
      <c r="J1567">
        <v>427</v>
      </c>
      <c r="K1567">
        <v>1984.859778</v>
      </c>
      <c r="L1567">
        <v>0.92200000000000004</v>
      </c>
      <c r="M1567" s="515">
        <v>1</v>
      </c>
      <c r="N1567">
        <v>0</v>
      </c>
      <c r="O1567" t="s">
        <v>620</v>
      </c>
      <c r="P1567">
        <f t="shared" si="218"/>
        <v>13.07472222</v>
      </c>
      <c r="Q1567">
        <f t="shared" si="219"/>
        <v>4.8000000000000001E-2</v>
      </c>
      <c r="R1567">
        <f t="shared" si="220"/>
        <v>1.2999999999999999E-2</v>
      </c>
      <c r="S1567">
        <f t="shared" si="221"/>
        <v>0.92200000000000004</v>
      </c>
      <c r="T1567">
        <f t="shared" si="222"/>
        <v>2.9232142859999999</v>
      </c>
      <c r="U1567">
        <f t="shared" si="223"/>
        <v>7.5093203879999999</v>
      </c>
      <c r="V1567">
        <f t="shared" si="224"/>
        <v>9.8000000000000004E-2</v>
      </c>
      <c r="W1567">
        <f t="shared" si="225"/>
        <v>2.4E-2</v>
      </c>
      <c r="X1567">
        <f t="shared" si="226"/>
        <v>0.878</v>
      </c>
      <c r="Y1567">
        <v>8.127424005</v>
      </c>
      <c r="Z1567">
        <v>0</v>
      </c>
      <c r="AA1567">
        <v>88250</v>
      </c>
      <c r="AB1567">
        <v>31723</v>
      </c>
      <c r="AC1567">
        <v>1.0795895999999999E-2</v>
      </c>
      <c r="AD1567">
        <v>0.817760245</v>
      </c>
      <c r="AF1567">
        <v>13.07472222</v>
      </c>
      <c r="AG1567">
        <v>4.8000000000000001E-2</v>
      </c>
      <c r="AH1567">
        <v>1.2999999999999999E-2</v>
      </c>
      <c r="AI1567">
        <v>0.92200000000000004</v>
      </c>
      <c r="AJ1567">
        <v>2.9232142859999999</v>
      </c>
      <c r="AK1567">
        <v>7.5093203879999999</v>
      </c>
      <c r="AL1567">
        <v>9.8000000000000004E-2</v>
      </c>
      <c r="AM1567">
        <v>2.4E-2</v>
      </c>
      <c r="AN1567">
        <v>0.878</v>
      </c>
    </row>
    <row r="1568" spans="1:40">
      <c r="A1568">
        <v>3636</v>
      </c>
      <c r="B1568" t="s">
        <v>709</v>
      </c>
      <c r="C1568" t="s">
        <v>693</v>
      </c>
      <c r="D1568" t="s">
        <v>694</v>
      </c>
      <c r="E1568">
        <v>160</v>
      </c>
      <c r="F1568">
        <v>1147</v>
      </c>
      <c r="G1568">
        <v>65.373078800000002</v>
      </c>
      <c r="H1568">
        <v>0</v>
      </c>
      <c r="I1568">
        <v>0.102184283</v>
      </c>
      <c r="J1568">
        <v>1147</v>
      </c>
      <c r="K1568">
        <v>11224.8182</v>
      </c>
      <c r="L1568">
        <v>0.751</v>
      </c>
      <c r="M1568">
        <v>0</v>
      </c>
      <c r="N1568">
        <v>0</v>
      </c>
      <c r="O1568" t="s">
        <v>620</v>
      </c>
      <c r="P1568">
        <f t="shared" si="218"/>
        <v>14.93633333</v>
      </c>
      <c r="Q1568">
        <f t="shared" si="219"/>
        <v>1.4999999999999999E-2</v>
      </c>
      <c r="R1568">
        <f t="shared" si="220"/>
        <v>6.5000000000000002E-2</v>
      </c>
      <c r="S1568">
        <f t="shared" si="221"/>
        <v>0.751</v>
      </c>
      <c r="T1568">
        <f t="shared" si="222"/>
        <v>2.2688461539999998</v>
      </c>
      <c r="U1568">
        <f t="shared" si="223"/>
        <v>8.6885763889999996</v>
      </c>
      <c r="V1568">
        <f t="shared" si="224"/>
        <v>8.7999999999999995E-2</v>
      </c>
      <c r="W1568">
        <f t="shared" si="225"/>
        <v>2.9000000000000001E-2</v>
      </c>
      <c r="X1568">
        <f t="shared" si="226"/>
        <v>0.88200000000000001</v>
      </c>
      <c r="Y1568">
        <v>54.940533430000002</v>
      </c>
      <c r="Z1568">
        <v>0</v>
      </c>
      <c r="AA1568">
        <v>56865</v>
      </c>
      <c r="AB1568">
        <v>22398</v>
      </c>
      <c r="AC1568">
        <v>1.1143686E-2</v>
      </c>
      <c r="AD1568">
        <v>0.81944707100000003</v>
      </c>
      <c r="AF1568">
        <v>14.93633333</v>
      </c>
      <c r="AG1568">
        <v>1.4999999999999999E-2</v>
      </c>
      <c r="AH1568">
        <v>6.5000000000000002E-2</v>
      </c>
      <c r="AI1568">
        <v>0.751</v>
      </c>
      <c r="AJ1568">
        <v>2.2688461539999998</v>
      </c>
      <c r="AK1568">
        <v>8.6885763889999996</v>
      </c>
      <c r="AL1568">
        <v>8.7999999999999995E-2</v>
      </c>
      <c r="AM1568">
        <v>2.9000000000000001E-2</v>
      </c>
      <c r="AN1568">
        <v>0.88200000000000001</v>
      </c>
    </row>
    <row r="1569" spans="1:40">
      <c r="A1569">
        <v>3637</v>
      </c>
      <c r="B1569" t="s">
        <v>707</v>
      </c>
      <c r="C1569" t="s">
        <v>693</v>
      </c>
      <c r="D1569" t="s">
        <v>694</v>
      </c>
      <c r="E1569">
        <v>4</v>
      </c>
      <c r="F1569">
        <v>14</v>
      </c>
      <c r="G1569">
        <v>660.20050530000003</v>
      </c>
      <c r="H1569">
        <v>5</v>
      </c>
      <c r="I1569" s="515">
        <v>1.03198105747265</v>
      </c>
      <c r="J1569">
        <v>19</v>
      </c>
      <c r="K1569">
        <v>18.411190650000002</v>
      </c>
      <c r="L1569" s="515">
        <v>1</v>
      </c>
      <c r="M1569">
        <v>0.55555555599999995</v>
      </c>
      <c r="N1569">
        <v>0</v>
      </c>
      <c r="O1569" t="s">
        <v>625</v>
      </c>
      <c r="P1569">
        <f t="shared" si="218"/>
        <v>18.273803565652177</v>
      </c>
      <c r="Q1569">
        <f t="shared" si="219"/>
        <v>2.0450000000000006E-2</v>
      </c>
      <c r="R1569">
        <f t="shared" si="220"/>
        <v>7.2846153846153852E-2</v>
      </c>
      <c r="S1569">
        <f t="shared" si="221"/>
        <v>1</v>
      </c>
      <c r="T1569">
        <f t="shared" si="222"/>
        <v>2.2191326312692303</v>
      </c>
      <c r="U1569">
        <f t="shared" si="223"/>
        <v>7.2549999999999999</v>
      </c>
      <c r="V1569">
        <f t="shared" si="224"/>
        <v>0.11835714285714286</v>
      </c>
      <c r="W1569">
        <f t="shared" si="225"/>
        <v>8.5526315789473686E-2</v>
      </c>
      <c r="X1569">
        <f t="shared" si="226"/>
        <v>0.94647826086956499</v>
      </c>
      <c r="Y1569">
        <v>54.973906999999997</v>
      </c>
      <c r="Z1569">
        <v>0</v>
      </c>
      <c r="AA1569">
        <v>21149</v>
      </c>
      <c r="AB1569">
        <v>6968</v>
      </c>
      <c r="AC1569">
        <v>1.6645858999999999E-2</v>
      </c>
      <c r="AD1569">
        <v>0.89069218999999999</v>
      </c>
      <c r="AG1569">
        <v>0</v>
      </c>
      <c r="AH1569">
        <v>0</v>
      </c>
      <c r="AI1569">
        <v>1</v>
      </c>
      <c r="AK1569">
        <v>7.2549999999999999</v>
      </c>
    </row>
    <row r="1570" spans="1:40">
      <c r="A1570">
        <v>3638</v>
      </c>
      <c r="B1570" t="s">
        <v>698</v>
      </c>
      <c r="C1570" t="s">
        <v>693</v>
      </c>
      <c r="D1570" t="s">
        <v>694</v>
      </c>
      <c r="E1570">
        <v>31</v>
      </c>
      <c r="F1570">
        <v>192</v>
      </c>
      <c r="G1570">
        <v>108.6400036</v>
      </c>
      <c r="H1570">
        <v>991</v>
      </c>
      <c r="I1570">
        <v>0.16982312499999999</v>
      </c>
      <c r="J1570">
        <v>1183</v>
      </c>
      <c r="K1570">
        <v>6966.0713169999999</v>
      </c>
      <c r="L1570">
        <v>0.85399999999999998</v>
      </c>
      <c r="M1570">
        <v>0.96966731900000003</v>
      </c>
      <c r="N1570">
        <v>0</v>
      </c>
      <c r="O1570" t="s">
        <v>620</v>
      </c>
      <c r="P1570">
        <f t="shared" si="218"/>
        <v>21.725045049999999</v>
      </c>
      <c r="Q1570">
        <f t="shared" si="219"/>
        <v>1.2E-2</v>
      </c>
      <c r="R1570">
        <f t="shared" si="220"/>
        <v>1.4E-2</v>
      </c>
      <c r="S1570">
        <f t="shared" si="221"/>
        <v>0.85399999999999998</v>
      </c>
      <c r="T1570">
        <f t="shared" si="222"/>
        <v>1.32</v>
      </c>
      <c r="U1570">
        <f t="shared" si="223"/>
        <v>10.15205821</v>
      </c>
      <c r="V1570">
        <f t="shared" si="224"/>
        <v>2.5000000000000001E-2</v>
      </c>
      <c r="W1570">
        <f t="shared" si="225"/>
        <v>8.0000000000000002E-3</v>
      </c>
      <c r="X1570">
        <f t="shared" si="226"/>
        <v>0.93300000000000005</v>
      </c>
      <c r="Y1570">
        <v>40.174191409999999</v>
      </c>
      <c r="Z1570">
        <v>0</v>
      </c>
      <c r="AA1570">
        <v>88250</v>
      </c>
      <c r="AB1570">
        <v>31723</v>
      </c>
      <c r="AC1570">
        <v>1.0795895999999999E-2</v>
      </c>
      <c r="AD1570">
        <v>0.817760245</v>
      </c>
      <c r="AF1570">
        <v>21.725045049999999</v>
      </c>
      <c r="AG1570">
        <v>1.2E-2</v>
      </c>
      <c r="AH1570">
        <v>1.4E-2</v>
      </c>
      <c r="AI1570">
        <v>0.85399999999999998</v>
      </c>
      <c r="AJ1570">
        <v>1.32</v>
      </c>
      <c r="AK1570">
        <v>10.15205821</v>
      </c>
      <c r="AL1570">
        <v>2.5000000000000001E-2</v>
      </c>
      <c r="AM1570">
        <v>8.0000000000000002E-3</v>
      </c>
      <c r="AN1570">
        <v>0.93300000000000005</v>
      </c>
    </row>
    <row r="1571" spans="1:40">
      <c r="A1571">
        <v>3639</v>
      </c>
      <c r="B1571" t="s">
        <v>698</v>
      </c>
      <c r="C1571" t="s">
        <v>693</v>
      </c>
      <c r="D1571" t="s">
        <v>694</v>
      </c>
      <c r="E1571">
        <v>0</v>
      </c>
      <c r="F1571">
        <v>0</v>
      </c>
      <c r="G1571">
        <v>10.751364669999999</v>
      </c>
      <c r="H1571">
        <v>106</v>
      </c>
      <c r="I1571">
        <v>1.6804262E-2</v>
      </c>
      <c r="J1571">
        <v>106</v>
      </c>
      <c r="K1571">
        <v>6307.9235490000001</v>
      </c>
      <c r="L1571">
        <v>0.88500000000000001</v>
      </c>
      <c r="M1571" s="515">
        <v>1</v>
      </c>
      <c r="N1571">
        <v>0</v>
      </c>
      <c r="O1571" t="s">
        <v>620</v>
      </c>
      <c r="P1571">
        <f t="shared" si="218"/>
        <v>12.99</v>
      </c>
      <c r="Q1571">
        <f t="shared" si="219"/>
        <v>1.452380952380952E-2</v>
      </c>
      <c r="R1571">
        <f t="shared" si="220"/>
        <v>2.0178861788617868E-2</v>
      </c>
      <c r="S1571">
        <f t="shared" si="221"/>
        <v>0.88500000000000001</v>
      </c>
      <c r="T1571">
        <f t="shared" si="222"/>
        <v>2.0047367888780485</v>
      </c>
      <c r="U1571">
        <f t="shared" si="223"/>
        <v>6.5102272729999999</v>
      </c>
      <c r="V1571">
        <f t="shared" si="224"/>
        <v>4.0705882352941189E-2</v>
      </c>
      <c r="W1571">
        <f t="shared" si="225"/>
        <v>5.2166666666666632E-2</v>
      </c>
      <c r="X1571">
        <f t="shared" si="226"/>
        <v>1</v>
      </c>
      <c r="Y1571">
        <v>40.162430999999998</v>
      </c>
      <c r="Z1571">
        <v>0</v>
      </c>
      <c r="AA1571">
        <v>88250</v>
      </c>
      <c r="AB1571">
        <v>31723</v>
      </c>
      <c r="AC1571">
        <v>1.0795895999999999E-2</v>
      </c>
      <c r="AD1571">
        <v>0.817760245</v>
      </c>
      <c r="AF1571">
        <v>12.99</v>
      </c>
      <c r="AG1571">
        <v>0</v>
      </c>
      <c r="AH1571">
        <v>0</v>
      </c>
      <c r="AI1571">
        <v>0.88500000000000001</v>
      </c>
      <c r="AK1571">
        <v>6.5102272729999999</v>
      </c>
      <c r="AL1571">
        <v>0</v>
      </c>
      <c r="AM1571">
        <v>0</v>
      </c>
      <c r="AN1571">
        <v>1</v>
      </c>
    </row>
    <row r="1572" spans="1:40">
      <c r="A1572">
        <v>3640</v>
      </c>
      <c r="B1572" t="s">
        <v>698</v>
      </c>
      <c r="C1572" t="s">
        <v>693</v>
      </c>
      <c r="D1572" t="s">
        <v>694</v>
      </c>
      <c r="E1572">
        <v>151</v>
      </c>
      <c r="F1572">
        <v>178</v>
      </c>
      <c r="G1572">
        <v>85.28160914</v>
      </c>
      <c r="H1572">
        <v>379</v>
      </c>
      <c r="I1572">
        <v>0.133301053</v>
      </c>
      <c r="J1572">
        <v>557</v>
      </c>
      <c r="K1572">
        <v>4178.5116280000002</v>
      </c>
      <c r="L1572">
        <v>0.84299999999999997</v>
      </c>
      <c r="M1572">
        <v>0.71509434000000005</v>
      </c>
      <c r="N1572">
        <v>0</v>
      </c>
      <c r="O1572" t="s">
        <v>620</v>
      </c>
      <c r="P1572">
        <f t="shared" si="218"/>
        <v>17.88666667</v>
      </c>
      <c r="Q1572">
        <f t="shared" si="219"/>
        <v>0.02</v>
      </c>
      <c r="R1572">
        <f t="shared" si="220"/>
        <v>2.8000000000000001E-2</v>
      </c>
      <c r="S1572">
        <f t="shared" si="221"/>
        <v>0.84299999999999997</v>
      </c>
      <c r="T1572">
        <f t="shared" si="222"/>
        <v>2.3919999999999999</v>
      </c>
      <c r="U1572">
        <f t="shared" si="223"/>
        <v>9.9120134229999994</v>
      </c>
      <c r="V1572">
        <f t="shared" si="224"/>
        <v>1.4999999999999999E-2</v>
      </c>
      <c r="W1572">
        <f t="shared" si="225"/>
        <v>0.03</v>
      </c>
      <c r="X1572">
        <f t="shared" si="226"/>
        <v>0.95499999999999996</v>
      </c>
      <c r="Y1572">
        <v>40.162430999999998</v>
      </c>
      <c r="Z1572">
        <v>0</v>
      </c>
      <c r="AA1572">
        <v>88250</v>
      </c>
      <c r="AB1572">
        <v>31723</v>
      </c>
      <c r="AC1572">
        <v>1.0795895999999999E-2</v>
      </c>
      <c r="AD1572">
        <v>0.817760245</v>
      </c>
      <c r="AF1572">
        <v>17.88666667</v>
      </c>
      <c r="AG1572">
        <v>0.02</v>
      </c>
      <c r="AH1572">
        <v>2.8000000000000001E-2</v>
      </c>
      <c r="AI1572">
        <v>0.84299999999999997</v>
      </c>
      <c r="AJ1572">
        <v>2.3919999999999999</v>
      </c>
      <c r="AK1572">
        <v>9.9120134229999994</v>
      </c>
      <c r="AL1572">
        <v>1.4999999999999999E-2</v>
      </c>
      <c r="AM1572">
        <v>0.03</v>
      </c>
      <c r="AN1572">
        <v>0.95499999999999996</v>
      </c>
    </row>
    <row r="1573" spans="1:40">
      <c r="A1573">
        <v>3641</v>
      </c>
      <c r="B1573" t="s">
        <v>698</v>
      </c>
      <c r="C1573" t="s">
        <v>693</v>
      </c>
      <c r="D1573" t="s">
        <v>694</v>
      </c>
      <c r="E1573">
        <v>169</v>
      </c>
      <c r="F1573">
        <v>169</v>
      </c>
      <c r="G1573">
        <v>99.088846529999998</v>
      </c>
      <c r="H1573">
        <v>729</v>
      </c>
      <c r="I1573">
        <v>0.154892365</v>
      </c>
      <c r="J1573">
        <v>898</v>
      </c>
      <c r="K1573">
        <v>5797.5743350000002</v>
      </c>
      <c r="L1573">
        <v>0.86</v>
      </c>
      <c r="M1573">
        <v>0.81180400900000005</v>
      </c>
      <c r="N1573">
        <v>0</v>
      </c>
      <c r="O1573" t="s">
        <v>620</v>
      </c>
      <c r="P1573">
        <f t="shared" si="218"/>
        <v>15.830851060000001</v>
      </c>
      <c r="Q1573">
        <f t="shared" si="219"/>
        <v>1.2E-2</v>
      </c>
      <c r="R1573">
        <f t="shared" si="220"/>
        <v>8.0000000000000002E-3</v>
      </c>
      <c r="S1573">
        <f t="shared" si="221"/>
        <v>0.86</v>
      </c>
      <c r="T1573">
        <f t="shared" si="222"/>
        <v>2.25</v>
      </c>
      <c r="U1573">
        <f t="shared" si="223"/>
        <v>8.9954433500000004</v>
      </c>
      <c r="V1573">
        <f t="shared" si="224"/>
        <v>4.0705882352941189E-2</v>
      </c>
      <c r="W1573">
        <f t="shared" si="225"/>
        <v>5.8000000000000003E-2</v>
      </c>
      <c r="X1573">
        <f t="shared" si="226"/>
        <v>0.90400000000000003</v>
      </c>
      <c r="Y1573">
        <v>40.038709099999998</v>
      </c>
      <c r="Z1573">
        <v>0</v>
      </c>
      <c r="AA1573">
        <v>88250</v>
      </c>
      <c r="AB1573">
        <v>31723</v>
      </c>
      <c r="AC1573">
        <v>1.0795895999999999E-2</v>
      </c>
      <c r="AD1573">
        <v>0.817760245</v>
      </c>
      <c r="AF1573">
        <v>15.830851060000001</v>
      </c>
      <c r="AG1573">
        <v>1.2E-2</v>
      </c>
      <c r="AH1573">
        <v>8.0000000000000002E-3</v>
      </c>
      <c r="AI1573">
        <v>0.86</v>
      </c>
      <c r="AJ1573">
        <v>2.25</v>
      </c>
      <c r="AK1573">
        <v>8.9954433500000004</v>
      </c>
      <c r="AL1573">
        <v>0</v>
      </c>
      <c r="AM1573">
        <v>5.8000000000000003E-2</v>
      </c>
      <c r="AN1573">
        <v>0.90400000000000003</v>
      </c>
    </row>
    <row r="1574" spans="1:40">
      <c r="A1574">
        <v>3642</v>
      </c>
      <c r="B1574" t="s">
        <v>698</v>
      </c>
      <c r="C1574" t="s">
        <v>693</v>
      </c>
      <c r="D1574" t="s">
        <v>694</v>
      </c>
      <c r="E1574">
        <v>0</v>
      </c>
      <c r="F1574">
        <v>0</v>
      </c>
      <c r="G1574">
        <v>107.37040020000001</v>
      </c>
      <c r="H1574">
        <v>1594</v>
      </c>
      <c r="I1574">
        <v>0.16784505599999999</v>
      </c>
      <c r="J1574">
        <v>1594</v>
      </c>
      <c r="K1574">
        <v>9496.8540510000003</v>
      </c>
      <c r="L1574">
        <v>0.84099999999999997</v>
      </c>
      <c r="M1574" s="515">
        <v>1</v>
      </c>
      <c r="N1574">
        <v>0</v>
      </c>
      <c r="O1574" t="s">
        <v>620</v>
      </c>
      <c r="P1574">
        <f t="shared" si="218"/>
        <v>17.508814430000001</v>
      </c>
      <c r="Q1574">
        <f t="shared" si="219"/>
        <v>4.0000000000000001E-3</v>
      </c>
      <c r="R1574">
        <f t="shared" si="220"/>
        <v>1.2E-2</v>
      </c>
      <c r="S1574">
        <f t="shared" si="221"/>
        <v>0.84099999999999997</v>
      </c>
      <c r="T1574">
        <f t="shared" si="222"/>
        <v>1.8929411759999999</v>
      </c>
      <c r="U1574">
        <f t="shared" si="223"/>
        <v>9.9920722269999995</v>
      </c>
      <c r="V1574">
        <f t="shared" si="224"/>
        <v>1.4999999999999999E-2</v>
      </c>
      <c r="W1574">
        <f t="shared" si="225"/>
        <v>0.02</v>
      </c>
      <c r="X1574">
        <f t="shared" si="226"/>
        <v>0.95599999999999996</v>
      </c>
      <c r="Y1574">
        <v>5.8938741319999997</v>
      </c>
      <c r="Z1574">
        <v>0</v>
      </c>
      <c r="AA1574">
        <v>88250</v>
      </c>
      <c r="AB1574">
        <v>31723</v>
      </c>
      <c r="AC1574">
        <v>1.0795895999999999E-2</v>
      </c>
      <c r="AD1574">
        <v>0.817760245</v>
      </c>
      <c r="AF1574">
        <v>17.508814430000001</v>
      </c>
      <c r="AG1574">
        <v>4.0000000000000001E-3</v>
      </c>
      <c r="AH1574">
        <v>1.2E-2</v>
      </c>
      <c r="AI1574">
        <v>0.84099999999999997</v>
      </c>
      <c r="AJ1574">
        <v>1.8929411759999999</v>
      </c>
      <c r="AK1574">
        <v>9.9920722269999995</v>
      </c>
      <c r="AL1574">
        <v>1.4999999999999999E-2</v>
      </c>
      <c r="AM1574">
        <v>0.02</v>
      </c>
      <c r="AN1574">
        <v>0.95599999999999996</v>
      </c>
    </row>
    <row r="1575" spans="1:40">
      <c r="A1575">
        <v>3643</v>
      </c>
      <c r="B1575" t="s">
        <v>707</v>
      </c>
      <c r="C1575" t="s">
        <v>693</v>
      </c>
      <c r="D1575" t="s">
        <v>694</v>
      </c>
      <c r="E1575">
        <v>0</v>
      </c>
      <c r="F1575">
        <v>0</v>
      </c>
      <c r="G1575">
        <v>89.899762519999996</v>
      </c>
      <c r="H1575">
        <v>116</v>
      </c>
      <c r="I1575">
        <v>0.14052551099999999</v>
      </c>
      <c r="J1575">
        <v>116</v>
      </c>
      <c r="K1575">
        <v>825.47289220000005</v>
      </c>
      <c r="L1575">
        <v>0.95699999999999996</v>
      </c>
      <c r="M1575" s="515">
        <v>1</v>
      </c>
      <c r="N1575">
        <v>0</v>
      </c>
      <c r="O1575" t="s">
        <v>620</v>
      </c>
      <c r="P1575">
        <f t="shared" si="218"/>
        <v>29.363</v>
      </c>
      <c r="Q1575">
        <f t="shared" si="219"/>
        <v>2.0450000000000006E-2</v>
      </c>
      <c r="R1575">
        <f t="shared" si="220"/>
        <v>4.2999999999999997E-2</v>
      </c>
      <c r="S1575">
        <f t="shared" si="221"/>
        <v>0.95699999999999996</v>
      </c>
      <c r="T1575">
        <f t="shared" si="222"/>
        <v>2.335</v>
      </c>
      <c r="U1575">
        <f t="shared" si="223"/>
        <v>18.822045450000001</v>
      </c>
      <c r="V1575">
        <f t="shared" si="224"/>
        <v>4.8000000000000001E-2</v>
      </c>
      <c r="W1575">
        <f t="shared" si="225"/>
        <v>8.5526315789473686E-2</v>
      </c>
      <c r="X1575">
        <f t="shared" si="226"/>
        <v>0.95199999999999996</v>
      </c>
      <c r="Y1575">
        <v>5.8938741319999997</v>
      </c>
      <c r="Z1575">
        <v>0</v>
      </c>
      <c r="AA1575">
        <v>21149</v>
      </c>
      <c r="AB1575">
        <v>6968</v>
      </c>
      <c r="AC1575">
        <v>1.6645858999999999E-2</v>
      </c>
      <c r="AD1575">
        <v>0.89069218999999999</v>
      </c>
      <c r="AF1575">
        <v>29.363</v>
      </c>
      <c r="AG1575">
        <v>0</v>
      </c>
      <c r="AH1575">
        <v>4.2999999999999997E-2</v>
      </c>
      <c r="AI1575">
        <v>0.95699999999999996</v>
      </c>
      <c r="AJ1575">
        <v>2.335</v>
      </c>
      <c r="AK1575">
        <v>18.822045450000001</v>
      </c>
      <c r="AL1575">
        <v>4.8000000000000001E-2</v>
      </c>
      <c r="AM1575">
        <v>0</v>
      </c>
      <c r="AN1575">
        <v>0.95199999999999996</v>
      </c>
    </row>
    <row r="1576" spans="1:40">
      <c r="A1576">
        <v>3644</v>
      </c>
      <c r="B1576" t="s">
        <v>698</v>
      </c>
      <c r="C1576" t="s">
        <v>693</v>
      </c>
      <c r="D1576" t="s">
        <v>694</v>
      </c>
      <c r="E1576">
        <v>0</v>
      </c>
      <c r="F1576">
        <v>0</v>
      </c>
      <c r="G1576">
        <v>33.204108720000001</v>
      </c>
      <c r="H1576">
        <v>43</v>
      </c>
      <c r="I1576">
        <v>5.1899138999999997E-2</v>
      </c>
      <c r="J1576">
        <v>43</v>
      </c>
      <c r="K1576">
        <v>828.53012260000003</v>
      </c>
      <c r="L1576">
        <v>0.7</v>
      </c>
      <c r="M1576" s="515">
        <v>1</v>
      </c>
      <c r="N1576">
        <v>0</v>
      </c>
      <c r="O1576" t="s">
        <v>625</v>
      </c>
      <c r="P1576">
        <f t="shared" si="218"/>
        <v>2.02</v>
      </c>
      <c r="Q1576">
        <f t="shared" si="219"/>
        <v>1.452380952380952E-2</v>
      </c>
      <c r="R1576">
        <f t="shared" si="220"/>
        <v>2.0178861788617868E-2</v>
      </c>
      <c r="S1576">
        <f t="shared" si="221"/>
        <v>0.7</v>
      </c>
      <c r="T1576">
        <f t="shared" si="222"/>
        <v>2.0047367888780485</v>
      </c>
      <c r="U1576">
        <f t="shared" si="223"/>
        <v>15.297142859999999</v>
      </c>
      <c r="V1576">
        <f t="shared" si="224"/>
        <v>4.0705882352941189E-2</v>
      </c>
      <c r="W1576">
        <f t="shared" si="225"/>
        <v>5.2166666666666632E-2</v>
      </c>
      <c r="X1576">
        <f t="shared" si="226"/>
        <v>1</v>
      </c>
      <c r="Y1576">
        <v>5.8938741319999997</v>
      </c>
      <c r="Z1576">
        <v>0</v>
      </c>
      <c r="AA1576">
        <v>88250</v>
      </c>
      <c r="AB1576">
        <v>31723</v>
      </c>
      <c r="AC1576">
        <v>1.0795895999999999E-2</v>
      </c>
      <c r="AD1576">
        <v>0.817760245</v>
      </c>
      <c r="AF1576">
        <v>2.02</v>
      </c>
      <c r="AG1576">
        <v>0</v>
      </c>
      <c r="AH1576">
        <v>0</v>
      </c>
      <c r="AI1576">
        <v>0.7</v>
      </c>
      <c r="AK1576">
        <v>15.297142859999999</v>
      </c>
      <c r="AL1576">
        <v>0</v>
      </c>
      <c r="AM1576">
        <v>0</v>
      </c>
      <c r="AN1576">
        <v>1</v>
      </c>
    </row>
    <row r="1577" spans="1:40">
      <c r="A1577">
        <v>3645</v>
      </c>
      <c r="B1577" t="s">
        <v>698</v>
      </c>
      <c r="C1577" t="s">
        <v>693</v>
      </c>
      <c r="D1577" t="s">
        <v>694</v>
      </c>
      <c r="E1577">
        <v>153</v>
      </c>
      <c r="F1577">
        <v>153</v>
      </c>
      <c r="G1577">
        <v>53.002195290000003</v>
      </c>
      <c r="H1577">
        <v>83</v>
      </c>
      <c r="I1577">
        <v>8.2847201999999995E-2</v>
      </c>
      <c r="J1577">
        <v>236</v>
      </c>
      <c r="K1577">
        <v>2848.6176270000001</v>
      </c>
      <c r="L1577">
        <v>0.78500000000000003</v>
      </c>
      <c r="M1577">
        <v>0.351694915</v>
      </c>
      <c r="N1577">
        <v>0</v>
      </c>
      <c r="O1577" t="s">
        <v>620</v>
      </c>
      <c r="P1577">
        <f t="shared" si="218"/>
        <v>9.6620000000000008</v>
      </c>
      <c r="Q1577">
        <f t="shared" si="219"/>
        <v>1.452380952380952E-2</v>
      </c>
      <c r="R1577">
        <f t="shared" si="220"/>
        <v>1.0999999999999999E-2</v>
      </c>
      <c r="S1577">
        <f t="shared" si="221"/>
        <v>0.78500000000000003</v>
      </c>
      <c r="T1577">
        <f t="shared" si="222"/>
        <v>0.71</v>
      </c>
      <c r="U1577">
        <f t="shared" si="223"/>
        <v>5.9861971829999998</v>
      </c>
      <c r="V1577">
        <f t="shared" si="224"/>
        <v>4.0705882352941189E-2</v>
      </c>
      <c r="W1577">
        <f t="shared" si="225"/>
        <v>5.2166666666666632E-2</v>
      </c>
      <c r="X1577">
        <f t="shared" si="226"/>
        <v>1</v>
      </c>
      <c r="Y1577">
        <v>5.9147650980000002</v>
      </c>
      <c r="Z1577">
        <v>0</v>
      </c>
      <c r="AA1577">
        <v>88250</v>
      </c>
      <c r="AB1577">
        <v>31723</v>
      </c>
      <c r="AC1577">
        <v>1.0795895999999999E-2</v>
      </c>
      <c r="AD1577">
        <v>0.817760245</v>
      </c>
      <c r="AF1577">
        <v>9.6620000000000008</v>
      </c>
      <c r="AG1577">
        <v>0</v>
      </c>
      <c r="AH1577">
        <v>1.0999999999999999E-2</v>
      </c>
      <c r="AI1577">
        <v>0.78500000000000003</v>
      </c>
      <c r="AJ1577">
        <v>0.71</v>
      </c>
      <c r="AK1577">
        <v>5.9861971829999998</v>
      </c>
      <c r="AL1577">
        <v>0</v>
      </c>
      <c r="AM1577">
        <v>0</v>
      </c>
      <c r="AN1577">
        <v>1</v>
      </c>
    </row>
    <row r="1578" spans="1:40">
      <c r="A1578">
        <v>3646</v>
      </c>
      <c r="B1578" t="s">
        <v>698</v>
      </c>
      <c r="C1578" t="s">
        <v>693</v>
      </c>
      <c r="D1578" t="s">
        <v>694</v>
      </c>
      <c r="E1578">
        <v>267</v>
      </c>
      <c r="F1578">
        <v>267</v>
      </c>
      <c r="G1578">
        <v>162.56992299999999</v>
      </c>
      <c r="H1578">
        <v>1238</v>
      </c>
      <c r="I1578">
        <v>0.25411665500000002</v>
      </c>
      <c r="J1578">
        <v>1505</v>
      </c>
      <c r="K1578">
        <v>5922.4768249999997</v>
      </c>
      <c r="L1578">
        <v>0.83099999999999996</v>
      </c>
      <c r="M1578">
        <v>0.82259136200000005</v>
      </c>
      <c r="N1578">
        <v>0</v>
      </c>
      <c r="O1578" t="s">
        <v>620</v>
      </c>
      <c r="P1578">
        <f t="shared" si="218"/>
        <v>18.316612899999999</v>
      </c>
      <c r="Q1578">
        <f t="shared" si="219"/>
        <v>1E-3</v>
      </c>
      <c r="R1578">
        <f t="shared" si="220"/>
        <v>2.3E-2</v>
      </c>
      <c r="S1578">
        <f t="shared" si="221"/>
        <v>0.83099999999999996</v>
      </c>
      <c r="T1578">
        <f t="shared" si="222"/>
        <v>2.9193750000000001</v>
      </c>
      <c r="U1578">
        <f t="shared" si="223"/>
        <v>11.70232143</v>
      </c>
      <c r="V1578">
        <f t="shared" si="224"/>
        <v>3.1E-2</v>
      </c>
      <c r="W1578">
        <f t="shared" si="225"/>
        <v>5.2166666666666632E-2</v>
      </c>
      <c r="X1578">
        <f t="shared" si="226"/>
        <v>0.95899999999999996</v>
      </c>
      <c r="Y1578">
        <v>5.9746677259999998</v>
      </c>
      <c r="Z1578">
        <v>0</v>
      </c>
      <c r="AA1578">
        <v>88250</v>
      </c>
      <c r="AB1578">
        <v>31723</v>
      </c>
      <c r="AC1578">
        <v>1.0795895999999999E-2</v>
      </c>
      <c r="AD1578">
        <v>0.817760245</v>
      </c>
      <c r="AF1578">
        <v>18.316612899999999</v>
      </c>
      <c r="AG1578">
        <v>1E-3</v>
      </c>
      <c r="AH1578">
        <v>2.3E-2</v>
      </c>
      <c r="AI1578">
        <v>0.83099999999999996</v>
      </c>
      <c r="AJ1578">
        <v>2.9193750000000001</v>
      </c>
      <c r="AK1578">
        <v>11.70232143</v>
      </c>
      <c r="AL1578">
        <v>3.1E-2</v>
      </c>
      <c r="AM1578">
        <v>0</v>
      </c>
      <c r="AN1578">
        <v>0.95899999999999996</v>
      </c>
    </row>
    <row r="1579" spans="1:40">
      <c r="A1579">
        <v>3647</v>
      </c>
      <c r="B1579" t="s">
        <v>698</v>
      </c>
      <c r="C1579" t="s">
        <v>693</v>
      </c>
      <c r="D1579" t="s">
        <v>694</v>
      </c>
      <c r="E1579">
        <v>452</v>
      </c>
      <c r="F1579">
        <v>1248</v>
      </c>
      <c r="G1579">
        <v>246.8961027</v>
      </c>
      <c r="H1579">
        <v>61</v>
      </c>
      <c r="I1579">
        <v>0.385920543</v>
      </c>
      <c r="J1579">
        <v>1309</v>
      </c>
      <c r="K1579">
        <v>3391.889921</v>
      </c>
      <c r="L1579">
        <v>0.79700000000000004</v>
      </c>
      <c r="M1579">
        <v>0.11890838200000001</v>
      </c>
      <c r="N1579">
        <v>0</v>
      </c>
      <c r="O1579" t="s">
        <v>625</v>
      </c>
      <c r="P1579">
        <f t="shared" si="218"/>
        <v>15.554343429999999</v>
      </c>
      <c r="Q1579">
        <f t="shared" si="219"/>
        <v>1.4E-2</v>
      </c>
      <c r="R1579">
        <f t="shared" si="220"/>
        <v>4.3999999999999997E-2</v>
      </c>
      <c r="S1579">
        <f t="shared" si="221"/>
        <v>0.79700000000000004</v>
      </c>
      <c r="T1579">
        <f t="shared" si="222"/>
        <v>1.7971428570000001</v>
      </c>
      <c r="U1579">
        <f t="shared" si="223"/>
        <v>7.2327235769999998</v>
      </c>
      <c r="V1579">
        <f t="shared" si="224"/>
        <v>3.6999999999999998E-2</v>
      </c>
      <c r="W1579">
        <f t="shared" si="225"/>
        <v>2.8000000000000001E-2</v>
      </c>
      <c r="X1579">
        <f t="shared" si="226"/>
        <v>0.90800000000000003</v>
      </c>
      <c r="Y1579">
        <v>87.981452939999997</v>
      </c>
      <c r="Z1579">
        <v>0</v>
      </c>
      <c r="AA1579">
        <v>88250</v>
      </c>
      <c r="AB1579">
        <v>31723</v>
      </c>
      <c r="AC1579">
        <v>1.0795895999999999E-2</v>
      </c>
      <c r="AD1579">
        <v>0.817760245</v>
      </c>
      <c r="AF1579">
        <v>15.554343429999999</v>
      </c>
      <c r="AG1579">
        <v>1.4E-2</v>
      </c>
      <c r="AH1579">
        <v>4.3999999999999997E-2</v>
      </c>
      <c r="AI1579">
        <v>0.79700000000000004</v>
      </c>
      <c r="AJ1579">
        <v>1.7971428570000001</v>
      </c>
      <c r="AK1579">
        <v>7.2327235769999998</v>
      </c>
      <c r="AL1579">
        <v>3.6999999999999998E-2</v>
      </c>
      <c r="AM1579">
        <v>2.8000000000000001E-2</v>
      </c>
      <c r="AN1579">
        <v>0.90800000000000003</v>
      </c>
    </row>
    <row r="1580" spans="1:40">
      <c r="A1580">
        <v>3648</v>
      </c>
      <c r="B1580" t="s">
        <v>698</v>
      </c>
      <c r="C1580" t="s">
        <v>693</v>
      </c>
      <c r="D1580" t="s">
        <v>694</v>
      </c>
      <c r="E1580">
        <v>436</v>
      </c>
      <c r="F1580">
        <v>1301</v>
      </c>
      <c r="G1580">
        <v>141.91305019999999</v>
      </c>
      <c r="H1580">
        <v>151</v>
      </c>
      <c r="I1580">
        <v>0.221823777</v>
      </c>
      <c r="J1580">
        <v>1452</v>
      </c>
      <c r="K1580">
        <v>6545.7365289999998</v>
      </c>
      <c r="L1580">
        <v>0.82</v>
      </c>
      <c r="M1580">
        <v>0.25724020399999997</v>
      </c>
      <c r="N1580">
        <v>0</v>
      </c>
      <c r="O1580" t="s">
        <v>620</v>
      </c>
      <c r="P1580">
        <f t="shared" si="218"/>
        <v>16.40664516</v>
      </c>
      <c r="Q1580">
        <f t="shared" si="219"/>
        <v>6.0000000000000001E-3</v>
      </c>
      <c r="R1580">
        <f t="shared" si="220"/>
        <v>0.01</v>
      </c>
      <c r="S1580">
        <f t="shared" si="221"/>
        <v>0.82</v>
      </c>
      <c r="T1580">
        <f t="shared" si="222"/>
        <v>2.3860000000000001</v>
      </c>
      <c r="U1580">
        <f t="shared" si="223"/>
        <v>8.2854375000000005</v>
      </c>
      <c r="V1580">
        <f t="shared" si="224"/>
        <v>2.5000000000000001E-2</v>
      </c>
      <c r="W1580">
        <f t="shared" si="225"/>
        <v>2.5000000000000001E-2</v>
      </c>
      <c r="X1580">
        <f t="shared" si="226"/>
        <v>0.95099999999999996</v>
      </c>
      <c r="Y1580">
        <v>63.668990020000003</v>
      </c>
      <c r="Z1580">
        <v>0</v>
      </c>
      <c r="AA1580">
        <v>88250</v>
      </c>
      <c r="AB1580">
        <v>31723</v>
      </c>
      <c r="AC1580">
        <v>1.0795895999999999E-2</v>
      </c>
      <c r="AD1580">
        <v>0.817760245</v>
      </c>
      <c r="AF1580">
        <v>16.40664516</v>
      </c>
      <c r="AG1580">
        <v>6.0000000000000001E-3</v>
      </c>
      <c r="AH1580">
        <v>0.01</v>
      </c>
      <c r="AI1580">
        <v>0.82</v>
      </c>
      <c r="AJ1580">
        <v>2.3860000000000001</v>
      </c>
      <c r="AK1580">
        <v>8.2854375000000005</v>
      </c>
      <c r="AL1580">
        <v>2.5000000000000001E-2</v>
      </c>
      <c r="AM1580">
        <v>2.5000000000000001E-2</v>
      </c>
      <c r="AN1580">
        <v>0.95099999999999996</v>
      </c>
    </row>
    <row r="1581" spans="1:40">
      <c r="A1581">
        <v>3649</v>
      </c>
      <c r="B1581" t="s">
        <v>692</v>
      </c>
      <c r="C1581" t="s">
        <v>693</v>
      </c>
      <c r="D1581" t="s">
        <v>694</v>
      </c>
      <c r="E1581">
        <v>220</v>
      </c>
      <c r="F1581">
        <v>709</v>
      </c>
      <c r="G1581">
        <v>197.2893923</v>
      </c>
      <c r="H1581">
        <v>74</v>
      </c>
      <c r="I1581">
        <v>0.30838590700000001</v>
      </c>
      <c r="J1581">
        <v>783</v>
      </c>
      <c r="K1581">
        <v>2539.0265319999999</v>
      </c>
      <c r="L1581">
        <v>0.82499999999999996</v>
      </c>
      <c r="M1581">
        <v>0.25170068000000001</v>
      </c>
      <c r="N1581">
        <v>0</v>
      </c>
      <c r="O1581" t="s">
        <v>625</v>
      </c>
      <c r="P1581">
        <f t="shared" si="218"/>
        <v>18.48053191</v>
      </c>
      <c r="Q1581">
        <f t="shared" si="219"/>
        <v>5.0000000000000001E-3</v>
      </c>
      <c r="R1581">
        <f t="shared" si="220"/>
        <v>2.3E-2</v>
      </c>
      <c r="S1581">
        <f t="shared" si="221"/>
        <v>0.82499999999999996</v>
      </c>
      <c r="T1581">
        <f t="shared" si="222"/>
        <v>2.2469999999999999</v>
      </c>
      <c r="U1581">
        <f t="shared" si="223"/>
        <v>10.17282857</v>
      </c>
      <c r="V1581">
        <f t="shared" si="224"/>
        <v>4.1084210526315765E-2</v>
      </c>
      <c r="W1581">
        <f t="shared" si="225"/>
        <v>2.1000000000000001E-2</v>
      </c>
      <c r="X1581">
        <f t="shared" si="226"/>
        <v>0.97899999999999998</v>
      </c>
      <c r="Y1581">
        <v>1.6965927970000001</v>
      </c>
      <c r="Z1581">
        <v>0</v>
      </c>
      <c r="AA1581">
        <v>77808</v>
      </c>
      <c r="AB1581">
        <v>27489</v>
      </c>
      <c r="AC1581">
        <v>1.1225541E-2</v>
      </c>
      <c r="AD1581">
        <v>0.835708267</v>
      </c>
      <c r="AF1581">
        <v>18.48053191</v>
      </c>
      <c r="AG1581">
        <v>5.0000000000000001E-3</v>
      </c>
      <c r="AH1581">
        <v>2.3E-2</v>
      </c>
      <c r="AI1581">
        <v>0.82499999999999996</v>
      </c>
      <c r="AJ1581">
        <v>2.2469999999999999</v>
      </c>
      <c r="AK1581">
        <v>10.17282857</v>
      </c>
      <c r="AL1581">
        <v>0</v>
      </c>
      <c r="AM1581">
        <v>2.1000000000000001E-2</v>
      </c>
      <c r="AN1581">
        <v>0.97899999999999998</v>
      </c>
    </row>
    <row r="1582" spans="1:40">
      <c r="A1582">
        <v>3650</v>
      </c>
      <c r="B1582" t="s">
        <v>692</v>
      </c>
      <c r="C1582" t="s">
        <v>693</v>
      </c>
      <c r="D1582" t="s">
        <v>694</v>
      </c>
      <c r="E1582">
        <v>401</v>
      </c>
      <c r="F1582">
        <v>1065</v>
      </c>
      <c r="G1582">
        <v>66.487912870000002</v>
      </c>
      <c r="H1582">
        <v>379</v>
      </c>
      <c r="I1582">
        <v>0.10392757800000001</v>
      </c>
      <c r="J1582">
        <v>1444</v>
      </c>
      <c r="K1582">
        <v>13894.29089</v>
      </c>
      <c r="L1582">
        <v>0.82</v>
      </c>
      <c r="M1582">
        <v>0.48589743600000002</v>
      </c>
      <c r="N1582">
        <v>0</v>
      </c>
      <c r="O1582" t="s">
        <v>620</v>
      </c>
      <c r="P1582">
        <f t="shared" si="218"/>
        <v>16.89557143</v>
      </c>
      <c r="Q1582">
        <f t="shared" si="219"/>
        <v>1.4E-2</v>
      </c>
      <c r="R1582">
        <f t="shared" si="220"/>
        <v>2.5999999999999999E-2</v>
      </c>
      <c r="S1582">
        <f t="shared" si="221"/>
        <v>0.82</v>
      </c>
      <c r="T1582">
        <f t="shared" si="222"/>
        <v>2.0782857140000002</v>
      </c>
      <c r="U1582">
        <f t="shared" si="223"/>
        <v>6.8697636360000001</v>
      </c>
      <c r="V1582">
        <f t="shared" si="224"/>
        <v>3.7999999999999999E-2</v>
      </c>
      <c r="W1582">
        <f t="shared" si="225"/>
        <v>3.1E-2</v>
      </c>
      <c r="X1582">
        <f t="shared" si="226"/>
        <v>0.88100000000000001</v>
      </c>
      <c r="Y1582">
        <v>128.29698189999999</v>
      </c>
      <c r="Z1582">
        <v>0</v>
      </c>
      <c r="AA1582">
        <v>77808</v>
      </c>
      <c r="AB1582">
        <v>27489</v>
      </c>
      <c r="AC1582">
        <v>1.1225541E-2</v>
      </c>
      <c r="AD1582">
        <v>0.835708267</v>
      </c>
      <c r="AF1582">
        <v>16.89557143</v>
      </c>
      <c r="AG1582">
        <v>1.4E-2</v>
      </c>
      <c r="AH1582">
        <v>2.5999999999999999E-2</v>
      </c>
      <c r="AI1582">
        <v>0.82</v>
      </c>
      <c r="AJ1582">
        <v>2.0782857140000002</v>
      </c>
      <c r="AK1582">
        <v>6.8697636360000001</v>
      </c>
      <c r="AL1582">
        <v>3.7999999999999999E-2</v>
      </c>
      <c r="AM1582">
        <v>3.1E-2</v>
      </c>
      <c r="AN1582">
        <v>0.88100000000000001</v>
      </c>
    </row>
    <row r="1583" spans="1:40">
      <c r="A1583">
        <v>3651</v>
      </c>
      <c r="B1583" t="s">
        <v>689</v>
      </c>
      <c r="C1583" t="s">
        <v>687</v>
      </c>
      <c r="D1583" t="s">
        <v>688</v>
      </c>
      <c r="E1583">
        <v>367</v>
      </c>
      <c r="F1583">
        <v>622</v>
      </c>
      <c r="G1583">
        <v>19.14224797</v>
      </c>
      <c r="H1583">
        <v>1586</v>
      </c>
      <c r="I1583">
        <v>2.9920748E-2</v>
      </c>
      <c r="J1583">
        <v>2208</v>
      </c>
      <c r="K1583">
        <v>73794.94657</v>
      </c>
      <c r="L1583">
        <v>0.6</v>
      </c>
      <c r="M1583">
        <v>0.81208397300000001</v>
      </c>
      <c r="N1583">
        <v>1</v>
      </c>
      <c r="O1583" t="s">
        <v>606</v>
      </c>
      <c r="P1583">
        <f t="shared" si="218"/>
        <v>10.83731429</v>
      </c>
      <c r="Q1583">
        <f t="shared" si="219"/>
        <v>0.14199999999999999</v>
      </c>
      <c r="R1583">
        <f t="shared" si="220"/>
        <v>0.04</v>
      </c>
      <c r="S1583">
        <f t="shared" si="221"/>
        <v>0.6</v>
      </c>
      <c r="T1583">
        <f t="shared" si="222"/>
        <v>2.0528571430000002</v>
      </c>
      <c r="U1583">
        <f t="shared" si="223"/>
        <v>7.148794326</v>
      </c>
      <c r="V1583">
        <f t="shared" si="224"/>
        <v>7.6999999999999999E-2</v>
      </c>
      <c r="W1583">
        <f t="shared" si="225"/>
        <v>0.29699999999999999</v>
      </c>
      <c r="X1583">
        <f t="shared" si="226"/>
        <v>0.5</v>
      </c>
      <c r="Y1583">
        <v>832.48238249999997</v>
      </c>
      <c r="Z1583">
        <v>0</v>
      </c>
      <c r="AA1583">
        <v>454184</v>
      </c>
      <c r="AB1583">
        <v>170596</v>
      </c>
      <c r="AC1583">
        <v>6.5715274000000004E-2</v>
      </c>
      <c r="AD1583">
        <v>0.72549415100000003</v>
      </c>
      <c r="AF1583">
        <v>10.83731429</v>
      </c>
      <c r="AG1583">
        <v>0.14199999999999999</v>
      </c>
      <c r="AH1583">
        <v>0.04</v>
      </c>
      <c r="AI1583">
        <v>0.6</v>
      </c>
      <c r="AJ1583">
        <v>2.0528571430000002</v>
      </c>
      <c r="AK1583">
        <v>7.148794326</v>
      </c>
      <c r="AL1583">
        <v>7.6999999999999999E-2</v>
      </c>
      <c r="AM1583">
        <v>0.29699999999999999</v>
      </c>
      <c r="AN1583">
        <v>0.5</v>
      </c>
    </row>
    <row r="1584" spans="1:40">
      <c r="A1584">
        <v>3652</v>
      </c>
      <c r="B1584" t="s">
        <v>705</v>
      </c>
      <c r="C1584" t="s">
        <v>696</v>
      </c>
      <c r="D1584" t="s">
        <v>697</v>
      </c>
      <c r="E1584">
        <v>138</v>
      </c>
      <c r="F1584">
        <v>405</v>
      </c>
      <c r="G1584">
        <v>87.033568639999999</v>
      </c>
      <c r="H1584">
        <v>273</v>
      </c>
      <c r="I1584">
        <v>0.13603844300000001</v>
      </c>
      <c r="J1584">
        <v>678</v>
      </c>
      <c r="K1584">
        <v>4983.885327</v>
      </c>
      <c r="L1584">
        <v>0.873</v>
      </c>
      <c r="M1584">
        <v>0.66423357699999996</v>
      </c>
      <c r="N1584">
        <v>0</v>
      </c>
      <c r="O1584" t="s">
        <v>620</v>
      </c>
      <c r="P1584">
        <f t="shared" si="218"/>
        <v>9.7735135139999993</v>
      </c>
      <c r="Q1584">
        <f t="shared" si="219"/>
        <v>0.01</v>
      </c>
      <c r="R1584">
        <f t="shared" si="220"/>
        <v>1.6E-2</v>
      </c>
      <c r="S1584">
        <f t="shared" si="221"/>
        <v>0.873</v>
      </c>
      <c r="T1584">
        <f t="shared" si="222"/>
        <v>2.46</v>
      </c>
      <c r="U1584">
        <f t="shared" si="223"/>
        <v>7.4377934269999999</v>
      </c>
      <c r="V1584">
        <f t="shared" si="224"/>
        <v>3.8837398373983721E-2</v>
      </c>
      <c r="W1584">
        <f t="shared" si="225"/>
        <v>2.5999999999999999E-2</v>
      </c>
      <c r="X1584">
        <f t="shared" si="226"/>
        <v>0.94899999999999995</v>
      </c>
      <c r="Y1584">
        <v>186.289941</v>
      </c>
      <c r="Z1584">
        <v>0</v>
      </c>
      <c r="AA1584">
        <v>152832</v>
      </c>
      <c r="AB1584">
        <v>45686</v>
      </c>
      <c r="AC1584">
        <v>2.1596295000000001E-2</v>
      </c>
      <c r="AD1584">
        <v>0.84212384500000004</v>
      </c>
      <c r="AF1584">
        <v>9.7735135139999993</v>
      </c>
      <c r="AG1584">
        <v>0.01</v>
      </c>
      <c r="AH1584">
        <v>1.6E-2</v>
      </c>
      <c r="AI1584">
        <v>0.873</v>
      </c>
      <c r="AJ1584">
        <v>2.46</v>
      </c>
      <c r="AK1584">
        <v>7.4377934269999999</v>
      </c>
      <c r="AL1584">
        <v>0</v>
      </c>
      <c r="AM1584">
        <v>2.5999999999999999E-2</v>
      </c>
      <c r="AN1584">
        <v>0.94899999999999995</v>
      </c>
    </row>
    <row r="1585" spans="1:40">
      <c r="A1585">
        <v>3653</v>
      </c>
      <c r="B1585" t="s">
        <v>705</v>
      </c>
      <c r="C1585" t="s">
        <v>696</v>
      </c>
      <c r="D1585" t="s">
        <v>697</v>
      </c>
      <c r="E1585">
        <v>0</v>
      </c>
      <c r="F1585">
        <v>0</v>
      </c>
      <c r="G1585">
        <v>16.299907099999999</v>
      </c>
      <c r="H1585">
        <v>150</v>
      </c>
      <c r="I1585">
        <v>2.5478956000000001E-2</v>
      </c>
      <c r="J1585">
        <v>150</v>
      </c>
      <c r="K1585">
        <v>5887.2113909999998</v>
      </c>
      <c r="L1585">
        <v>0.90800000000000003</v>
      </c>
      <c r="M1585" s="515">
        <v>1</v>
      </c>
      <c r="N1585">
        <v>0</v>
      </c>
      <c r="O1585" t="s">
        <v>620</v>
      </c>
      <c r="P1585">
        <f t="shared" si="218"/>
        <v>22.290322580000002</v>
      </c>
      <c r="Q1585">
        <f t="shared" si="219"/>
        <v>2.4977443609022529E-2</v>
      </c>
      <c r="R1585">
        <f t="shared" si="220"/>
        <v>2.1978417266187024E-2</v>
      </c>
      <c r="S1585">
        <f t="shared" si="221"/>
        <v>0.90800000000000003</v>
      </c>
      <c r="T1585">
        <f t="shared" si="222"/>
        <v>2.2261777137338119</v>
      </c>
      <c r="U1585">
        <f t="shared" si="223"/>
        <v>10.43767742</v>
      </c>
      <c r="V1585">
        <f t="shared" si="224"/>
        <v>3.8837398373983721E-2</v>
      </c>
      <c r="W1585">
        <f t="shared" si="225"/>
        <v>8.6720930232558141E-2</v>
      </c>
      <c r="X1585">
        <f t="shared" si="226"/>
        <v>1</v>
      </c>
      <c r="Y1585">
        <v>186.05444499999999</v>
      </c>
      <c r="Z1585">
        <v>0</v>
      </c>
      <c r="AA1585">
        <v>152832</v>
      </c>
      <c r="AB1585">
        <v>45686</v>
      </c>
      <c r="AC1585">
        <v>2.1596295000000001E-2</v>
      </c>
      <c r="AD1585">
        <v>0.84212384500000004</v>
      </c>
      <c r="AF1585">
        <v>22.290322580000002</v>
      </c>
      <c r="AG1585">
        <v>0</v>
      </c>
      <c r="AH1585">
        <v>0</v>
      </c>
      <c r="AI1585">
        <v>0.90800000000000003</v>
      </c>
      <c r="AK1585">
        <v>10.43767742</v>
      </c>
      <c r="AL1585">
        <v>0</v>
      </c>
      <c r="AM1585">
        <v>0</v>
      </c>
      <c r="AN1585">
        <v>1</v>
      </c>
    </row>
    <row r="1586" spans="1:40">
      <c r="A1586">
        <v>3654</v>
      </c>
      <c r="B1586" t="s">
        <v>705</v>
      </c>
      <c r="C1586" t="s">
        <v>696</v>
      </c>
      <c r="D1586" t="s">
        <v>697</v>
      </c>
      <c r="E1586">
        <v>190</v>
      </c>
      <c r="F1586">
        <v>726</v>
      </c>
      <c r="G1586">
        <v>47.473343489999998</v>
      </c>
      <c r="H1586">
        <v>548</v>
      </c>
      <c r="I1586">
        <v>7.4203432999999999E-2</v>
      </c>
      <c r="J1586">
        <v>1274</v>
      </c>
      <c r="K1586">
        <v>17169.016960000001</v>
      </c>
      <c r="L1586">
        <v>0.84599999999999997</v>
      </c>
      <c r="M1586">
        <v>0.74254742500000004</v>
      </c>
      <c r="N1586">
        <v>0</v>
      </c>
      <c r="O1586" t="s">
        <v>620</v>
      </c>
      <c r="P1586">
        <f t="shared" si="218"/>
        <v>13.09122807</v>
      </c>
      <c r="Q1586">
        <f t="shared" si="219"/>
        <v>2.5999999999999999E-2</v>
      </c>
      <c r="R1586">
        <f t="shared" si="220"/>
        <v>1.9E-2</v>
      </c>
      <c r="S1586">
        <f t="shared" si="221"/>
        <v>0.84599999999999997</v>
      </c>
      <c r="T1586">
        <f t="shared" si="222"/>
        <v>3.0116666670000001</v>
      </c>
      <c r="U1586">
        <f t="shared" si="223"/>
        <v>7.5995559850000003</v>
      </c>
      <c r="V1586">
        <f t="shared" si="224"/>
        <v>4.3999999999999997E-2</v>
      </c>
      <c r="W1586">
        <f t="shared" si="225"/>
        <v>9.5000000000000001E-2</v>
      </c>
      <c r="X1586">
        <f t="shared" si="226"/>
        <v>0.83199999999999996</v>
      </c>
      <c r="Y1586">
        <v>186.02385709999999</v>
      </c>
      <c r="Z1586">
        <v>0</v>
      </c>
      <c r="AA1586">
        <v>152832</v>
      </c>
      <c r="AB1586">
        <v>45686</v>
      </c>
      <c r="AC1586">
        <v>2.1596295000000001E-2</v>
      </c>
      <c r="AD1586">
        <v>0.84212384500000004</v>
      </c>
      <c r="AF1586">
        <v>13.09122807</v>
      </c>
      <c r="AG1586">
        <v>2.5999999999999999E-2</v>
      </c>
      <c r="AH1586">
        <v>1.9E-2</v>
      </c>
      <c r="AI1586">
        <v>0.84599999999999997</v>
      </c>
      <c r="AJ1586">
        <v>3.0116666670000001</v>
      </c>
      <c r="AK1586">
        <v>7.5995559850000003</v>
      </c>
      <c r="AL1586">
        <v>4.3999999999999997E-2</v>
      </c>
      <c r="AM1586">
        <v>9.5000000000000001E-2</v>
      </c>
      <c r="AN1586">
        <v>0.83199999999999996</v>
      </c>
    </row>
    <row r="1587" spans="1:40">
      <c r="A1587">
        <v>3655</v>
      </c>
      <c r="B1587" t="s">
        <v>705</v>
      </c>
      <c r="C1587" t="s">
        <v>696</v>
      </c>
      <c r="D1587" t="s">
        <v>697</v>
      </c>
      <c r="E1587">
        <v>563</v>
      </c>
      <c r="F1587">
        <v>1694</v>
      </c>
      <c r="G1587">
        <v>61.23337755</v>
      </c>
      <c r="H1587">
        <v>372</v>
      </c>
      <c r="I1587">
        <v>9.5713794000000005E-2</v>
      </c>
      <c r="J1587">
        <v>2066</v>
      </c>
      <c r="K1587">
        <v>21585.185519999999</v>
      </c>
      <c r="L1587">
        <v>0.81899999999999995</v>
      </c>
      <c r="M1587">
        <v>0.39786096300000001</v>
      </c>
      <c r="N1587">
        <v>0</v>
      </c>
      <c r="O1587" t="s">
        <v>620</v>
      </c>
      <c r="P1587">
        <f t="shared" si="218"/>
        <v>13.668658539999999</v>
      </c>
      <c r="Q1587">
        <f t="shared" si="219"/>
        <v>1.7000000000000001E-2</v>
      </c>
      <c r="R1587">
        <f t="shared" si="220"/>
        <v>2.1000000000000001E-2</v>
      </c>
      <c r="S1587">
        <f t="shared" si="221"/>
        <v>0.81899999999999995</v>
      </c>
      <c r="T1587">
        <f t="shared" si="222"/>
        <v>1.729545455</v>
      </c>
      <c r="U1587">
        <f t="shared" si="223"/>
        <v>7.1926955479999997</v>
      </c>
      <c r="V1587">
        <f t="shared" si="224"/>
        <v>4.5999999999999999E-2</v>
      </c>
      <c r="W1587">
        <f t="shared" si="225"/>
        <v>7.1999999999999995E-2</v>
      </c>
      <c r="X1587">
        <f t="shared" si="226"/>
        <v>0.84499999999999997</v>
      </c>
      <c r="Y1587">
        <v>69.866693839999996</v>
      </c>
      <c r="Z1587">
        <v>0</v>
      </c>
      <c r="AA1587">
        <v>152832</v>
      </c>
      <c r="AB1587">
        <v>45686</v>
      </c>
      <c r="AC1587">
        <v>2.1596295000000001E-2</v>
      </c>
      <c r="AD1587">
        <v>0.84212384500000004</v>
      </c>
      <c r="AF1587">
        <v>13.668658539999999</v>
      </c>
      <c r="AG1587">
        <v>1.7000000000000001E-2</v>
      </c>
      <c r="AH1587">
        <v>2.1000000000000001E-2</v>
      </c>
      <c r="AI1587">
        <v>0.81899999999999995</v>
      </c>
      <c r="AJ1587">
        <v>1.729545455</v>
      </c>
      <c r="AK1587">
        <v>7.1926955479999997</v>
      </c>
      <c r="AL1587">
        <v>4.5999999999999999E-2</v>
      </c>
      <c r="AM1587">
        <v>7.1999999999999995E-2</v>
      </c>
      <c r="AN1587">
        <v>0.84499999999999997</v>
      </c>
    </row>
    <row r="1588" spans="1:40">
      <c r="A1588">
        <v>3656</v>
      </c>
      <c r="B1588" t="s">
        <v>701</v>
      </c>
      <c r="C1588" t="s">
        <v>696</v>
      </c>
      <c r="D1588" t="s">
        <v>697</v>
      </c>
      <c r="E1588">
        <v>347</v>
      </c>
      <c r="F1588">
        <v>1035</v>
      </c>
      <c r="G1588">
        <v>39.616264950000001</v>
      </c>
      <c r="H1588">
        <v>223</v>
      </c>
      <c r="I1588">
        <v>6.1923723999999999E-2</v>
      </c>
      <c r="J1588">
        <v>1258</v>
      </c>
      <c r="K1588">
        <v>20315.31566</v>
      </c>
      <c r="L1588">
        <v>0.79100000000000004</v>
      </c>
      <c r="M1588">
        <v>0.39122806999999998</v>
      </c>
      <c r="N1588">
        <v>1</v>
      </c>
      <c r="O1588" t="s">
        <v>613</v>
      </c>
      <c r="P1588">
        <f t="shared" si="218"/>
        <v>13.44193548</v>
      </c>
      <c r="Q1588">
        <f t="shared" si="219"/>
        <v>7.0999999999999994E-2</v>
      </c>
      <c r="R1588">
        <f t="shared" si="220"/>
        <v>0.02</v>
      </c>
      <c r="S1588">
        <f t="shared" si="221"/>
        <v>0.79100000000000004</v>
      </c>
      <c r="T1588">
        <f t="shared" si="222"/>
        <v>2.3035714289999998</v>
      </c>
      <c r="U1588">
        <f t="shared" si="223"/>
        <v>7.1078171640000001</v>
      </c>
      <c r="V1588">
        <f t="shared" si="224"/>
        <v>5.6000000000000001E-2</v>
      </c>
      <c r="W1588">
        <f t="shared" si="225"/>
        <v>0.159</v>
      </c>
      <c r="X1588">
        <f t="shared" si="226"/>
        <v>0.73799999999999999</v>
      </c>
      <c r="Y1588">
        <v>160.84199430000001</v>
      </c>
      <c r="Z1588">
        <v>0</v>
      </c>
      <c r="AA1588">
        <v>22589</v>
      </c>
      <c r="AB1588">
        <v>7233</v>
      </c>
      <c r="AC1588">
        <v>3.8721845999999997E-2</v>
      </c>
      <c r="AD1588">
        <v>0.78947076400000005</v>
      </c>
      <c r="AF1588">
        <v>13.44193548</v>
      </c>
      <c r="AG1588">
        <v>7.0999999999999994E-2</v>
      </c>
      <c r="AH1588">
        <v>0.02</v>
      </c>
      <c r="AI1588">
        <v>0.79100000000000004</v>
      </c>
      <c r="AJ1588">
        <v>2.3035714289999998</v>
      </c>
      <c r="AK1588">
        <v>7.1078171640000001</v>
      </c>
      <c r="AL1588">
        <v>5.6000000000000001E-2</v>
      </c>
      <c r="AM1588">
        <v>0.159</v>
      </c>
      <c r="AN1588">
        <v>0.73799999999999999</v>
      </c>
    </row>
    <row r="1589" spans="1:40">
      <c r="A1589">
        <v>3657</v>
      </c>
      <c r="B1589" t="s">
        <v>702</v>
      </c>
      <c r="C1589" t="s">
        <v>696</v>
      </c>
      <c r="D1589" t="s">
        <v>697</v>
      </c>
      <c r="E1589">
        <v>30</v>
      </c>
      <c r="F1589">
        <v>168</v>
      </c>
      <c r="G1589">
        <v>11.935623229999999</v>
      </c>
      <c r="H1589">
        <v>70</v>
      </c>
      <c r="I1589">
        <v>1.8656531000000001E-2</v>
      </c>
      <c r="J1589">
        <v>238</v>
      </c>
      <c r="K1589">
        <v>12756.92678</v>
      </c>
      <c r="L1589">
        <v>0.878</v>
      </c>
      <c r="M1589">
        <v>0.7</v>
      </c>
      <c r="N1589">
        <v>1</v>
      </c>
      <c r="O1589" t="s">
        <v>613</v>
      </c>
      <c r="P1589">
        <f t="shared" si="218"/>
        <v>11.31470588</v>
      </c>
      <c r="Q1589">
        <f t="shared" si="219"/>
        <v>2.9000000000000001E-2</v>
      </c>
      <c r="R1589">
        <f t="shared" si="220"/>
        <v>1.2E-2</v>
      </c>
      <c r="S1589">
        <f t="shared" si="221"/>
        <v>0.878</v>
      </c>
      <c r="T1589">
        <f t="shared" si="222"/>
        <v>4.53</v>
      </c>
      <c r="U1589">
        <f t="shared" si="223"/>
        <v>7.0783211680000004</v>
      </c>
      <c r="V1589">
        <f t="shared" si="224"/>
        <v>4.2301204819277106E-2</v>
      </c>
      <c r="W1589">
        <f t="shared" si="225"/>
        <v>0.11204347826086955</v>
      </c>
      <c r="X1589">
        <f t="shared" si="226"/>
        <v>1</v>
      </c>
      <c r="Y1589">
        <v>161.83835310000001</v>
      </c>
      <c r="Z1589">
        <v>0</v>
      </c>
      <c r="AA1589">
        <v>90778</v>
      </c>
      <c r="AB1589">
        <v>31662</v>
      </c>
      <c r="AC1589">
        <v>3.1753482E-2</v>
      </c>
      <c r="AD1589">
        <v>0.82960131100000001</v>
      </c>
      <c r="AF1589">
        <v>11.31470588</v>
      </c>
      <c r="AG1589">
        <v>2.9000000000000001E-2</v>
      </c>
      <c r="AH1589">
        <v>1.2E-2</v>
      </c>
      <c r="AI1589">
        <v>0.878</v>
      </c>
      <c r="AJ1589">
        <v>4.53</v>
      </c>
      <c r="AK1589">
        <v>7.0783211680000004</v>
      </c>
      <c r="AL1589">
        <v>0</v>
      </c>
      <c r="AM1589">
        <v>0</v>
      </c>
      <c r="AN1589">
        <v>1</v>
      </c>
    </row>
    <row r="1590" spans="1:40">
      <c r="A1590">
        <v>3658</v>
      </c>
      <c r="B1590" t="s">
        <v>702</v>
      </c>
      <c r="C1590" t="s">
        <v>696</v>
      </c>
      <c r="D1590" t="s">
        <v>697</v>
      </c>
      <c r="E1590">
        <v>201</v>
      </c>
      <c r="F1590">
        <v>518</v>
      </c>
      <c r="G1590">
        <v>36.899126959999997</v>
      </c>
      <c r="H1590">
        <v>205</v>
      </c>
      <c r="I1590">
        <v>5.7679894000000002E-2</v>
      </c>
      <c r="J1590">
        <v>723</v>
      </c>
      <c r="K1590">
        <v>12534.697099999999</v>
      </c>
      <c r="L1590">
        <v>0.83499999999999996</v>
      </c>
      <c r="M1590">
        <v>0.50492610800000004</v>
      </c>
      <c r="N1590">
        <v>0</v>
      </c>
      <c r="O1590" t="s">
        <v>620</v>
      </c>
      <c r="P1590">
        <f t="shared" si="218"/>
        <v>15.72402778</v>
      </c>
      <c r="Q1590">
        <f t="shared" si="219"/>
        <v>2.1999999999999999E-2</v>
      </c>
      <c r="R1590">
        <f t="shared" si="220"/>
        <v>1.2E-2</v>
      </c>
      <c r="S1590">
        <f t="shared" si="221"/>
        <v>0.83499999999999996</v>
      </c>
      <c r="T1590">
        <f t="shared" si="222"/>
        <v>1.931666667</v>
      </c>
      <c r="U1590">
        <f t="shared" si="223"/>
        <v>7.6378024690000004</v>
      </c>
      <c r="V1590">
        <f t="shared" si="224"/>
        <v>4.2301204819277106E-2</v>
      </c>
      <c r="W1590">
        <f t="shared" si="225"/>
        <v>7.4999999999999997E-2</v>
      </c>
      <c r="X1590">
        <f t="shared" si="226"/>
        <v>0.9</v>
      </c>
      <c r="Y1590">
        <v>127.9197006</v>
      </c>
      <c r="Z1590">
        <v>0</v>
      </c>
      <c r="AA1590">
        <v>90778</v>
      </c>
      <c r="AB1590">
        <v>31662</v>
      </c>
      <c r="AC1590">
        <v>3.1753482E-2</v>
      </c>
      <c r="AD1590">
        <v>0.82960131100000001</v>
      </c>
      <c r="AF1590">
        <v>15.72402778</v>
      </c>
      <c r="AG1590">
        <v>2.1999999999999999E-2</v>
      </c>
      <c r="AH1590">
        <v>1.2E-2</v>
      </c>
      <c r="AI1590">
        <v>0.83499999999999996</v>
      </c>
      <c r="AJ1590">
        <v>1.931666667</v>
      </c>
      <c r="AK1590">
        <v>7.6378024690000004</v>
      </c>
      <c r="AL1590">
        <v>0</v>
      </c>
      <c r="AM1590">
        <v>7.4999999999999997E-2</v>
      </c>
      <c r="AN1590">
        <v>0.9</v>
      </c>
    </row>
    <row r="1591" spans="1:40">
      <c r="A1591">
        <v>3659</v>
      </c>
      <c r="B1591" t="s">
        <v>695</v>
      </c>
      <c r="C1591" t="s">
        <v>696</v>
      </c>
      <c r="D1591" t="s">
        <v>697</v>
      </c>
      <c r="E1591">
        <v>394</v>
      </c>
      <c r="F1591">
        <v>887</v>
      </c>
      <c r="G1591">
        <v>47.189872600000001</v>
      </c>
      <c r="H1591">
        <v>243</v>
      </c>
      <c r="I1591">
        <v>7.3765837000000001E-2</v>
      </c>
      <c r="J1591">
        <v>1130</v>
      </c>
      <c r="K1591">
        <v>15318.74437</v>
      </c>
      <c r="L1591">
        <v>0.77500000000000002</v>
      </c>
      <c r="M1591">
        <v>0.38147566700000002</v>
      </c>
      <c r="N1591">
        <v>1</v>
      </c>
      <c r="O1591" t="s">
        <v>613</v>
      </c>
      <c r="P1591">
        <f t="shared" si="218"/>
        <v>11.201123600000001</v>
      </c>
      <c r="Q1591">
        <f t="shared" si="219"/>
        <v>1.7999999999999999E-2</v>
      </c>
      <c r="R1591">
        <f t="shared" si="220"/>
        <v>1.0999999999999999E-2</v>
      </c>
      <c r="S1591">
        <f t="shared" si="221"/>
        <v>0.77500000000000002</v>
      </c>
      <c r="T1591">
        <f t="shared" si="222"/>
        <v>1.5674999999999999</v>
      </c>
      <c r="U1591">
        <f t="shared" si="223"/>
        <v>7.0028849559999999</v>
      </c>
      <c r="V1591">
        <f t="shared" si="224"/>
        <v>8.9999999999999993E-3</v>
      </c>
      <c r="W1591">
        <f t="shared" si="225"/>
        <v>9.2999999999999999E-2</v>
      </c>
      <c r="X1591">
        <f t="shared" si="226"/>
        <v>0.83199999999999996</v>
      </c>
      <c r="Y1591">
        <v>189.8443809</v>
      </c>
      <c r="Z1591">
        <v>0</v>
      </c>
      <c r="AA1591">
        <v>62139</v>
      </c>
      <c r="AB1591">
        <v>22178</v>
      </c>
      <c r="AC1591">
        <v>2.5956119999999999E-2</v>
      </c>
      <c r="AD1591">
        <v>0.81129361</v>
      </c>
      <c r="AF1591">
        <v>11.201123600000001</v>
      </c>
      <c r="AG1591">
        <v>1.7999999999999999E-2</v>
      </c>
      <c r="AH1591">
        <v>1.0999999999999999E-2</v>
      </c>
      <c r="AI1591">
        <v>0.77500000000000002</v>
      </c>
      <c r="AJ1591">
        <v>1.5674999999999999</v>
      </c>
      <c r="AK1591">
        <v>7.0028849559999999</v>
      </c>
      <c r="AL1591">
        <v>8.9999999999999993E-3</v>
      </c>
      <c r="AM1591">
        <v>9.2999999999999999E-2</v>
      </c>
      <c r="AN1591">
        <v>0.83199999999999996</v>
      </c>
    </row>
    <row r="1592" spans="1:40">
      <c r="A1592">
        <v>3660</v>
      </c>
      <c r="B1592" t="s">
        <v>695</v>
      </c>
      <c r="C1592" t="s">
        <v>696</v>
      </c>
      <c r="D1592" t="s">
        <v>697</v>
      </c>
      <c r="E1592">
        <v>355</v>
      </c>
      <c r="F1592">
        <v>825</v>
      </c>
      <c r="G1592">
        <v>33.519682920000001</v>
      </c>
      <c r="H1592">
        <v>238</v>
      </c>
      <c r="I1592">
        <v>5.2389485E-2</v>
      </c>
      <c r="J1592">
        <v>1063</v>
      </c>
      <c r="K1592">
        <v>20290.331160000002</v>
      </c>
      <c r="L1592">
        <v>0.74399999999999999</v>
      </c>
      <c r="M1592">
        <v>0.401349073</v>
      </c>
      <c r="N1592">
        <v>1</v>
      </c>
      <c r="O1592" t="s">
        <v>613</v>
      </c>
      <c r="P1592">
        <f t="shared" si="218"/>
        <v>13.31709459</v>
      </c>
      <c r="Q1592">
        <f t="shared" si="219"/>
        <v>5.1999999999999998E-2</v>
      </c>
      <c r="R1592">
        <f t="shared" si="220"/>
        <v>2.1000000000000001E-2</v>
      </c>
      <c r="S1592">
        <f t="shared" si="221"/>
        <v>0.74399999999999999</v>
      </c>
      <c r="T1592">
        <f t="shared" si="222"/>
        <v>1.5536363639999999</v>
      </c>
      <c r="U1592">
        <f t="shared" si="223"/>
        <v>7.4725691699999999</v>
      </c>
      <c r="V1592">
        <f t="shared" si="224"/>
        <v>2.1000000000000001E-2</v>
      </c>
      <c r="W1592">
        <f t="shared" si="225"/>
        <v>0.155</v>
      </c>
      <c r="X1592">
        <f t="shared" si="226"/>
        <v>0.76300000000000001</v>
      </c>
      <c r="Y1592">
        <v>151.98216669999999</v>
      </c>
      <c r="Z1592">
        <v>0</v>
      </c>
      <c r="AA1592">
        <v>62139</v>
      </c>
      <c r="AB1592">
        <v>22178</v>
      </c>
      <c r="AC1592">
        <v>2.5956119999999999E-2</v>
      </c>
      <c r="AD1592">
        <v>0.81129361</v>
      </c>
      <c r="AF1592">
        <v>13.31709459</v>
      </c>
      <c r="AG1592">
        <v>5.1999999999999998E-2</v>
      </c>
      <c r="AH1592">
        <v>2.1000000000000001E-2</v>
      </c>
      <c r="AI1592">
        <v>0.74399999999999999</v>
      </c>
      <c r="AJ1592">
        <v>1.5536363639999999</v>
      </c>
      <c r="AK1592">
        <v>7.4725691699999999</v>
      </c>
      <c r="AL1592">
        <v>2.1000000000000001E-2</v>
      </c>
      <c r="AM1592">
        <v>0.155</v>
      </c>
      <c r="AN1592">
        <v>0.76300000000000001</v>
      </c>
    </row>
    <row r="1593" spans="1:40">
      <c r="A1593">
        <v>3661</v>
      </c>
      <c r="B1593" t="s">
        <v>695</v>
      </c>
      <c r="C1593" t="s">
        <v>696</v>
      </c>
      <c r="D1593" t="s">
        <v>697</v>
      </c>
      <c r="E1593">
        <v>14</v>
      </c>
      <c r="F1593">
        <v>35</v>
      </c>
      <c r="G1593">
        <v>21.955546129999998</v>
      </c>
      <c r="H1593">
        <v>92</v>
      </c>
      <c r="I1593">
        <v>3.4320686000000003E-2</v>
      </c>
      <c r="J1593">
        <v>127</v>
      </c>
      <c r="K1593">
        <v>3700.3922360000001</v>
      </c>
      <c r="L1593">
        <v>0.79500000000000004</v>
      </c>
      <c r="M1593">
        <v>0.86792452799999997</v>
      </c>
      <c r="N1593">
        <v>1</v>
      </c>
      <c r="O1593" t="s">
        <v>620</v>
      </c>
      <c r="P1593">
        <f t="shared" si="218"/>
        <v>11.775454549999999</v>
      </c>
      <c r="Q1593">
        <f t="shared" si="219"/>
        <v>2.7E-2</v>
      </c>
      <c r="R1593">
        <f t="shared" si="220"/>
        <v>5.5E-2</v>
      </c>
      <c r="S1593">
        <f t="shared" si="221"/>
        <v>0.79500000000000004</v>
      </c>
      <c r="T1593">
        <f t="shared" si="222"/>
        <v>2.7450000000000001</v>
      </c>
      <c r="U1593">
        <f t="shared" si="223"/>
        <v>6.8271818179999997</v>
      </c>
      <c r="V1593">
        <f t="shared" si="224"/>
        <v>0.23499999999999999</v>
      </c>
      <c r="W1593">
        <f t="shared" si="225"/>
        <v>0.11799999999999999</v>
      </c>
      <c r="X1593">
        <f t="shared" si="226"/>
        <v>0.64700000000000002</v>
      </c>
      <c r="Y1593">
        <v>150.52427829999999</v>
      </c>
      <c r="Z1593">
        <v>0</v>
      </c>
      <c r="AA1593">
        <v>62139</v>
      </c>
      <c r="AB1593">
        <v>22178</v>
      </c>
      <c r="AC1593">
        <v>2.5956119999999999E-2</v>
      </c>
      <c r="AD1593">
        <v>0.81129361</v>
      </c>
      <c r="AF1593">
        <v>11.775454549999999</v>
      </c>
      <c r="AG1593">
        <v>2.7E-2</v>
      </c>
      <c r="AH1593">
        <v>5.5E-2</v>
      </c>
      <c r="AI1593">
        <v>0.79500000000000004</v>
      </c>
      <c r="AJ1593">
        <v>2.7450000000000001</v>
      </c>
      <c r="AK1593">
        <v>6.8271818179999997</v>
      </c>
      <c r="AL1593">
        <v>0.23499999999999999</v>
      </c>
      <c r="AM1593">
        <v>0.11799999999999999</v>
      </c>
      <c r="AN1593">
        <v>0.64700000000000002</v>
      </c>
    </row>
    <row r="1594" spans="1:40">
      <c r="A1594">
        <v>3662</v>
      </c>
      <c r="B1594" t="s">
        <v>702</v>
      </c>
      <c r="C1594" t="s">
        <v>696</v>
      </c>
      <c r="D1594" t="s">
        <v>697</v>
      </c>
      <c r="E1594">
        <v>0</v>
      </c>
      <c r="F1594">
        <v>21</v>
      </c>
      <c r="G1594">
        <v>34.806659330000002</v>
      </c>
      <c r="H1594">
        <v>768</v>
      </c>
      <c r="I1594">
        <v>5.4406757E-2</v>
      </c>
      <c r="J1594">
        <v>789</v>
      </c>
      <c r="K1594">
        <v>14501.8752</v>
      </c>
      <c r="L1594">
        <v>0.89500000000000002</v>
      </c>
      <c r="M1594" s="515">
        <v>1</v>
      </c>
      <c r="N1594">
        <v>0</v>
      </c>
      <c r="O1594" t="s">
        <v>620</v>
      </c>
      <c r="P1594">
        <f t="shared" si="218"/>
        <v>10.59158416</v>
      </c>
      <c r="Q1594">
        <f t="shared" si="219"/>
        <v>5.0000000000000001E-3</v>
      </c>
      <c r="R1594">
        <f t="shared" si="220"/>
        <v>1.4E-2</v>
      </c>
      <c r="S1594">
        <f t="shared" si="221"/>
        <v>0.89500000000000002</v>
      </c>
      <c r="T1594">
        <f t="shared" si="222"/>
        <v>2.3214999999999999</v>
      </c>
      <c r="U1594">
        <f t="shared" si="223"/>
        <v>5.9361996780000004</v>
      </c>
      <c r="V1594">
        <f t="shared" si="224"/>
        <v>5.3999999999999999E-2</v>
      </c>
      <c r="W1594">
        <f t="shared" si="225"/>
        <v>1.7999999999999999E-2</v>
      </c>
      <c r="X1594">
        <f t="shared" si="226"/>
        <v>0.90200000000000002</v>
      </c>
      <c r="Y1594">
        <v>186.05792550000001</v>
      </c>
      <c r="Z1594">
        <v>0</v>
      </c>
      <c r="AA1594">
        <v>90778</v>
      </c>
      <c r="AB1594">
        <v>31662</v>
      </c>
      <c r="AC1594">
        <v>3.1753482E-2</v>
      </c>
      <c r="AD1594">
        <v>0.82960131100000001</v>
      </c>
      <c r="AF1594">
        <v>10.59158416</v>
      </c>
      <c r="AG1594">
        <v>5.0000000000000001E-3</v>
      </c>
      <c r="AH1594">
        <v>1.4E-2</v>
      </c>
      <c r="AI1594">
        <v>0.89500000000000002</v>
      </c>
      <c r="AJ1594">
        <v>2.3214999999999999</v>
      </c>
      <c r="AK1594">
        <v>5.9361996780000004</v>
      </c>
      <c r="AL1594">
        <v>5.3999999999999999E-2</v>
      </c>
      <c r="AM1594">
        <v>1.7999999999999999E-2</v>
      </c>
      <c r="AN1594">
        <v>0.90200000000000002</v>
      </c>
    </row>
    <row r="1595" spans="1:40">
      <c r="A1595">
        <v>3663</v>
      </c>
      <c r="B1595" t="s">
        <v>705</v>
      </c>
      <c r="C1595" t="s">
        <v>696</v>
      </c>
      <c r="D1595" t="s">
        <v>697</v>
      </c>
      <c r="E1595">
        <v>177</v>
      </c>
      <c r="F1595">
        <v>601</v>
      </c>
      <c r="G1595">
        <v>56.907091780000002</v>
      </c>
      <c r="H1595">
        <v>96</v>
      </c>
      <c r="I1595">
        <v>8.8951985999999997E-2</v>
      </c>
      <c r="J1595">
        <v>697</v>
      </c>
      <c r="K1595">
        <v>7835.6878960000004</v>
      </c>
      <c r="L1595">
        <v>0.79400000000000004</v>
      </c>
      <c r="M1595">
        <v>0.351648352</v>
      </c>
      <c r="N1595">
        <v>1</v>
      </c>
      <c r="O1595" t="s">
        <v>620</v>
      </c>
      <c r="P1595">
        <f t="shared" si="218"/>
        <v>14.32189189</v>
      </c>
      <c r="Q1595">
        <f t="shared" si="219"/>
        <v>0.03</v>
      </c>
      <c r="R1595">
        <f t="shared" si="220"/>
        <v>1.4999999999999999E-2</v>
      </c>
      <c r="S1595">
        <f t="shared" si="221"/>
        <v>0.79400000000000004</v>
      </c>
      <c r="T1595">
        <f t="shared" si="222"/>
        <v>2.1516666670000002</v>
      </c>
      <c r="U1595">
        <f t="shared" si="223"/>
        <v>6.7646325879999996</v>
      </c>
      <c r="V1595">
        <f t="shared" si="224"/>
        <v>4.3999999999999997E-2</v>
      </c>
      <c r="W1595">
        <f t="shared" si="225"/>
        <v>8.8999999999999996E-2</v>
      </c>
      <c r="X1595">
        <f t="shared" si="226"/>
        <v>0.82199999999999995</v>
      </c>
      <c r="Y1595">
        <v>235.57880040000001</v>
      </c>
      <c r="Z1595">
        <v>0</v>
      </c>
      <c r="AA1595">
        <v>152832</v>
      </c>
      <c r="AB1595">
        <v>45686</v>
      </c>
      <c r="AC1595">
        <v>2.1596295000000001E-2</v>
      </c>
      <c r="AD1595">
        <v>0.84212384500000004</v>
      </c>
      <c r="AF1595">
        <v>14.32189189</v>
      </c>
      <c r="AG1595">
        <v>0.03</v>
      </c>
      <c r="AH1595">
        <v>1.4999999999999999E-2</v>
      </c>
      <c r="AI1595">
        <v>0.79400000000000004</v>
      </c>
      <c r="AJ1595">
        <v>2.1516666670000002</v>
      </c>
      <c r="AK1595">
        <v>6.7646325879999996</v>
      </c>
      <c r="AL1595">
        <v>4.3999999999999997E-2</v>
      </c>
      <c r="AM1595">
        <v>8.8999999999999996E-2</v>
      </c>
      <c r="AN1595">
        <v>0.82199999999999995</v>
      </c>
    </row>
    <row r="1596" spans="1:40">
      <c r="A1596">
        <v>3664</v>
      </c>
      <c r="B1596" t="s">
        <v>705</v>
      </c>
      <c r="C1596" t="s">
        <v>696</v>
      </c>
      <c r="D1596" t="s">
        <v>697</v>
      </c>
      <c r="E1596">
        <v>62</v>
      </c>
      <c r="F1596">
        <v>212</v>
      </c>
      <c r="G1596">
        <v>8.8141337810000007</v>
      </c>
      <c r="H1596">
        <v>13</v>
      </c>
      <c r="I1596">
        <v>1.3776981000000001E-2</v>
      </c>
      <c r="J1596">
        <v>225</v>
      </c>
      <c r="K1596">
        <v>16331.58963</v>
      </c>
      <c r="L1596">
        <v>0.81</v>
      </c>
      <c r="M1596">
        <v>0.17333333300000001</v>
      </c>
      <c r="N1596">
        <v>0</v>
      </c>
      <c r="O1596" t="s">
        <v>620</v>
      </c>
      <c r="P1596">
        <f t="shared" si="218"/>
        <v>11.995333329999999</v>
      </c>
      <c r="Q1596">
        <f t="shared" si="219"/>
        <v>3.5000000000000003E-2</v>
      </c>
      <c r="R1596">
        <f t="shared" si="220"/>
        <v>1.4E-2</v>
      </c>
      <c r="S1596">
        <f t="shared" si="221"/>
        <v>0.81</v>
      </c>
      <c r="T1596">
        <f t="shared" si="222"/>
        <v>2.125</v>
      </c>
      <c r="U1596">
        <f t="shared" si="223"/>
        <v>6.2193913040000002</v>
      </c>
      <c r="V1596">
        <f t="shared" si="224"/>
        <v>3.8837398373983721E-2</v>
      </c>
      <c r="W1596">
        <f t="shared" si="225"/>
        <v>8.6720930232558141E-2</v>
      </c>
      <c r="X1596">
        <f t="shared" si="226"/>
        <v>1</v>
      </c>
      <c r="Y1596">
        <v>234.79158519999999</v>
      </c>
      <c r="Z1596">
        <v>0</v>
      </c>
      <c r="AA1596">
        <v>152832</v>
      </c>
      <c r="AB1596">
        <v>45686</v>
      </c>
      <c r="AC1596">
        <v>2.1596295000000001E-2</v>
      </c>
      <c r="AD1596">
        <v>0.84212384500000004</v>
      </c>
      <c r="AF1596">
        <v>11.995333329999999</v>
      </c>
      <c r="AG1596">
        <v>3.5000000000000003E-2</v>
      </c>
      <c r="AH1596">
        <v>1.4E-2</v>
      </c>
      <c r="AI1596">
        <v>0.81</v>
      </c>
      <c r="AJ1596">
        <v>2.125</v>
      </c>
      <c r="AK1596">
        <v>6.2193913040000002</v>
      </c>
      <c r="AL1596">
        <v>0</v>
      </c>
      <c r="AM1596">
        <v>0</v>
      </c>
      <c r="AN1596">
        <v>1</v>
      </c>
    </row>
    <row r="1597" spans="1:40">
      <c r="A1597">
        <v>3665</v>
      </c>
      <c r="B1597" t="s">
        <v>705</v>
      </c>
      <c r="C1597" t="s">
        <v>696</v>
      </c>
      <c r="D1597" t="s">
        <v>697</v>
      </c>
      <c r="E1597">
        <v>184</v>
      </c>
      <c r="F1597">
        <v>621</v>
      </c>
      <c r="G1597">
        <v>26.0426748</v>
      </c>
      <c r="H1597">
        <v>0</v>
      </c>
      <c r="I1597">
        <v>4.0707881000000001E-2</v>
      </c>
      <c r="J1597">
        <v>621</v>
      </c>
      <c r="K1597">
        <v>15255.03133</v>
      </c>
      <c r="L1597">
        <v>0.82499999999999996</v>
      </c>
      <c r="M1597">
        <v>0</v>
      </c>
      <c r="N1597">
        <v>0</v>
      </c>
      <c r="O1597" t="s">
        <v>620</v>
      </c>
      <c r="P1597">
        <f t="shared" si="218"/>
        <v>11.99923077</v>
      </c>
      <c r="Q1597">
        <f t="shared" si="219"/>
        <v>2.4E-2</v>
      </c>
      <c r="R1597">
        <f t="shared" si="220"/>
        <v>1.7999999999999999E-2</v>
      </c>
      <c r="S1597">
        <f t="shared" si="221"/>
        <v>0.82499999999999996</v>
      </c>
      <c r="T1597">
        <f t="shared" si="222"/>
        <v>1.7616666670000001</v>
      </c>
      <c r="U1597">
        <f t="shared" si="223"/>
        <v>7.0565503879999998</v>
      </c>
      <c r="V1597">
        <f t="shared" si="224"/>
        <v>3.8837398373983721E-2</v>
      </c>
      <c r="W1597">
        <f t="shared" si="225"/>
        <v>5.5E-2</v>
      </c>
      <c r="X1597">
        <f t="shared" si="226"/>
        <v>0.89</v>
      </c>
      <c r="Y1597">
        <v>167.277299</v>
      </c>
      <c r="Z1597">
        <v>0</v>
      </c>
      <c r="AA1597">
        <v>152832</v>
      </c>
      <c r="AB1597">
        <v>45686</v>
      </c>
      <c r="AC1597">
        <v>2.1596295000000001E-2</v>
      </c>
      <c r="AD1597">
        <v>0.84212384500000004</v>
      </c>
      <c r="AF1597">
        <v>11.99923077</v>
      </c>
      <c r="AG1597">
        <v>2.4E-2</v>
      </c>
      <c r="AH1597">
        <v>1.7999999999999999E-2</v>
      </c>
      <c r="AI1597">
        <v>0.82499999999999996</v>
      </c>
      <c r="AJ1597">
        <v>1.7616666670000001</v>
      </c>
      <c r="AK1597">
        <v>7.0565503879999998</v>
      </c>
      <c r="AL1597">
        <v>0</v>
      </c>
      <c r="AM1597">
        <v>5.5E-2</v>
      </c>
      <c r="AN1597">
        <v>0.89</v>
      </c>
    </row>
    <row r="1598" spans="1:40">
      <c r="A1598">
        <v>3666</v>
      </c>
      <c r="B1598" t="s">
        <v>705</v>
      </c>
      <c r="C1598" t="s">
        <v>696</v>
      </c>
      <c r="D1598" t="s">
        <v>697</v>
      </c>
      <c r="E1598">
        <v>257</v>
      </c>
      <c r="F1598">
        <v>887</v>
      </c>
      <c r="G1598">
        <v>59.081455249999998</v>
      </c>
      <c r="H1598">
        <v>169</v>
      </c>
      <c r="I1598">
        <v>9.2349420000000002E-2</v>
      </c>
      <c r="J1598">
        <v>1056</v>
      </c>
      <c r="K1598">
        <v>11434.83088</v>
      </c>
      <c r="L1598">
        <v>0.83299999999999996</v>
      </c>
      <c r="M1598">
        <v>0.39671361500000002</v>
      </c>
      <c r="N1598">
        <v>0</v>
      </c>
      <c r="O1598" t="s">
        <v>613</v>
      </c>
      <c r="P1598">
        <f t="shared" si="218"/>
        <v>10.819879520000001</v>
      </c>
      <c r="Q1598">
        <f t="shared" si="219"/>
        <v>2.4E-2</v>
      </c>
      <c r="R1598">
        <f t="shared" si="220"/>
        <v>1.7999999999999999E-2</v>
      </c>
      <c r="S1598">
        <f t="shared" si="221"/>
        <v>0.83299999999999996</v>
      </c>
      <c r="T1598">
        <f t="shared" si="222"/>
        <v>0.92600000000000005</v>
      </c>
      <c r="U1598">
        <f t="shared" si="223"/>
        <v>5.8795515700000003</v>
      </c>
      <c r="V1598">
        <f t="shared" si="224"/>
        <v>2.9000000000000001E-2</v>
      </c>
      <c r="W1598">
        <f t="shared" si="225"/>
        <v>0.11799999999999999</v>
      </c>
      <c r="X1598">
        <f t="shared" si="226"/>
        <v>0.81399999999999995</v>
      </c>
      <c r="Y1598">
        <v>152.56484309999999</v>
      </c>
      <c r="Z1598">
        <v>0</v>
      </c>
      <c r="AA1598">
        <v>152832</v>
      </c>
      <c r="AB1598">
        <v>45686</v>
      </c>
      <c r="AC1598">
        <v>2.1596295000000001E-2</v>
      </c>
      <c r="AD1598">
        <v>0.84212384500000004</v>
      </c>
      <c r="AF1598">
        <v>10.819879520000001</v>
      </c>
      <c r="AG1598">
        <v>2.4E-2</v>
      </c>
      <c r="AH1598">
        <v>1.7999999999999999E-2</v>
      </c>
      <c r="AI1598">
        <v>0.83299999999999996</v>
      </c>
      <c r="AJ1598">
        <v>0.92600000000000005</v>
      </c>
      <c r="AK1598">
        <v>5.8795515700000003</v>
      </c>
      <c r="AL1598">
        <v>2.9000000000000001E-2</v>
      </c>
      <c r="AM1598">
        <v>0.11799999999999999</v>
      </c>
      <c r="AN1598">
        <v>0.81399999999999995</v>
      </c>
    </row>
    <row r="1599" spans="1:40">
      <c r="A1599">
        <v>3667</v>
      </c>
      <c r="B1599" t="s">
        <v>705</v>
      </c>
      <c r="C1599" t="s">
        <v>696</v>
      </c>
      <c r="D1599" t="s">
        <v>697</v>
      </c>
      <c r="E1599">
        <v>83</v>
      </c>
      <c r="F1599">
        <v>281</v>
      </c>
      <c r="G1599">
        <v>27.009171689999999</v>
      </c>
      <c r="H1599">
        <v>264</v>
      </c>
      <c r="I1599">
        <v>4.2217985999999999E-2</v>
      </c>
      <c r="J1599">
        <v>545</v>
      </c>
      <c r="K1599">
        <v>12909.18994</v>
      </c>
      <c r="L1599">
        <v>0.84899999999999998</v>
      </c>
      <c r="M1599">
        <v>0.76080691600000006</v>
      </c>
      <c r="N1599">
        <v>0</v>
      </c>
      <c r="O1599" t="s">
        <v>620</v>
      </c>
      <c r="P1599">
        <f t="shared" si="218"/>
        <v>13.971935480000001</v>
      </c>
      <c r="Q1599">
        <f t="shared" si="219"/>
        <v>1.4E-2</v>
      </c>
      <c r="R1599">
        <f t="shared" si="220"/>
        <v>0.01</v>
      </c>
      <c r="S1599">
        <f t="shared" si="221"/>
        <v>0.84899999999999998</v>
      </c>
      <c r="T1599">
        <f t="shared" si="222"/>
        <v>1.7675000000000001</v>
      </c>
      <c r="U1599">
        <f t="shared" si="223"/>
        <v>7.2690670549999998</v>
      </c>
      <c r="V1599">
        <f t="shared" si="224"/>
        <v>3.8837398373983721E-2</v>
      </c>
      <c r="W1599">
        <f t="shared" si="225"/>
        <v>2.9000000000000001E-2</v>
      </c>
      <c r="X1599">
        <f t="shared" si="226"/>
        <v>0.91200000000000003</v>
      </c>
      <c r="Y1599">
        <v>152.41918659999999</v>
      </c>
      <c r="Z1599">
        <v>0</v>
      </c>
      <c r="AA1599">
        <v>152832</v>
      </c>
      <c r="AB1599">
        <v>45686</v>
      </c>
      <c r="AC1599">
        <v>2.1596295000000001E-2</v>
      </c>
      <c r="AD1599">
        <v>0.84212384500000004</v>
      </c>
      <c r="AF1599">
        <v>13.971935480000001</v>
      </c>
      <c r="AG1599">
        <v>1.4E-2</v>
      </c>
      <c r="AH1599">
        <v>0.01</v>
      </c>
      <c r="AI1599">
        <v>0.84899999999999998</v>
      </c>
      <c r="AJ1599">
        <v>1.7675000000000001</v>
      </c>
      <c r="AK1599">
        <v>7.2690670549999998</v>
      </c>
      <c r="AL1599">
        <v>0</v>
      </c>
      <c r="AM1599">
        <v>2.9000000000000001E-2</v>
      </c>
      <c r="AN1599">
        <v>0.91200000000000003</v>
      </c>
    </row>
    <row r="1600" spans="1:40">
      <c r="A1600">
        <v>3668</v>
      </c>
      <c r="B1600" t="s">
        <v>705</v>
      </c>
      <c r="C1600" t="s">
        <v>696</v>
      </c>
      <c r="D1600" t="s">
        <v>697</v>
      </c>
      <c r="E1600">
        <v>72</v>
      </c>
      <c r="F1600">
        <v>203</v>
      </c>
      <c r="G1600">
        <v>15.68896342</v>
      </c>
      <c r="H1600">
        <v>179</v>
      </c>
      <c r="I1600">
        <v>2.4523607999999999E-2</v>
      </c>
      <c r="J1600">
        <v>382</v>
      </c>
      <c r="K1600">
        <v>15576.82703</v>
      </c>
      <c r="L1600">
        <v>0.72699999999999998</v>
      </c>
      <c r="M1600">
        <v>0.71314741000000004</v>
      </c>
      <c r="N1600">
        <v>1</v>
      </c>
      <c r="O1600" t="s">
        <v>613</v>
      </c>
      <c r="P1600">
        <f t="shared" si="218"/>
        <v>12.17116279</v>
      </c>
      <c r="Q1600">
        <f t="shared" si="219"/>
        <v>4.5999999999999999E-2</v>
      </c>
      <c r="R1600">
        <f t="shared" si="220"/>
        <v>3.3000000000000002E-2</v>
      </c>
      <c r="S1600">
        <f t="shared" si="221"/>
        <v>0.72699999999999998</v>
      </c>
      <c r="T1600">
        <f t="shared" si="222"/>
        <v>2.4691666670000001</v>
      </c>
      <c r="U1600">
        <f t="shared" si="223"/>
        <v>6.9447328239999999</v>
      </c>
      <c r="V1600">
        <f t="shared" si="224"/>
        <v>3.8837398373983721E-2</v>
      </c>
      <c r="W1600">
        <f t="shared" si="225"/>
        <v>0.14799999999999999</v>
      </c>
      <c r="X1600">
        <f t="shared" si="226"/>
        <v>0.79600000000000004</v>
      </c>
      <c r="Y1600">
        <v>104.7345373</v>
      </c>
      <c r="Z1600">
        <v>0</v>
      </c>
      <c r="AA1600">
        <v>152832</v>
      </c>
      <c r="AB1600">
        <v>45686</v>
      </c>
      <c r="AC1600">
        <v>2.1596295000000001E-2</v>
      </c>
      <c r="AD1600">
        <v>0.84212384500000004</v>
      </c>
      <c r="AF1600">
        <v>12.17116279</v>
      </c>
      <c r="AG1600">
        <v>4.5999999999999999E-2</v>
      </c>
      <c r="AH1600">
        <v>3.3000000000000002E-2</v>
      </c>
      <c r="AI1600">
        <v>0.72699999999999998</v>
      </c>
      <c r="AJ1600">
        <v>2.4691666670000001</v>
      </c>
      <c r="AK1600">
        <v>6.9447328239999999</v>
      </c>
      <c r="AL1600">
        <v>0</v>
      </c>
      <c r="AM1600">
        <v>0.14799999999999999</v>
      </c>
      <c r="AN1600">
        <v>0.79600000000000004</v>
      </c>
    </row>
    <row r="1601" spans="1:40">
      <c r="A1601">
        <v>3669</v>
      </c>
      <c r="B1601" t="s">
        <v>705</v>
      </c>
      <c r="C1601" t="s">
        <v>696</v>
      </c>
      <c r="D1601" t="s">
        <v>697</v>
      </c>
      <c r="E1601">
        <v>8</v>
      </c>
      <c r="F1601">
        <v>29</v>
      </c>
      <c r="G1601">
        <v>178.1629169</v>
      </c>
      <c r="H1601">
        <v>2765</v>
      </c>
      <c r="I1601">
        <v>0.27848117900000002</v>
      </c>
      <c r="J1601">
        <v>2794</v>
      </c>
      <c r="K1601">
        <v>10032.99401</v>
      </c>
      <c r="L1601">
        <v>0.91900000000000004</v>
      </c>
      <c r="M1601">
        <v>0.99711503800000001</v>
      </c>
      <c r="N1601">
        <v>0</v>
      </c>
      <c r="O1601" t="s">
        <v>620</v>
      </c>
      <c r="P1601">
        <f t="shared" si="218"/>
        <v>16.143962699999999</v>
      </c>
      <c r="Q1601">
        <f t="shared" si="219"/>
        <v>0.01</v>
      </c>
      <c r="R1601">
        <f t="shared" si="220"/>
        <v>8.9999999999999993E-3</v>
      </c>
      <c r="S1601">
        <f t="shared" si="221"/>
        <v>0.91900000000000004</v>
      </c>
      <c r="T1601">
        <f t="shared" si="222"/>
        <v>2.7635714290000002</v>
      </c>
      <c r="U1601">
        <f t="shared" si="223"/>
        <v>11.03280427</v>
      </c>
      <c r="V1601">
        <f t="shared" si="224"/>
        <v>8.9999999999999993E-3</v>
      </c>
      <c r="W1601">
        <f t="shared" si="225"/>
        <v>2.5000000000000001E-2</v>
      </c>
      <c r="X1601">
        <f t="shared" si="226"/>
        <v>0.96599999999999997</v>
      </c>
      <c r="Y1601">
        <v>12.845485610000001</v>
      </c>
      <c r="Z1601">
        <v>0</v>
      </c>
      <c r="AA1601">
        <v>152832</v>
      </c>
      <c r="AB1601">
        <v>45686</v>
      </c>
      <c r="AC1601">
        <v>2.1596295000000001E-2</v>
      </c>
      <c r="AD1601">
        <v>0.84212384500000004</v>
      </c>
      <c r="AF1601">
        <v>16.143962699999999</v>
      </c>
      <c r="AG1601">
        <v>0.01</v>
      </c>
      <c r="AH1601">
        <v>8.9999999999999993E-3</v>
      </c>
      <c r="AI1601">
        <v>0.91900000000000004</v>
      </c>
      <c r="AJ1601">
        <v>2.7635714290000002</v>
      </c>
      <c r="AK1601">
        <v>11.03280427</v>
      </c>
      <c r="AL1601">
        <v>8.9999999999999993E-3</v>
      </c>
      <c r="AM1601">
        <v>2.5000000000000001E-2</v>
      </c>
      <c r="AN1601">
        <v>0.96599999999999997</v>
      </c>
    </row>
    <row r="1602" spans="1:40">
      <c r="A1602">
        <v>3670</v>
      </c>
      <c r="B1602" t="s">
        <v>705</v>
      </c>
      <c r="C1602" t="s">
        <v>696</v>
      </c>
      <c r="D1602" t="s">
        <v>697</v>
      </c>
      <c r="E1602">
        <v>0</v>
      </c>
      <c r="F1602">
        <v>0</v>
      </c>
      <c r="G1602">
        <v>130.85915180000001</v>
      </c>
      <c r="H1602">
        <v>1783</v>
      </c>
      <c r="I1602">
        <v>0.20454586499999999</v>
      </c>
      <c r="J1602">
        <v>1783</v>
      </c>
      <c r="K1602">
        <v>8716.8713970000008</v>
      </c>
      <c r="L1602">
        <v>0.95899999999999996</v>
      </c>
      <c r="M1602" s="515">
        <v>1</v>
      </c>
      <c r="N1602">
        <v>0</v>
      </c>
      <c r="O1602" t="s">
        <v>620</v>
      </c>
      <c r="P1602">
        <f t="shared" si="218"/>
        <v>13.22124528</v>
      </c>
      <c r="Q1602">
        <f t="shared" si="219"/>
        <v>2.4977443609022529E-2</v>
      </c>
      <c r="R1602">
        <f t="shared" si="220"/>
        <v>8.9999999999999993E-3</v>
      </c>
      <c r="S1602">
        <f t="shared" si="221"/>
        <v>0.95899999999999996</v>
      </c>
      <c r="T1602">
        <f t="shared" si="222"/>
        <v>4.3957142859999996</v>
      </c>
      <c r="U1602">
        <f t="shared" si="223"/>
        <v>10.885901410000001</v>
      </c>
      <c r="V1602">
        <f t="shared" si="224"/>
        <v>2.5999999999999999E-2</v>
      </c>
      <c r="W1602">
        <f t="shared" si="225"/>
        <v>8.6720930232558141E-2</v>
      </c>
      <c r="X1602">
        <f t="shared" si="226"/>
        <v>0.97399999999999998</v>
      </c>
      <c r="Y1602">
        <v>12.845485610000001</v>
      </c>
      <c r="Z1602">
        <v>0</v>
      </c>
      <c r="AA1602">
        <v>152832</v>
      </c>
      <c r="AB1602">
        <v>45686</v>
      </c>
      <c r="AC1602">
        <v>2.1596295000000001E-2</v>
      </c>
      <c r="AD1602">
        <v>0.84212384500000004</v>
      </c>
      <c r="AF1602">
        <v>13.22124528</v>
      </c>
      <c r="AG1602">
        <v>0</v>
      </c>
      <c r="AH1602">
        <v>8.9999999999999993E-3</v>
      </c>
      <c r="AI1602">
        <v>0.95899999999999996</v>
      </c>
      <c r="AJ1602">
        <v>4.3957142859999996</v>
      </c>
      <c r="AK1602">
        <v>10.885901410000001</v>
      </c>
      <c r="AL1602">
        <v>2.5999999999999999E-2</v>
      </c>
      <c r="AM1602">
        <v>0</v>
      </c>
      <c r="AN1602">
        <v>0.97399999999999998</v>
      </c>
    </row>
    <row r="1603" spans="1:40">
      <c r="A1603">
        <v>3671</v>
      </c>
      <c r="B1603" t="s">
        <v>705</v>
      </c>
      <c r="C1603" t="s">
        <v>696</v>
      </c>
      <c r="D1603" t="s">
        <v>697</v>
      </c>
      <c r="E1603">
        <v>10</v>
      </c>
      <c r="F1603">
        <v>36</v>
      </c>
      <c r="G1603">
        <v>78.987132750000001</v>
      </c>
      <c r="H1603">
        <v>734</v>
      </c>
      <c r="I1603">
        <v>0.123464754</v>
      </c>
      <c r="J1603">
        <v>770</v>
      </c>
      <c r="K1603">
        <v>6236.5976929999997</v>
      </c>
      <c r="L1603">
        <v>0.84799999999999998</v>
      </c>
      <c r="M1603">
        <v>0.98655914</v>
      </c>
      <c r="N1603">
        <v>0</v>
      </c>
      <c r="O1603" t="s">
        <v>620</v>
      </c>
      <c r="P1603">
        <f t="shared" si="218"/>
        <v>12.8422561</v>
      </c>
      <c r="Q1603">
        <f t="shared" si="219"/>
        <v>2.4E-2</v>
      </c>
      <c r="R1603">
        <f t="shared" si="220"/>
        <v>8.9999999999999993E-3</v>
      </c>
      <c r="S1603">
        <f t="shared" si="221"/>
        <v>0.84799999999999998</v>
      </c>
      <c r="T1603">
        <f t="shared" si="222"/>
        <v>3.4874999999999998</v>
      </c>
      <c r="U1603">
        <f t="shared" si="223"/>
        <v>10.28606218</v>
      </c>
      <c r="V1603">
        <f t="shared" si="224"/>
        <v>1.0999999999999999E-2</v>
      </c>
      <c r="W1603">
        <f t="shared" si="225"/>
        <v>4.4999999999999998E-2</v>
      </c>
      <c r="X1603">
        <f t="shared" si="226"/>
        <v>0.93200000000000005</v>
      </c>
      <c r="Y1603">
        <v>12.98413541</v>
      </c>
      <c r="Z1603">
        <v>0</v>
      </c>
      <c r="AA1603">
        <v>152832</v>
      </c>
      <c r="AB1603">
        <v>45686</v>
      </c>
      <c r="AC1603">
        <v>2.1596295000000001E-2</v>
      </c>
      <c r="AD1603">
        <v>0.84212384500000004</v>
      </c>
      <c r="AF1603">
        <v>12.8422561</v>
      </c>
      <c r="AG1603">
        <v>2.4E-2</v>
      </c>
      <c r="AH1603">
        <v>8.9999999999999993E-3</v>
      </c>
      <c r="AI1603">
        <v>0.84799999999999998</v>
      </c>
      <c r="AJ1603">
        <v>3.4874999999999998</v>
      </c>
      <c r="AK1603">
        <v>10.28606218</v>
      </c>
      <c r="AL1603">
        <v>1.0999999999999999E-2</v>
      </c>
      <c r="AM1603">
        <v>4.4999999999999998E-2</v>
      </c>
      <c r="AN1603">
        <v>0.93200000000000005</v>
      </c>
    </row>
    <row r="1604" spans="1:40">
      <c r="A1604">
        <v>3672</v>
      </c>
      <c r="B1604" t="s">
        <v>705</v>
      </c>
      <c r="C1604" t="s">
        <v>696</v>
      </c>
      <c r="D1604" t="s">
        <v>697</v>
      </c>
      <c r="E1604">
        <v>437</v>
      </c>
      <c r="F1604">
        <v>1604</v>
      </c>
      <c r="G1604">
        <v>107.1630799</v>
      </c>
      <c r="H1604">
        <v>92</v>
      </c>
      <c r="I1604">
        <v>0.16750864300000001</v>
      </c>
      <c r="J1604">
        <v>1696</v>
      </c>
      <c r="K1604">
        <v>10124.850689999999</v>
      </c>
      <c r="L1604">
        <v>0.85699999999999998</v>
      </c>
      <c r="M1604">
        <v>0.17391304299999999</v>
      </c>
      <c r="N1604">
        <v>0</v>
      </c>
      <c r="O1604" t="s">
        <v>620</v>
      </c>
      <c r="P1604">
        <f t="shared" si="218"/>
        <v>12.41131579</v>
      </c>
      <c r="Q1604">
        <f t="shared" si="219"/>
        <v>2.7E-2</v>
      </c>
      <c r="R1604">
        <f t="shared" si="220"/>
        <v>2.5000000000000001E-2</v>
      </c>
      <c r="S1604">
        <f t="shared" si="221"/>
        <v>0.85699999999999998</v>
      </c>
      <c r="T1604">
        <f t="shared" si="222"/>
        <v>3.0487500000000001</v>
      </c>
      <c r="U1604">
        <f t="shared" si="223"/>
        <v>7.0943202029999997</v>
      </c>
      <c r="V1604">
        <f t="shared" si="224"/>
        <v>3.4000000000000002E-2</v>
      </c>
      <c r="W1604">
        <f t="shared" si="225"/>
        <v>0.11700000000000001</v>
      </c>
      <c r="X1604">
        <f t="shared" si="226"/>
        <v>0.84899999999999998</v>
      </c>
      <c r="Y1604">
        <v>176.557152</v>
      </c>
      <c r="Z1604">
        <v>0</v>
      </c>
      <c r="AA1604">
        <v>152832</v>
      </c>
      <c r="AB1604">
        <v>45686</v>
      </c>
      <c r="AC1604">
        <v>2.1596295000000001E-2</v>
      </c>
      <c r="AD1604">
        <v>0.84212384500000004</v>
      </c>
      <c r="AF1604">
        <v>12.41131579</v>
      </c>
      <c r="AG1604">
        <v>2.7E-2</v>
      </c>
      <c r="AH1604">
        <v>2.5000000000000001E-2</v>
      </c>
      <c r="AI1604">
        <v>0.85699999999999998</v>
      </c>
      <c r="AJ1604">
        <v>3.0487500000000001</v>
      </c>
      <c r="AK1604">
        <v>7.0943202029999997</v>
      </c>
      <c r="AL1604">
        <v>3.4000000000000002E-2</v>
      </c>
      <c r="AM1604">
        <v>0.11700000000000001</v>
      </c>
      <c r="AN1604">
        <v>0.84899999999999998</v>
      </c>
    </row>
    <row r="1605" spans="1:40">
      <c r="A1605">
        <v>3673</v>
      </c>
      <c r="B1605" t="s">
        <v>705</v>
      </c>
      <c r="C1605" t="s">
        <v>696</v>
      </c>
      <c r="D1605" t="s">
        <v>697</v>
      </c>
      <c r="E1605">
        <v>130</v>
      </c>
      <c r="F1605">
        <v>394</v>
      </c>
      <c r="G1605">
        <v>109.8875637</v>
      </c>
      <c r="H1605">
        <v>0</v>
      </c>
      <c r="I1605">
        <v>0.171767435</v>
      </c>
      <c r="J1605">
        <v>394</v>
      </c>
      <c r="K1605">
        <v>2293.7991710000001</v>
      </c>
      <c r="L1605">
        <v>0.90200000000000002</v>
      </c>
      <c r="M1605">
        <v>0</v>
      </c>
      <c r="N1605">
        <v>0</v>
      </c>
      <c r="O1605" t="s">
        <v>620</v>
      </c>
      <c r="P1605">
        <f t="shared" si="218"/>
        <v>12.83677419</v>
      </c>
      <c r="Q1605">
        <f t="shared" si="219"/>
        <v>0.03</v>
      </c>
      <c r="R1605">
        <f t="shared" si="220"/>
        <v>2.4E-2</v>
      </c>
      <c r="S1605">
        <f t="shared" si="221"/>
        <v>0.90200000000000002</v>
      </c>
      <c r="T1605">
        <f t="shared" si="222"/>
        <v>2.6074999999999999</v>
      </c>
      <c r="U1605">
        <f t="shared" si="223"/>
        <v>8.3252702700000007</v>
      </c>
      <c r="V1605">
        <f t="shared" si="224"/>
        <v>5.2999999999999999E-2</v>
      </c>
      <c r="W1605">
        <f t="shared" si="225"/>
        <v>7.9000000000000001E-2</v>
      </c>
      <c r="X1605">
        <f t="shared" si="226"/>
        <v>0.81599999999999995</v>
      </c>
      <c r="Y1605">
        <v>26.774150670000001</v>
      </c>
      <c r="Z1605">
        <v>0</v>
      </c>
      <c r="AA1605">
        <v>152832</v>
      </c>
      <c r="AB1605">
        <v>45686</v>
      </c>
      <c r="AC1605">
        <v>2.1596295000000001E-2</v>
      </c>
      <c r="AD1605">
        <v>0.84212384500000004</v>
      </c>
      <c r="AF1605">
        <v>12.83677419</v>
      </c>
      <c r="AG1605">
        <v>0.03</v>
      </c>
      <c r="AH1605">
        <v>2.4E-2</v>
      </c>
      <c r="AI1605">
        <v>0.90200000000000002</v>
      </c>
      <c r="AJ1605">
        <v>2.6074999999999999</v>
      </c>
      <c r="AK1605">
        <v>8.3252702700000007</v>
      </c>
      <c r="AL1605">
        <v>5.2999999999999999E-2</v>
      </c>
      <c r="AM1605">
        <v>7.9000000000000001E-2</v>
      </c>
      <c r="AN1605">
        <v>0.81599999999999995</v>
      </c>
    </row>
    <row r="1606" spans="1:40">
      <c r="A1606">
        <v>3674</v>
      </c>
      <c r="B1606" t="s">
        <v>705</v>
      </c>
      <c r="C1606" t="s">
        <v>696</v>
      </c>
      <c r="D1606" t="s">
        <v>697</v>
      </c>
      <c r="E1606">
        <v>587</v>
      </c>
      <c r="F1606">
        <v>806</v>
      </c>
      <c r="G1606">
        <v>128.4730874</v>
      </c>
      <c r="H1606">
        <v>196</v>
      </c>
      <c r="I1606">
        <v>0.200820252</v>
      </c>
      <c r="J1606">
        <v>1002</v>
      </c>
      <c r="K1606">
        <v>4989.5366130000002</v>
      </c>
      <c r="L1606">
        <v>0.80700000000000005</v>
      </c>
      <c r="M1606">
        <v>0.250319285</v>
      </c>
      <c r="N1606">
        <v>1</v>
      </c>
      <c r="O1606" t="s">
        <v>620</v>
      </c>
      <c r="P1606">
        <f t="shared" si="218"/>
        <v>12.726078429999999</v>
      </c>
      <c r="Q1606">
        <f t="shared" si="219"/>
        <v>5.0999999999999997E-2</v>
      </c>
      <c r="R1606">
        <f t="shared" si="220"/>
        <v>1.7999999999999999E-2</v>
      </c>
      <c r="S1606">
        <f t="shared" si="221"/>
        <v>0.80700000000000005</v>
      </c>
      <c r="T1606">
        <f t="shared" si="222"/>
        <v>2.5722222220000002</v>
      </c>
      <c r="U1606">
        <f t="shared" si="223"/>
        <v>7.4103367880000004</v>
      </c>
      <c r="V1606">
        <f t="shared" si="224"/>
        <v>1.7000000000000001E-2</v>
      </c>
      <c r="W1606">
        <f t="shared" si="225"/>
        <v>0.10299999999999999</v>
      </c>
      <c r="X1606">
        <f t="shared" si="226"/>
        <v>0.879</v>
      </c>
      <c r="Y1606">
        <v>26.835145539999999</v>
      </c>
      <c r="Z1606">
        <v>0</v>
      </c>
      <c r="AA1606">
        <v>152832</v>
      </c>
      <c r="AB1606">
        <v>45686</v>
      </c>
      <c r="AC1606">
        <v>2.1596295000000001E-2</v>
      </c>
      <c r="AD1606">
        <v>0.84212384500000004</v>
      </c>
      <c r="AF1606">
        <v>12.726078429999999</v>
      </c>
      <c r="AG1606">
        <v>5.0999999999999997E-2</v>
      </c>
      <c r="AH1606">
        <v>1.7999999999999999E-2</v>
      </c>
      <c r="AI1606">
        <v>0.80700000000000005</v>
      </c>
      <c r="AJ1606">
        <v>2.5722222220000002</v>
      </c>
      <c r="AK1606">
        <v>7.4103367880000004</v>
      </c>
      <c r="AL1606">
        <v>1.7000000000000001E-2</v>
      </c>
      <c r="AM1606">
        <v>0.10299999999999999</v>
      </c>
      <c r="AN1606">
        <v>0.879</v>
      </c>
    </row>
    <row r="1607" spans="1:40">
      <c r="A1607">
        <v>3675</v>
      </c>
      <c r="B1607" t="s">
        <v>709</v>
      </c>
      <c r="C1607" t="s">
        <v>693</v>
      </c>
      <c r="D1607" t="s">
        <v>694</v>
      </c>
      <c r="E1607">
        <v>1208</v>
      </c>
      <c r="F1607">
        <v>1413</v>
      </c>
      <c r="G1607">
        <v>153.47268529999999</v>
      </c>
      <c r="H1607">
        <v>0</v>
      </c>
      <c r="I1607">
        <v>0.23989532799999999</v>
      </c>
      <c r="J1607">
        <v>1413</v>
      </c>
      <c r="K1607">
        <v>5890.0688550000004</v>
      </c>
      <c r="L1607">
        <v>0.84699999999999998</v>
      </c>
      <c r="M1607">
        <v>0</v>
      </c>
      <c r="N1607">
        <v>0</v>
      </c>
      <c r="O1607" t="s">
        <v>625</v>
      </c>
      <c r="P1607">
        <f t="shared" si="218"/>
        <v>16.49288</v>
      </c>
      <c r="Q1607">
        <f t="shared" si="219"/>
        <v>1.2999999999999999E-2</v>
      </c>
      <c r="R1607">
        <f t="shared" si="220"/>
        <v>1.4E-2</v>
      </c>
      <c r="S1607">
        <f t="shared" si="221"/>
        <v>0.84699999999999998</v>
      </c>
      <c r="T1607">
        <f t="shared" si="222"/>
        <v>2.7028571430000001</v>
      </c>
      <c r="U1607">
        <f t="shared" si="223"/>
        <v>7.6259324160000004</v>
      </c>
      <c r="V1607">
        <f t="shared" si="224"/>
        <v>2.8000000000000001E-2</v>
      </c>
      <c r="W1607">
        <f t="shared" si="225"/>
        <v>7.6999999999999999E-2</v>
      </c>
      <c r="X1607">
        <f t="shared" si="226"/>
        <v>0.88</v>
      </c>
      <c r="Y1607">
        <v>128.94096300000001</v>
      </c>
      <c r="Z1607">
        <v>0</v>
      </c>
      <c r="AA1607">
        <v>56865</v>
      </c>
      <c r="AB1607">
        <v>22398</v>
      </c>
      <c r="AC1607">
        <v>1.1143686E-2</v>
      </c>
      <c r="AD1607">
        <v>0.81944707100000003</v>
      </c>
      <c r="AF1607">
        <v>16.49288</v>
      </c>
      <c r="AG1607">
        <v>1.2999999999999999E-2</v>
      </c>
      <c r="AH1607">
        <v>1.4E-2</v>
      </c>
      <c r="AI1607">
        <v>0.84699999999999998</v>
      </c>
      <c r="AJ1607">
        <v>2.7028571430000001</v>
      </c>
      <c r="AK1607">
        <v>7.6259324160000004</v>
      </c>
      <c r="AL1607">
        <v>2.8000000000000001E-2</v>
      </c>
      <c r="AM1607">
        <v>7.6999999999999999E-2</v>
      </c>
      <c r="AN1607">
        <v>0.88</v>
      </c>
    </row>
    <row r="1608" spans="1:40">
      <c r="A1608">
        <v>3676</v>
      </c>
      <c r="B1608" t="s">
        <v>709</v>
      </c>
      <c r="C1608" t="s">
        <v>693</v>
      </c>
      <c r="D1608" t="s">
        <v>694</v>
      </c>
      <c r="E1608">
        <v>492</v>
      </c>
      <c r="F1608">
        <v>1455</v>
      </c>
      <c r="G1608">
        <v>127.8626411</v>
      </c>
      <c r="H1608">
        <v>80</v>
      </c>
      <c r="I1608">
        <v>0.199863968</v>
      </c>
      <c r="J1608">
        <v>1535</v>
      </c>
      <c r="K1608">
        <v>7680.2237809999997</v>
      </c>
      <c r="L1608">
        <v>0.81399999999999995</v>
      </c>
      <c r="M1608">
        <v>0.13986013999999999</v>
      </c>
      <c r="N1608">
        <v>0</v>
      </c>
      <c r="O1608" t="s">
        <v>620</v>
      </c>
      <c r="P1608">
        <f t="shared" si="218"/>
        <v>13.41737374</v>
      </c>
      <c r="Q1608">
        <f t="shared" si="219"/>
        <v>5.0000000000000001E-3</v>
      </c>
      <c r="R1608">
        <f t="shared" si="220"/>
        <v>2.7E-2</v>
      </c>
      <c r="S1608">
        <f t="shared" si="221"/>
        <v>0.81399999999999995</v>
      </c>
      <c r="T1608">
        <f t="shared" si="222"/>
        <v>1.83</v>
      </c>
      <c r="U1608">
        <f t="shared" si="223"/>
        <v>6.8910758379999999</v>
      </c>
      <c r="V1608">
        <f t="shared" si="224"/>
        <v>3.6999999999999998E-2</v>
      </c>
      <c r="W1608">
        <f t="shared" si="225"/>
        <v>1.7999999999999999E-2</v>
      </c>
      <c r="X1608">
        <f t="shared" si="226"/>
        <v>0.90800000000000003</v>
      </c>
      <c r="Y1608">
        <v>188.21260000000001</v>
      </c>
      <c r="Z1608">
        <v>0</v>
      </c>
      <c r="AA1608">
        <v>56865</v>
      </c>
      <c r="AB1608">
        <v>22398</v>
      </c>
      <c r="AC1608">
        <v>1.1143686E-2</v>
      </c>
      <c r="AD1608">
        <v>0.81944707100000003</v>
      </c>
      <c r="AF1608">
        <v>13.41737374</v>
      </c>
      <c r="AG1608">
        <v>5.0000000000000001E-3</v>
      </c>
      <c r="AH1608">
        <v>2.7E-2</v>
      </c>
      <c r="AI1608">
        <v>0.81399999999999995</v>
      </c>
      <c r="AJ1608">
        <v>1.83</v>
      </c>
      <c r="AK1608">
        <v>6.8910758379999999</v>
      </c>
      <c r="AL1608">
        <v>3.6999999999999998E-2</v>
      </c>
      <c r="AM1608">
        <v>1.7999999999999999E-2</v>
      </c>
      <c r="AN1608">
        <v>0.90800000000000003</v>
      </c>
    </row>
    <row r="1609" spans="1:40">
      <c r="A1609">
        <v>3677</v>
      </c>
      <c r="B1609" t="s">
        <v>707</v>
      </c>
      <c r="C1609" t="s">
        <v>693</v>
      </c>
      <c r="D1609" t="s">
        <v>694</v>
      </c>
      <c r="E1609">
        <v>0</v>
      </c>
      <c r="F1609">
        <v>0</v>
      </c>
      <c r="G1609">
        <v>975.89914020000003</v>
      </c>
      <c r="H1609">
        <v>0</v>
      </c>
      <c r="I1609" s="515">
        <v>1.52544553854266</v>
      </c>
      <c r="J1609">
        <v>0</v>
      </c>
      <c r="K1609">
        <v>0</v>
      </c>
      <c r="L1609"/>
      <c r="M1609">
        <v>0</v>
      </c>
      <c r="N1609">
        <v>0</v>
      </c>
      <c r="O1609" t="s">
        <v>625</v>
      </c>
      <c r="P1609">
        <f t="shared" si="218"/>
        <v>18.273803565652177</v>
      </c>
      <c r="Q1609">
        <f t="shared" si="219"/>
        <v>2.0450000000000006E-2</v>
      </c>
      <c r="R1609">
        <f t="shared" si="220"/>
        <v>7.2846153846153852E-2</v>
      </c>
      <c r="S1609">
        <f t="shared" si="221"/>
        <v>0.9342307692307692</v>
      </c>
      <c r="T1609">
        <f t="shared" si="222"/>
        <v>2.2191326312692303</v>
      </c>
      <c r="U1609">
        <f t="shared" si="223"/>
        <v>11.877651061423077</v>
      </c>
      <c r="V1609">
        <f t="shared" si="224"/>
        <v>0.11835714285714286</v>
      </c>
      <c r="W1609">
        <f t="shared" si="225"/>
        <v>8.5526315789473686E-2</v>
      </c>
      <c r="X1609">
        <f t="shared" si="226"/>
        <v>0.94647826086956499</v>
      </c>
      <c r="Y1609">
        <v>23.227955390000002</v>
      </c>
      <c r="Z1609">
        <v>0</v>
      </c>
      <c r="AA1609">
        <v>21149</v>
      </c>
      <c r="AB1609">
        <v>6968</v>
      </c>
      <c r="AC1609">
        <v>1.6645858999999999E-2</v>
      </c>
      <c r="AD1609">
        <v>0.89069218999999999</v>
      </c>
    </row>
    <row r="1610" spans="1:40">
      <c r="A1610">
        <v>3678</v>
      </c>
      <c r="B1610" t="s">
        <v>709</v>
      </c>
      <c r="C1610" t="s">
        <v>693</v>
      </c>
      <c r="D1610" t="s">
        <v>694</v>
      </c>
      <c r="E1610">
        <v>310</v>
      </c>
      <c r="F1610">
        <v>1055</v>
      </c>
      <c r="G1610">
        <v>220.32405120000001</v>
      </c>
      <c r="H1610">
        <v>0</v>
      </c>
      <c r="I1610">
        <v>0.34439298600000001</v>
      </c>
      <c r="J1610">
        <v>1055</v>
      </c>
      <c r="K1610">
        <v>3063.360878</v>
      </c>
      <c r="L1610">
        <v>0.83499999999999996</v>
      </c>
      <c r="M1610">
        <v>0</v>
      </c>
      <c r="N1610">
        <v>0</v>
      </c>
      <c r="O1610" t="s">
        <v>625</v>
      </c>
      <c r="P1610">
        <f t="shared" si="218"/>
        <v>16.135894740000001</v>
      </c>
      <c r="Q1610">
        <f t="shared" si="219"/>
        <v>1.4999999999999999E-2</v>
      </c>
      <c r="R1610">
        <f t="shared" si="220"/>
        <v>1.7999999999999999E-2</v>
      </c>
      <c r="S1610">
        <f t="shared" si="221"/>
        <v>0.83499999999999996</v>
      </c>
      <c r="T1610">
        <f t="shared" si="222"/>
        <v>0.88900000000000001</v>
      </c>
      <c r="U1610">
        <f t="shared" si="223"/>
        <v>8.9102702699999998</v>
      </c>
      <c r="V1610">
        <f t="shared" si="224"/>
        <v>1.9E-2</v>
      </c>
      <c r="W1610">
        <f t="shared" si="225"/>
        <v>5.8000000000000003E-2</v>
      </c>
      <c r="X1610">
        <f t="shared" si="226"/>
        <v>0.92200000000000004</v>
      </c>
      <c r="Y1610">
        <v>22.68382098</v>
      </c>
      <c r="Z1610">
        <v>0</v>
      </c>
      <c r="AA1610">
        <v>56865</v>
      </c>
      <c r="AB1610">
        <v>22398</v>
      </c>
      <c r="AC1610">
        <v>1.1143686E-2</v>
      </c>
      <c r="AD1610">
        <v>0.81944707100000003</v>
      </c>
      <c r="AF1610">
        <v>16.135894740000001</v>
      </c>
      <c r="AG1610">
        <v>1.4999999999999999E-2</v>
      </c>
      <c r="AH1610">
        <v>1.7999999999999999E-2</v>
      </c>
      <c r="AI1610">
        <v>0.83499999999999996</v>
      </c>
      <c r="AJ1610">
        <v>0.88900000000000001</v>
      </c>
      <c r="AK1610">
        <v>8.9102702699999998</v>
      </c>
      <c r="AL1610">
        <v>1.9E-2</v>
      </c>
      <c r="AM1610">
        <v>5.8000000000000003E-2</v>
      </c>
      <c r="AN1610">
        <v>0.92200000000000004</v>
      </c>
    </row>
    <row r="1611" spans="1:40">
      <c r="A1611">
        <v>3679</v>
      </c>
      <c r="B1611" t="s">
        <v>709</v>
      </c>
      <c r="C1611" t="s">
        <v>693</v>
      </c>
      <c r="D1611" t="s">
        <v>694</v>
      </c>
      <c r="E1611">
        <v>152</v>
      </c>
      <c r="F1611">
        <v>399</v>
      </c>
      <c r="G1611">
        <v>36.974767280000002</v>
      </c>
      <c r="H1611">
        <v>0</v>
      </c>
      <c r="I1611">
        <v>5.7794747E-2</v>
      </c>
      <c r="J1611">
        <v>399</v>
      </c>
      <c r="K1611">
        <v>6903.7416149999999</v>
      </c>
      <c r="L1611">
        <v>0.80600000000000005</v>
      </c>
      <c r="M1611">
        <v>0</v>
      </c>
      <c r="N1611">
        <v>0</v>
      </c>
      <c r="O1611" t="s">
        <v>620</v>
      </c>
      <c r="P1611">
        <f t="shared" si="218"/>
        <v>14.76409091</v>
      </c>
      <c r="Q1611">
        <f t="shared" si="219"/>
        <v>7.0000000000000001E-3</v>
      </c>
      <c r="R1611">
        <f t="shared" si="220"/>
        <v>2.7E-2</v>
      </c>
      <c r="S1611">
        <f t="shared" si="221"/>
        <v>0.80600000000000005</v>
      </c>
      <c r="T1611">
        <f t="shared" si="222"/>
        <v>1.4375</v>
      </c>
      <c r="U1611">
        <f t="shared" si="223"/>
        <v>7.0917808219999996</v>
      </c>
      <c r="V1611">
        <f t="shared" si="224"/>
        <v>4.6644067796610157E-2</v>
      </c>
      <c r="W1611">
        <f t="shared" si="225"/>
        <v>5.1076923076923055E-2</v>
      </c>
      <c r="X1611">
        <f t="shared" si="226"/>
        <v>1</v>
      </c>
      <c r="Y1611">
        <v>186.07847889999999</v>
      </c>
      <c r="Z1611">
        <v>0</v>
      </c>
      <c r="AA1611">
        <v>56865</v>
      </c>
      <c r="AB1611">
        <v>22398</v>
      </c>
      <c r="AC1611">
        <v>1.1143686E-2</v>
      </c>
      <c r="AD1611">
        <v>0.81944707100000003</v>
      </c>
      <c r="AF1611">
        <v>14.76409091</v>
      </c>
      <c r="AG1611">
        <v>7.0000000000000001E-3</v>
      </c>
      <c r="AH1611">
        <v>2.7E-2</v>
      </c>
      <c r="AI1611">
        <v>0.80600000000000005</v>
      </c>
      <c r="AJ1611">
        <v>1.4375</v>
      </c>
      <c r="AK1611">
        <v>7.0917808219999996</v>
      </c>
      <c r="AL1611">
        <v>0</v>
      </c>
      <c r="AM1611">
        <v>0</v>
      </c>
      <c r="AN1611">
        <v>1</v>
      </c>
    </row>
    <row r="1612" spans="1:40">
      <c r="A1612">
        <v>3680</v>
      </c>
      <c r="B1612" t="s">
        <v>709</v>
      </c>
      <c r="C1612" t="s">
        <v>693</v>
      </c>
      <c r="D1612" t="s">
        <v>694</v>
      </c>
      <c r="E1612">
        <v>109</v>
      </c>
      <c r="F1612">
        <v>271</v>
      </c>
      <c r="G1612">
        <v>25.162385199999999</v>
      </c>
      <c r="H1612">
        <v>0</v>
      </c>
      <c r="I1612">
        <v>3.9333228999999997E-2</v>
      </c>
      <c r="J1612">
        <v>271</v>
      </c>
      <c r="K1612">
        <v>6889.8487839999998</v>
      </c>
      <c r="L1612">
        <v>0.82899999999999996</v>
      </c>
      <c r="M1612">
        <v>0</v>
      </c>
      <c r="N1612">
        <v>0</v>
      </c>
      <c r="O1612" t="s">
        <v>620</v>
      </c>
      <c r="P1612">
        <f t="shared" ref="P1612:P1675" si="227">IF(OR(IFERROR(AF1612=0,TRUE),ISERROR(AF1612)),AVERAGEIFS(AF:AF,$B:$B,$B1612,AF:AF,"&gt;0"),AF1612)</f>
        <v>17.80964286</v>
      </c>
      <c r="Q1612">
        <f t="shared" ref="Q1612:Q1675" si="228">IF(OR(IFERROR(AG1612=0,TRUE),ISERROR(AG1612)),AVERAGEIFS(AG:AG,$B:$B,$B1612,AG:AG,"&gt;0"),AG1612)</f>
        <v>0.01</v>
      </c>
      <c r="R1612">
        <f t="shared" ref="R1612:R1675" si="229">IF(OR(IFERROR(AH1612=0,TRUE),ISERROR(AH1612)),AVERAGEIFS(AH:AH,$B:$B,$B1612,AH:AH,"&gt;0"),AH1612)</f>
        <v>4.8000000000000001E-2</v>
      </c>
      <c r="S1612">
        <f t="shared" ref="S1612:S1675" si="230">IF(OR(IFERROR(AI1612=0,TRUE),ISERROR(AI1612)),AVERAGEIFS(AI:AI,$B:$B,$B1612,AI:AI,"&gt;0"),AI1612)</f>
        <v>0.82899999999999996</v>
      </c>
      <c r="T1612">
        <f t="shared" ref="T1612:T1675" si="231">IF(OR(IFERROR(AJ1612=0,TRUE),ISERROR(AJ1612)),AVERAGEIFS(AJ:AJ,$B:$B,$B1612,AJ:AJ,"&gt;0"),AJ1612)</f>
        <v>2.0270000000000001</v>
      </c>
      <c r="U1612">
        <f t="shared" ref="U1612:U1675" si="232">IF(OR(IFERROR(AK1612=0,TRUE),ISERROR(AK1612)),AVERAGEIFS(AK:AK,$B:$B,$B1612,AK:AK,"&gt;0"),AK1612)</f>
        <v>7.3890229889999999</v>
      </c>
      <c r="V1612">
        <f t="shared" ref="V1612:V1675" si="233">IF(OR(IFERROR(AL1612=0,TRUE),ISERROR(AL1612)),AVERAGEIFS(AL:AL,$B:$B,$B1612,AL:AL,"&gt;0"),AL1612)</f>
        <v>6.7000000000000004E-2</v>
      </c>
      <c r="W1612">
        <f t="shared" ref="W1612:W1675" si="234">IF(OR(IFERROR(AM1612=0,TRUE),ISERROR(AM1612)),AVERAGEIFS(AM:AM,$B:$B,$B1612,AM:AM,"&gt;0"),AM1612)</f>
        <v>5.1076923076923055E-2</v>
      </c>
      <c r="X1612">
        <f t="shared" ref="X1612:X1675" si="235">IF(OR(IFERROR(AN1612=0,TRUE),ISERROR(AN1612)),AVERAGEIFS(AN:AN,$B:$B,$B1612,AN:AN,"&gt;0"),AN1612)</f>
        <v>0.93300000000000005</v>
      </c>
      <c r="Y1612">
        <v>191.42175889999999</v>
      </c>
      <c r="Z1612">
        <v>0</v>
      </c>
      <c r="AA1612">
        <v>56865</v>
      </c>
      <c r="AB1612">
        <v>22398</v>
      </c>
      <c r="AC1612">
        <v>1.1143686E-2</v>
      </c>
      <c r="AD1612">
        <v>0.81944707100000003</v>
      </c>
      <c r="AF1612">
        <v>17.80964286</v>
      </c>
      <c r="AG1612">
        <v>0.01</v>
      </c>
      <c r="AH1612">
        <v>4.8000000000000001E-2</v>
      </c>
      <c r="AI1612">
        <v>0.82899999999999996</v>
      </c>
      <c r="AJ1612">
        <v>2.0270000000000001</v>
      </c>
      <c r="AK1612">
        <v>7.3890229889999999</v>
      </c>
      <c r="AL1612">
        <v>6.7000000000000004E-2</v>
      </c>
      <c r="AM1612">
        <v>0</v>
      </c>
      <c r="AN1612">
        <v>0.93300000000000005</v>
      </c>
    </row>
    <row r="1613" spans="1:40">
      <c r="A1613">
        <v>3681</v>
      </c>
      <c r="B1613" t="s">
        <v>709</v>
      </c>
      <c r="C1613" t="s">
        <v>693</v>
      </c>
      <c r="D1613" t="s">
        <v>694</v>
      </c>
      <c r="E1613">
        <v>175</v>
      </c>
      <c r="F1613">
        <v>684</v>
      </c>
      <c r="G1613">
        <v>68.076546059999998</v>
      </c>
      <c r="H1613">
        <v>175</v>
      </c>
      <c r="I1613">
        <v>0.106412084</v>
      </c>
      <c r="J1613">
        <v>859</v>
      </c>
      <c r="K1613">
        <v>8072.3914779999996</v>
      </c>
      <c r="L1613">
        <v>0.84</v>
      </c>
      <c r="M1613">
        <v>0.5</v>
      </c>
      <c r="N1613">
        <v>0</v>
      </c>
      <c r="O1613" t="s">
        <v>620</v>
      </c>
      <c r="P1613">
        <f t="shared" si="227"/>
        <v>14.12902439</v>
      </c>
      <c r="Q1613">
        <f t="shared" si="228"/>
        <v>0.01</v>
      </c>
      <c r="R1613">
        <f t="shared" si="229"/>
        <v>0.03</v>
      </c>
      <c r="S1613">
        <f t="shared" si="230"/>
        <v>0.84</v>
      </c>
      <c r="T1613">
        <f t="shared" si="231"/>
        <v>1.9791666670000001</v>
      </c>
      <c r="U1613">
        <f t="shared" si="232"/>
        <v>9.1883483479999999</v>
      </c>
      <c r="V1613">
        <f t="shared" si="233"/>
        <v>9.5000000000000001E-2</v>
      </c>
      <c r="W1613">
        <f t="shared" si="234"/>
        <v>4.2000000000000003E-2</v>
      </c>
      <c r="X1613">
        <f t="shared" si="235"/>
        <v>0.86299999999999999</v>
      </c>
      <c r="Y1613">
        <v>186.56824330000001</v>
      </c>
      <c r="Z1613">
        <v>0</v>
      </c>
      <c r="AA1613">
        <v>56865</v>
      </c>
      <c r="AB1613">
        <v>22398</v>
      </c>
      <c r="AC1613">
        <v>1.1143686E-2</v>
      </c>
      <c r="AD1613">
        <v>0.81944707100000003</v>
      </c>
      <c r="AF1613">
        <v>14.12902439</v>
      </c>
      <c r="AG1613">
        <v>0.01</v>
      </c>
      <c r="AH1613">
        <v>0.03</v>
      </c>
      <c r="AI1613">
        <v>0.84</v>
      </c>
      <c r="AJ1613">
        <v>1.9791666670000001</v>
      </c>
      <c r="AK1613">
        <v>9.1883483479999999</v>
      </c>
      <c r="AL1613">
        <v>9.5000000000000001E-2</v>
      </c>
      <c r="AM1613">
        <v>4.2000000000000003E-2</v>
      </c>
      <c r="AN1613">
        <v>0.86299999999999999</v>
      </c>
    </row>
    <row r="1614" spans="1:40">
      <c r="A1614">
        <v>3682</v>
      </c>
      <c r="B1614" t="s">
        <v>709</v>
      </c>
      <c r="C1614" t="s">
        <v>693</v>
      </c>
      <c r="D1614" t="s">
        <v>694</v>
      </c>
      <c r="E1614">
        <v>0</v>
      </c>
      <c r="F1614">
        <v>8</v>
      </c>
      <c r="G1614">
        <v>150.80804470000001</v>
      </c>
      <c r="H1614">
        <v>225</v>
      </c>
      <c r="I1614">
        <v>0.23572975900000001</v>
      </c>
      <c r="J1614">
        <v>233</v>
      </c>
      <c r="K1614">
        <v>988.41996440000003</v>
      </c>
      <c r="L1614">
        <v>0.95299999999999996</v>
      </c>
      <c r="M1614" s="515">
        <v>1</v>
      </c>
      <c r="N1614">
        <v>0</v>
      </c>
      <c r="O1614" t="s">
        <v>625</v>
      </c>
      <c r="P1614">
        <f t="shared" si="227"/>
        <v>16.824259260000002</v>
      </c>
      <c r="Q1614">
        <f t="shared" si="228"/>
        <v>1.5184210526315797E-2</v>
      </c>
      <c r="R1614">
        <f t="shared" si="229"/>
        <v>2.7E-2</v>
      </c>
      <c r="S1614">
        <f t="shared" si="230"/>
        <v>0.95299999999999996</v>
      </c>
      <c r="T1614">
        <f t="shared" si="231"/>
        <v>2.4300000000000002</v>
      </c>
      <c r="U1614">
        <f t="shared" si="232"/>
        <v>12.37189781</v>
      </c>
      <c r="V1614">
        <f t="shared" si="233"/>
        <v>3.5999999999999997E-2</v>
      </c>
      <c r="W1614">
        <f t="shared" si="234"/>
        <v>5.1076923076923055E-2</v>
      </c>
      <c r="X1614">
        <f t="shared" si="235"/>
        <v>0.96399999999999997</v>
      </c>
      <c r="Y1614">
        <v>33.674935439999999</v>
      </c>
      <c r="Z1614">
        <v>0</v>
      </c>
      <c r="AA1614">
        <v>56865</v>
      </c>
      <c r="AB1614">
        <v>22398</v>
      </c>
      <c r="AC1614">
        <v>1.1143686E-2</v>
      </c>
      <c r="AD1614">
        <v>0.81944707100000003</v>
      </c>
      <c r="AF1614">
        <v>16.824259260000002</v>
      </c>
      <c r="AG1614">
        <v>0</v>
      </c>
      <c r="AH1614">
        <v>2.7E-2</v>
      </c>
      <c r="AI1614">
        <v>0.95299999999999996</v>
      </c>
      <c r="AJ1614">
        <v>2.4300000000000002</v>
      </c>
      <c r="AK1614">
        <v>12.37189781</v>
      </c>
      <c r="AL1614">
        <v>3.5999999999999997E-2</v>
      </c>
      <c r="AM1614">
        <v>0</v>
      </c>
      <c r="AN1614">
        <v>0.96399999999999997</v>
      </c>
    </row>
    <row r="1615" spans="1:40">
      <c r="A1615">
        <v>3683</v>
      </c>
      <c r="B1615" t="s">
        <v>709</v>
      </c>
      <c r="C1615" t="s">
        <v>693</v>
      </c>
      <c r="D1615" t="s">
        <v>694</v>
      </c>
      <c r="E1615">
        <v>0</v>
      </c>
      <c r="F1615">
        <v>0</v>
      </c>
      <c r="G1615">
        <v>46.125148750000001</v>
      </c>
      <c r="H1615">
        <v>0</v>
      </c>
      <c r="I1615">
        <v>7.2104668999999996E-2</v>
      </c>
      <c r="J1615">
        <v>0</v>
      </c>
      <c r="K1615">
        <v>0</v>
      </c>
      <c r="L1615"/>
      <c r="M1615">
        <v>0</v>
      </c>
      <c r="N1615">
        <v>0</v>
      </c>
      <c r="O1615" t="s">
        <v>625</v>
      </c>
      <c r="P1615">
        <f t="shared" si="227"/>
        <v>15.512410047246915</v>
      </c>
      <c r="Q1615">
        <f t="shared" si="228"/>
        <v>1.5184210526315797E-2</v>
      </c>
      <c r="R1615">
        <f t="shared" si="229"/>
        <v>2.3696202531645567E-2</v>
      </c>
      <c r="S1615">
        <f t="shared" si="230"/>
        <v>0.82278823529411782</v>
      </c>
      <c r="T1615">
        <f t="shared" si="231"/>
        <v>2.2169408982405066</v>
      </c>
      <c r="U1615">
        <f t="shared" si="232"/>
        <v>8.1975694672705899</v>
      </c>
      <c r="V1615">
        <f t="shared" si="233"/>
        <v>4.6644067796610157E-2</v>
      </c>
      <c r="W1615">
        <f t="shared" si="234"/>
        <v>5.1076923076923055E-2</v>
      </c>
      <c r="X1615">
        <f t="shared" si="235"/>
        <v>0.89225925925925942</v>
      </c>
      <c r="Y1615">
        <v>33.56905837</v>
      </c>
      <c r="Z1615">
        <v>0</v>
      </c>
      <c r="AA1615">
        <v>56865</v>
      </c>
      <c r="AB1615">
        <v>22398</v>
      </c>
      <c r="AC1615">
        <v>1.1143686E-2</v>
      </c>
      <c r="AD1615">
        <v>0.81944707100000003</v>
      </c>
    </row>
    <row r="1616" spans="1:40">
      <c r="A1616">
        <v>3684</v>
      </c>
      <c r="B1616" t="s">
        <v>709</v>
      </c>
      <c r="C1616" t="s">
        <v>693</v>
      </c>
      <c r="D1616" t="s">
        <v>694</v>
      </c>
      <c r="E1616">
        <v>28</v>
      </c>
      <c r="F1616">
        <v>64</v>
      </c>
      <c r="G1616">
        <v>54.637255799999998</v>
      </c>
      <c r="H1616">
        <v>0</v>
      </c>
      <c r="I1616">
        <v>8.5399628000000005E-2</v>
      </c>
      <c r="J1616">
        <v>64</v>
      </c>
      <c r="K1616">
        <v>749.41778429999999</v>
      </c>
      <c r="L1616">
        <v>0.7</v>
      </c>
      <c r="M1616">
        <v>0</v>
      </c>
      <c r="N1616">
        <v>1</v>
      </c>
      <c r="O1616" t="s">
        <v>620</v>
      </c>
      <c r="P1616">
        <f t="shared" si="227"/>
        <v>2.2200000000000002</v>
      </c>
      <c r="Q1616">
        <f t="shared" si="228"/>
        <v>1.5184210526315797E-2</v>
      </c>
      <c r="R1616">
        <f t="shared" si="229"/>
        <v>2.3696202531645567E-2</v>
      </c>
      <c r="S1616">
        <f t="shared" si="230"/>
        <v>0.7</v>
      </c>
      <c r="T1616">
        <f t="shared" si="231"/>
        <v>2.2169408982405066</v>
      </c>
      <c r="U1616">
        <f t="shared" si="232"/>
        <v>6.6617857139999996</v>
      </c>
      <c r="V1616">
        <f t="shared" si="233"/>
        <v>4.6644067796610157E-2</v>
      </c>
      <c r="W1616">
        <f t="shared" si="234"/>
        <v>5.1076923076923055E-2</v>
      </c>
      <c r="X1616">
        <f t="shared" si="235"/>
        <v>0.71399999999999997</v>
      </c>
      <c r="Y1616">
        <v>33.983440680000001</v>
      </c>
      <c r="Z1616">
        <v>0</v>
      </c>
      <c r="AA1616">
        <v>56865</v>
      </c>
      <c r="AB1616">
        <v>22398</v>
      </c>
      <c r="AC1616">
        <v>1.1143686E-2</v>
      </c>
      <c r="AD1616">
        <v>0.81944707100000003</v>
      </c>
      <c r="AF1616">
        <v>2.2200000000000002</v>
      </c>
      <c r="AG1616">
        <v>0</v>
      </c>
      <c r="AH1616">
        <v>0</v>
      </c>
      <c r="AI1616">
        <v>0.7</v>
      </c>
      <c r="AK1616">
        <v>6.6617857139999996</v>
      </c>
      <c r="AL1616">
        <v>0</v>
      </c>
      <c r="AM1616">
        <v>0</v>
      </c>
      <c r="AN1616">
        <v>0.71399999999999997</v>
      </c>
    </row>
    <row r="1617" spans="1:40">
      <c r="A1617">
        <v>3685</v>
      </c>
      <c r="B1617" t="s">
        <v>709</v>
      </c>
      <c r="C1617" t="s">
        <v>693</v>
      </c>
      <c r="D1617" t="s">
        <v>694</v>
      </c>
      <c r="E1617">
        <v>89</v>
      </c>
      <c r="F1617">
        <v>89</v>
      </c>
      <c r="G1617">
        <v>47.529239390000001</v>
      </c>
      <c r="H1617">
        <v>0</v>
      </c>
      <c r="I1617">
        <v>7.4290430000000005E-2</v>
      </c>
      <c r="J1617">
        <v>89</v>
      </c>
      <c r="K1617">
        <v>1198.000873</v>
      </c>
      <c r="L1617">
        <v>0.65900000000000003</v>
      </c>
      <c r="M1617">
        <v>0</v>
      </c>
      <c r="N1617">
        <v>1</v>
      </c>
      <c r="O1617" t="s">
        <v>620</v>
      </c>
      <c r="P1617">
        <f t="shared" si="227"/>
        <v>15.512410047246915</v>
      </c>
      <c r="Q1617">
        <f t="shared" si="228"/>
        <v>5.7000000000000002E-2</v>
      </c>
      <c r="R1617">
        <f t="shared" si="229"/>
        <v>2.3E-2</v>
      </c>
      <c r="S1617">
        <f t="shared" si="230"/>
        <v>0.65900000000000003</v>
      </c>
      <c r="T1617">
        <f t="shared" si="231"/>
        <v>1.33</v>
      </c>
      <c r="U1617">
        <f t="shared" si="232"/>
        <v>4.8462962960000002</v>
      </c>
      <c r="V1617">
        <f t="shared" si="233"/>
        <v>4.6644067796610157E-2</v>
      </c>
      <c r="W1617">
        <f t="shared" si="234"/>
        <v>5.1076923076923055E-2</v>
      </c>
      <c r="X1617">
        <f t="shared" si="235"/>
        <v>0.89225925925925942</v>
      </c>
      <c r="Y1617">
        <v>34.882277610000003</v>
      </c>
      <c r="Z1617">
        <v>0</v>
      </c>
      <c r="AA1617">
        <v>56865</v>
      </c>
      <c r="AB1617">
        <v>22398</v>
      </c>
      <c r="AC1617">
        <v>1.1143686E-2</v>
      </c>
      <c r="AD1617">
        <v>0.81944707100000003</v>
      </c>
      <c r="AG1617">
        <v>5.7000000000000002E-2</v>
      </c>
      <c r="AH1617">
        <v>2.3E-2</v>
      </c>
      <c r="AI1617">
        <v>0.65900000000000003</v>
      </c>
      <c r="AJ1617">
        <v>1.33</v>
      </c>
      <c r="AK1617">
        <v>4.8462962960000002</v>
      </c>
    </row>
    <row r="1618" spans="1:40">
      <c r="A1618">
        <v>3686</v>
      </c>
      <c r="B1618" t="s">
        <v>709</v>
      </c>
      <c r="C1618" t="s">
        <v>693</v>
      </c>
      <c r="D1618" t="s">
        <v>694</v>
      </c>
      <c r="E1618">
        <v>4</v>
      </c>
      <c r="F1618">
        <v>4</v>
      </c>
      <c r="G1618">
        <v>13.92469285</v>
      </c>
      <c r="H1618">
        <v>0</v>
      </c>
      <c r="I1618">
        <v>2.1764453E-2</v>
      </c>
      <c r="J1618">
        <v>4</v>
      </c>
      <c r="K1618">
        <v>183.7859192</v>
      </c>
      <c r="L1618" s="515">
        <v>1</v>
      </c>
      <c r="M1618">
        <v>0</v>
      </c>
      <c r="N1618">
        <v>0</v>
      </c>
      <c r="O1618" t="s">
        <v>620</v>
      </c>
      <c r="P1618">
        <f t="shared" si="227"/>
        <v>15.512410047246915</v>
      </c>
      <c r="Q1618">
        <f t="shared" si="228"/>
        <v>1.5184210526315797E-2</v>
      </c>
      <c r="R1618">
        <f t="shared" si="229"/>
        <v>2.3696202531645567E-2</v>
      </c>
      <c r="S1618">
        <f t="shared" si="230"/>
        <v>1</v>
      </c>
      <c r="T1618">
        <f t="shared" si="231"/>
        <v>2.2169408982405066</v>
      </c>
      <c r="U1618">
        <f t="shared" si="232"/>
        <v>2.09</v>
      </c>
      <c r="V1618">
        <f t="shared" si="233"/>
        <v>4.6644067796610157E-2</v>
      </c>
      <c r="W1618">
        <f t="shared" si="234"/>
        <v>5.1076923076923055E-2</v>
      </c>
      <c r="X1618">
        <f t="shared" si="235"/>
        <v>0.89225925925925942</v>
      </c>
      <c r="Y1618">
        <v>33.657979050000002</v>
      </c>
      <c r="Z1618">
        <v>0</v>
      </c>
      <c r="AA1618">
        <v>56865</v>
      </c>
      <c r="AB1618">
        <v>22398</v>
      </c>
      <c r="AC1618">
        <v>1.1143686E-2</v>
      </c>
      <c r="AD1618">
        <v>0.81944707100000003</v>
      </c>
      <c r="AG1618">
        <v>0</v>
      </c>
      <c r="AH1618">
        <v>0</v>
      </c>
      <c r="AI1618">
        <v>1</v>
      </c>
      <c r="AK1618">
        <v>2.09</v>
      </c>
    </row>
    <row r="1619" spans="1:40">
      <c r="A1619">
        <v>3687</v>
      </c>
      <c r="B1619" t="s">
        <v>709</v>
      </c>
      <c r="C1619" t="s">
        <v>693</v>
      </c>
      <c r="D1619" t="s">
        <v>694</v>
      </c>
      <c r="E1619">
        <v>168</v>
      </c>
      <c r="F1619">
        <v>751</v>
      </c>
      <c r="G1619">
        <v>71.853768329999994</v>
      </c>
      <c r="H1619">
        <v>502</v>
      </c>
      <c r="I1619">
        <v>0.112313751</v>
      </c>
      <c r="J1619">
        <v>1253</v>
      </c>
      <c r="K1619">
        <v>11156.24747</v>
      </c>
      <c r="L1619">
        <v>0.86699999999999999</v>
      </c>
      <c r="M1619">
        <v>0.74925373100000003</v>
      </c>
      <c r="N1619">
        <v>0</v>
      </c>
      <c r="O1619" t="s">
        <v>620</v>
      </c>
      <c r="P1619">
        <f t="shared" si="227"/>
        <v>14.643333330000001</v>
      </c>
      <c r="Q1619">
        <f t="shared" si="228"/>
        <v>1.7999999999999999E-2</v>
      </c>
      <c r="R1619">
        <f t="shared" si="229"/>
        <v>8.9999999999999993E-3</v>
      </c>
      <c r="S1619">
        <f t="shared" si="230"/>
        <v>0.86699999999999999</v>
      </c>
      <c r="T1619">
        <f t="shared" si="231"/>
        <v>1.6919999999999999</v>
      </c>
      <c r="U1619">
        <f t="shared" si="232"/>
        <v>7.0583926650000004</v>
      </c>
      <c r="V1619">
        <f t="shared" si="233"/>
        <v>1.6E-2</v>
      </c>
      <c r="W1619">
        <f t="shared" si="234"/>
        <v>8.1000000000000003E-2</v>
      </c>
      <c r="X1619">
        <f t="shared" si="235"/>
        <v>0.871</v>
      </c>
      <c r="Y1619">
        <v>79.146955390000002</v>
      </c>
      <c r="Z1619">
        <v>0</v>
      </c>
      <c r="AA1619">
        <v>56865</v>
      </c>
      <c r="AB1619">
        <v>22398</v>
      </c>
      <c r="AC1619">
        <v>1.1143686E-2</v>
      </c>
      <c r="AD1619">
        <v>0.81944707100000003</v>
      </c>
      <c r="AF1619">
        <v>14.643333330000001</v>
      </c>
      <c r="AG1619">
        <v>1.7999999999999999E-2</v>
      </c>
      <c r="AH1619">
        <v>8.9999999999999993E-3</v>
      </c>
      <c r="AI1619">
        <v>0.86699999999999999</v>
      </c>
      <c r="AJ1619">
        <v>1.6919999999999999</v>
      </c>
      <c r="AK1619">
        <v>7.0583926650000004</v>
      </c>
      <c r="AL1619">
        <v>1.6E-2</v>
      </c>
      <c r="AM1619">
        <v>8.1000000000000003E-2</v>
      </c>
      <c r="AN1619">
        <v>0.871</v>
      </c>
    </row>
    <row r="1620" spans="1:40">
      <c r="A1620">
        <v>3688</v>
      </c>
      <c r="B1620" t="s">
        <v>709</v>
      </c>
      <c r="C1620" t="s">
        <v>693</v>
      </c>
      <c r="D1620" t="s">
        <v>694</v>
      </c>
      <c r="E1620">
        <v>226</v>
      </c>
      <c r="F1620">
        <v>483</v>
      </c>
      <c r="G1620">
        <v>13.7600383</v>
      </c>
      <c r="H1620">
        <v>156</v>
      </c>
      <c r="I1620">
        <v>2.1513455000000001E-2</v>
      </c>
      <c r="J1620">
        <v>639</v>
      </c>
      <c r="K1620">
        <v>29702.342089999998</v>
      </c>
      <c r="L1620">
        <v>0.82299999999999995</v>
      </c>
      <c r="M1620">
        <v>0.40837696299999998</v>
      </c>
      <c r="N1620">
        <v>0</v>
      </c>
      <c r="O1620" t="s">
        <v>620</v>
      </c>
      <c r="P1620">
        <f t="shared" si="227"/>
        <v>13.80852941</v>
      </c>
      <c r="Q1620">
        <f t="shared" si="228"/>
        <v>8.9999999999999993E-3</v>
      </c>
      <c r="R1620">
        <f t="shared" si="229"/>
        <v>2.8000000000000001E-2</v>
      </c>
      <c r="S1620">
        <f t="shared" si="230"/>
        <v>0.82299999999999995</v>
      </c>
      <c r="T1620">
        <f t="shared" si="231"/>
        <v>1.93</v>
      </c>
      <c r="U1620">
        <f t="shared" si="232"/>
        <v>7.4136761489999996</v>
      </c>
      <c r="V1620">
        <f t="shared" si="233"/>
        <v>2.5999999999999999E-2</v>
      </c>
      <c r="W1620">
        <f t="shared" si="234"/>
        <v>1.2999999999999999E-2</v>
      </c>
      <c r="X1620">
        <f t="shared" si="235"/>
        <v>0.88300000000000001</v>
      </c>
      <c r="Y1620">
        <v>79.185525389999995</v>
      </c>
      <c r="Z1620">
        <v>0</v>
      </c>
      <c r="AA1620">
        <v>56865</v>
      </c>
      <c r="AB1620">
        <v>22398</v>
      </c>
      <c r="AC1620">
        <v>1.1143686E-2</v>
      </c>
      <c r="AD1620">
        <v>0.81944707100000003</v>
      </c>
      <c r="AF1620">
        <v>13.80852941</v>
      </c>
      <c r="AG1620">
        <v>8.9999999999999993E-3</v>
      </c>
      <c r="AH1620">
        <v>2.8000000000000001E-2</v>
      </c>
      <c r="AI1620">
        <v>0.82299999999999995</v>
      </c>
      <c r="AJ1620">
        <v>1.93</v>
      </c>
      <c r="AK1620">
        <v>7.4136761489999996</v>
      </c>
      <c r="AL1620">
        <v>2.5999999999999999E-2</v>
      </c>
      <c r="AM1620">
        <v>1.2999999999999999E-2</v>
      </c>
      <c r="AN1620">
        <v>0.88300000000000001</v>
      </c>
    </row>
    <row r="1621" spans="1:40">
      <c r="A1621">
        <v>3689</v>
      </c>
      <c r="B1621" t="s">
        <v>709</v>
      </c>
      <c r="C1621" t="s">
        <v>693</v>
      </c>
      <c r="D1621" t="s">
        <v>694</v>
      </c>
      <c r="E1621">
        <v>22</v>
      </c>
      <c r="F1621">
        <v>26</v>
      </c>
      <c r="G1621">
        <v>12.329580379999999</v>
      </c>
      <c r="H1621">
        <v>148</v>
      </c>
      <c r="I1621">
        <v>1.9272193E-2</v>
      </c>
      <c r="J1621">
        <v>174</v>
      </c>
      <c r="K1621">
        <v>9028.5521740000004</v>
      </c>
      <c r="L1621">
        <v>0.90500000000000003</v>
      </c>
      <c r="M1621">
        <v>0.87058823500000004</v>
      </c>
      <c r="N1621">
        <v>0</v>
      </c>
      <c r="O1621" t="s">
        <v>620</v>
      </c>
      <c r="P1621">
        <f t="shared" si="227"/>
        <v>15.95451613</v>
      </c>
      <c r="Q1621">
        <f t="shared" si="228"/>
        <v>1.4E-2</v>
      </c>
      <c r="R1621">
        <f t="shared" si="229"/>
        <v>2.3696202531645567E-2</v>
      </c>
      <c r="S1621">
        <f t="shared" si="230"/>
        <v>0.90500000000000003</v>
      </c>
      <c r="T1621">
        <f t="shared" si="231"/>
        <v>2.2169408982405066</v>
      </c>
      <c r="U1621">
        <f t="shared" si="232"/>
        <v>10.26714286</v>
      </c>
      <c r="V1621">
        <f t="shared" si="233"/>
        <v>4.6644067796610157E-2</v>
      </c>
      <c r="W1621">
        <f t="shared" si="234"/>
        <v>6.0999999999999999E-2</v>
      </c>
      <c r="X1621">
        <f t="shared" si="235"/>
        <v>0.93899999999999995</v>
      </c>
      <c r="Y1621">
        <v>23.02009791</v>
      </c>
      <c r="Z1621">
        <v>0</v>
      </c>
      <c r="AA1621">
        <v>56865</v>
      </c>
      <c r="AB1621">
        <v>22398</v>
      </c>
      <c r="AC1621">
        <v>1.1143686E-2</v>
      </c>
      <c r="AD1621">
        <v>0.81944707100000003</v>
      </c>
      <c r="AF1621">
        <v>15.95451613</v>
      </c>
      <c r="AG1621">
        <v>1.4E-2</v>
      </c>
      <c r="AH1621">
        <v>0</v>
      </c>
      <c r="AI1621">
        <v>0.90500000000000003</v>
      </c>
      <c r="AK1621">
        <v>10.26714286</v>
      </c>
      <c r="AL1621">
        <v>0</v>
      </c>
      <c r="AM1621">
        <v>6.0999999999999999E-2</v>
      </c>
      <c r="AN1621">
        <v>0.93899999999999995</v>
      </c>
    </row>
    <row r="1622" spans="1:40">
      <c r="A1622">
        <v>3690</v>
      </c>
      <c r="B1622" t="s">
        <v>692</v>
      </c>
      <c r="C1622" t="s">
        <v>693</v>
      </c>
      <c r="D1622" t="s">
        <v>694</v>
      </c>
      <c r="E1622">
        <v>43</v>
      </c>
      <c r="F1622">
        <v>119</v>
      </c>
      <c r="G1622">
        <v>118.48451230000001</v>
      </c>
      <c r="H1622">
        <v>427</v>
      </c>
      <c r="I1622">
        <v>0.185210031</v>
      </c>
      <c r="J1622">
        <v>546</v>
      </c>
      <c r="K1622">
        <v>2948.0044739999998</v>
      </c>
      <c r="L1622">
        <v>0.95399999999999996</v>
      </c>
      <c r="M1622">
        <v>0.90851063799999998</v>
      </c>
      <c r="N1622">
        <v>1</v>
      </c>
      <c r="O1622" t="s">
        <v>620</v>
      </c>
      <c r="P1622">
        <f t="shared" si="227"/>
        <v>20.08754386</v>
      </c>
      <c r="Q1622">
        <f t="shared" si="228"/>
        <v>1.2828282828282822E-2</v>
      </c>
      <c r="R1622">
        <f t="shared" si="229"/>
        <v>0.01</v>
      </c>
      <c r="S1622">
        <f t="shared" si="230"/>
        <v>0.95399999999999996</v>
      </c>
      <c r="T1622">
        <f t="shared" si="231"/>
        <v>3.2875000000000001</v>
      </c>
      <c r="U1622">
        <f t="shared" si="232"/>
        <v>10.955437160000001</v>
      </c>
      <c r="V1622">
        <f t="shared" si="233"/>
        <v>6.6000000000000003E-2</v>
      </c>
      <c r="W1622">
        <f t="shared" si="234"/>
        <v>4.7929411764705873E-2</v>
      </c>
      <c r="X1622">
        <f t="shared" si="235"/>
        <v>0.93400000000000005</v>
      </c>
      <c r="Y1622">
        <v>8.2799552829999996</v>
      </c>
      <c r="Z1622">
        <v>0</v>
      </c>
      <c r="AA1622">
        <v>77808</v>
      </c>
      <c r="AB1622">
        <v>27489</v>
      </c>
      <c r="AC1622">
        <v>1.1225541E-2</v>
      </c>
      <c r="AD1622">
        <v>0.835708267</v>
      </c>
      <c r="AF1622">
        <v>20.08754386</v>
      </c>
      <c r="AG1622">
        <v>0</v>
      </c>
      <c r="AH1622">
        <v>0.01</v>
      </c>
      <c r="AI1622">
        <v>0.95399999999999996</v>
      </c>
      <c r="AJ1622">
        <v>3.2875000000000001</v>
      </c>
      <c r="AK1622">
        <v>10.955437160000001</v>
      </c>
      <c r="AL1622">
        <v>6.6000000000000003E-2</v>
      </c>
      <c r="AM1622">
        <v>0</v>
      </c>
      <c r="AN1622">
        <v>0.93400000000000005</v>
      </c>
    </row>
    <row r="1623" spans="1:40">
      <c r="A1623">
        <v>3691</v>
      </c>
      <c r="B1623" t="s">
        <v>692</v>
      </c>
      <c r="C1623" t="s">
        <v>693</v>
      </c>
      <c r="D1623" t="s">
        <v>694</v>
      </c>
      <c r="E1623">
        <v>0</v>
      </c>
      <c r="F1623">
        <v>0</v>
      </c>
      <c r="G1623">
        <v>47.150973710000002</v>
      </c>
      <c r="H1623">
        <v>1090</v>
      </c>
      <c r="I1623">
        <v>7.3705522999999995E-2</v>
      </c>
      <c r="J1623">
        <v>1090</v>
      </c>
      <c r="K1623">
        <v>14788.579680000001</v>
      </c>
      <c r="L1623">
        <v>0.85499999999999998</v>
      </c>
      <c r="M1623" s="515">
        <v>1</v>
      </c>
      <c r="N1623">
        <v>0</v>
      </c>
      <c r="O1623" t="s">
        <v>620</v>
      </c>
      <c r="P1623">
        <f t="shared" si="227"/>
        <v>18.32178862</v>
      </c>
      <c r="Q1623">
        <f t="shared" si="228"/>
        <v>6.0000000000000001E-3</v>
      </c>
      <c r="R1623">
        <f t="shared" si="229"/>
        <v>1.0999999999999999E-2</v>
      </c>
      <c r="S1623">
        <f t="shared" si="230"/>
        <v>0.85499999999999998</v>
      </c>
      <c r="T1623">
        <f t="shared" si="231"/>
        <v>2.7478571430000001</v>
      </c>
      <c r="U1623">
        <f t="shared" si="232"/>
        <v>9.3384629980000007</v>
      </c>
      <c r="V1623">
        <f t="shared" si="233"/>
        <v>0.03</v>
      </c>
      <c r="W1623">
        <f t="shared" si="234"/>
        <v>1.4999999999999999E-2</v>
      </c>
      <c r="X1623">
        <f t="shared" si="235"/>
        <v>0.93200000000000005</v>
      </c>
      <c r="Y1623">
        <v>85.934305739999999</v>
      </c>
      <c r="Z1623">
        <v>0</v>
      </c>
      <c r="AA1623">
        <v>77808</v>
      </c>
      <c r="AB1623">
        <v>27489</v>
      </c>
      <c r="AC1623">
        <v>1.1225541E-2</v>
      </c>
      <c r="AD1623">
        <v>0.835708267</v>
      </c>
      <c r="AF1623">
        <v>18.32178862</v>
      </c>
      <c r="AG1623">
        <v>6.0000000000000001E-3</v>
      </c>
      <c r="AH1623">
        <v>1.0999999999999999E-2</v>
      </c>
      <c r="AI1623">
        <v>0.85499999999999998</v>
      </c>
      <c r="AJ1623">
        <v>2.7478571430000001</v>
      </c>
      <c r="AK1623">
        <v>9.3384629980000007</v>
      </c>
      <c r="AL1623">
        <v>0.03</v>
      </c>
      <c r="AM1623">
        <v>1.4999999999999999E-2</v>
      </c>
      <c r="AN1623">
        <v>0.93200000000000005</v>
      </c>
    </row>
    <row r="1624" spans="1:40">
      <c r="A1624">
        <v>3692</v>
      </c>
      <c r="B1624" t="s">
        <v>692</v>
      </c>
      <c r="C1624" t="s">
        <v>693</v>
      </c>
      <c r="D1624" t="s">
        <v>694</v>
      </c>
      <c r="E1624">
        <v>33</v>
      </c>
      <c r="F1624">
        <v>33</v>
      </c>
      <c r="G1624">
        <v>59.726598000000003</v>
      </c>
      <c r="H1624">
        <v>1055</v>
      </c>
      <c r="I1624">
        <v>9.3359437000000003E-2</v>
      </c>
      <c r="J1624">
        <v>1088</v>
      </c>
      <c r="K1624">
        <v>11653.883470000001</v>
      </c>
      <c r="L1624">
        <v>0.89200000000000002</v>
      </c>
      <c r="M1624">
        <v>0.969669118</v>
      </c>
      <c r="N1624">
        <v>0</v>
      </c>
      <c r="O1624" t="s">
        <v>620</v>
      </c>
      <c r="P1624">
        <f t="shared" si="227"/>
        <v>17.41731884</v>
      </c>
      <c r="Q1624">
        <f t="shared" si="228"/>
        <v>4.0000000000000001E-3</v>
      </c>
      <c r="R1624">
        <f t="shared" si="229"/>
        <v>0.01</v>
      </c>
      <c r="S1624">
        <f t="shared" si="230"/>
        <v>0.89200000000000002</v>
      </c>
      <c r="T1624">
        <f t="shared" si="231"/>
        <v>3.1487500000000002</v>
      </c>
      <c r="U1624">
        <f t="shared" si="232"/>
        <v>9.7582907129999992</v>
      </c>
      <c r="V1624">
        <f t="shared" si="233"/>
        <v>0.04</v>
      </c>
      <c r="W1624">
        <f t="shared" si="234"/>
        <v>4.7929411764705873E-2</v>
      </c>
      <c r="X1624">
        <f t="shared" si="235"/>
        <v>0.92600000000000005</v>
      </c>
      <c r="Y1624">
        <v>77.904323570000003</v>
      </c>
      <c r="Z1624">
        <v>0</v>
      </c>
      <c r="AA1624">
        <v>77808</v>
      </c>
      <c r="AB1624">
        <v>27489</v>
      </c>
      <c r="AC1624">
        <v>1.1225541E-2</v>
      </c>
      <c r="AD1624">
        <v>0.835708267</v>
      </c>
      <c r="AF1624">
        <v>17.41731884</v>
      </c>
      <c r="AG1624">
        <v>4.0000000000000001E-3</v>
      </c>
      <c r="AH1624">
        <v>0.01</v>
      </c>
      <c r="AI1624">
        <v>0.89200000000000002</v>
      </c>
      <c r="AJ1624">
        <v>3.1487500000000002</v>
      </c>
      <c r="AK1624">
        <v>9.7582907129999992</v>
      </c>
      <c r="AL1624">
        <v>0.04</v>
      </c>
      <c r="AM1624">
        <v>0</v>
      </c>
      <c r="AN1624">
        <v>0.92600000000000005</v>
      </c>
    </row>
    <row r="1625" spans="1:40">
      <c r="A1625">
        <v>3693</v>
      </c>
      <c r="B1625" t="s">
        <v>692</v>
      </c>
      <c r="C1625" t="s">
        <v>693</v>
      </c>
      <c r="D1625" t="s">
        <v>694</v>
      </c>
      <c r="E1625">
        <v>0</v>
      </c>
      <c r="F1625">
        <v>0</v>
      </c>
      <c r="G1625">
        <v>16.454109150000001</v>
      </c>
      <c r="H1625">
        <v>281</v>
      </c>
      <c r="I1625">
        <v>2.5718648E-2</v>
      </c>
      <c r="J1625">
        <v>281</v>
      </c>
      <c r="K1625">
        <v>10925.92426</v>
      </c>
      <c r="L1625">
        <v>0.89800000000000002</v>
      </c>
      <c r="M1625" s="515">
        <v>1</v>
      </c>
      <c r="N1625">
        <v>0</v>
      </c>
      <c r="O1625" t="s">
        <v>620</v>
      </c>
      <c r="P1625">
        <f t="shared" si="227"/>
        <v>18.181000000000001</v>
      </c>
      <c r="Q1625">
        <f t="shared" si="228"/>
        <v>7.0000000000000001E-3</v>
      </c>
      <c r="R1625">
        <f t="shared" si="229"/>
        <v>7.0000000000000001E-3</v>
      </c>
      <c r="S1625">
        <f t="shared" si="230"/>
        <v>0.89800000000000002</v>
      </c>
      <c r="T1625">
        <f t="shared" si="231"/>
        <v>3.6</v>
      </c>
      <c r="U1625">
        <f t="shared" si="232"/>
        <v>10.285338980000001</v>
      </c>
      <c r="V1625">
        <f t="shared" si="233"/>
        <v>4.1084210526315765E-2</v>
      </c>
      <c r="W1625">
        <f t="shared" si="234"/>
        <v>4.7929411764705873E-2</v>
      </c>
      <c r="X1625">
        <f t="shared" si="235"/>
        <v>1</v>
      </c>
      <c r="Y1625">
        <v>77.616144950000006</v>
      </c>
      <c r="Z1625">
        <v>0</v>
      </c>
      <c r="AA1625">
        <v>77808</v>
      </c>
      <c r="AB1625">
        <v>27489</v>
      </c>
      <c r="AC1625">
        <v>1.1225541E-2</v>
      </c>
      <c r="AD1625">
        <v>0.835708267</v>
      </c>
      <c r="AF1625">
        <v>18.181000000000001</v>
      </c>
      <c r="AG1625">
        <v>7.0000000000000001E-3</v>
      </c>
      <c r="AH1625">
        <v>7.0000000000000001E-3</v>
      </c>
      <c r="AI1625">
        <v>0.89800000000000002</v>
      </c>
      <c r="AJ1625">
        <v>3.6</v>
      </c>
      <c r="AK1625">
        <v>10.285338980000001</v>
      </c>
      <c r="AL1625">
        <v>0</v>
      </c>
      <c r="AM1625">
        <v>0</v>
      </c>
      <c r="AN1625">
        <v>1</v>
      </c>
    </row>
    <row r="1626" spans="1:40">
      <c r="A1626">
        <v>3694</v>
      </c>
      <c r="B1626" t="s">
        <v>692</v>
      </c>
      <c r="C1626" t="s">
        <v>693</v>
      </c>
      <c r="D1626" t="s">
        <v>694</v>
      </c>
      <c r="E1626">
        <v>15</v>
      </c>
      <c r="F1626">
        <v>75</v>
      </c>
      <c r="G1626">
        <v>56.096080479999998</v>
      </c>
      <c r="H1626">
        <v>1261</v>
      </c>
      <c r="I1626">
        <v>8.7689876E-2</v>
      </c>
      <c r="J1626">
        <v>1336</v>
      </c>
      <c r="K1626">
        <v>15235.510200000001</v>
      </c>
      <c r="L1626">
        <v>0.89600000000000002</v>
      </c>
      <c r="M1626">
        <v>0.98824451400000002</v>
      </c>
      <c r="N1626">
        <v>0</v>
      </c>
      <c r="O1626" t="s">
        <v>620</v>
      </c>
      <c r="P1626">
        <f t="shared" si="227"/>
        <v>17.292215909999999</v>
      </c>
      <c r="Q1626">
        <f t="shared" si="228"/>
        <v>4.0000000000000001E-3</v>
      </c>
      <c r="R1626">
        <f t="shared" si="229"/>
        <v>1.7000000000000001E-2</v>
      </c>
      <c r="S1626">
        <f t="shared" si="230"/>
        <v>0.89600000000000002</v>
      </c>
      <c r="T1626">
        <f t="shared" si="231"/>
        <v>2.0550000000000002</v>
      </c>
      <c r="U1626">
        <f t="shared" si="232"/>
        <v>9.3038170349999998</v>
      </c>
      <c r="V1626">
        <f t="shared" si="233"/>
        <v>0.04</v>
      </c>
      <c r="W1626">
        <f t="shared" si="234"/>
        <v>1.4999999999999999E-2</v>
      </c>
      <c r="X1626">
        <f t="shared" si="235"/>
        <v>0.88400000000000001</v>
      </c>
      <c r="Y1626">
        <v>77.616144950000006</v>
      </c>
      <c r="Z1626">
        <v>0</v>
      </c>
      <c r="AA1626">
        <v>77808</v>
      </c>
      <c r="AB1626">
        <v>27489</v>
      </c>
      <c r="AC1626">
        <v>1.1225541E-2</v>
      </c>
      <c r="AD1626">
        <v>0.835708267</v>
      </c>
      <c r="AF1626">
        <v>17.292215909999999</v>
      </c>
      <c r="AG1626">
        <v>4.0000000000000001E-3</v>
      </c>
      <c r="AH1626">
        <v>1.7000000000000001E-2</v>
      </c>
      <c r="AI1626">
        <v>0.89600000000000002</v>
      </c>
      <c r="AJ1626">
        <v>2.0550000000000002</v>
      </c>
      <c r="AK1626">
        <v>9.3038170349999998</v>
      </c>
      <c r="AL1626">
        <v>0.04</v>
      </c>
      <c r="AM1626">
        <v>1.4999999999999999E-2</v>
      </c>
      <c r="AN1626">
        <v>0.88400000000000001</v>
      </c>
    </row>
    <row r="1627" spans="1:40">
      <c r="A1627">
        <v>3695</v>
      </c>
      <c r="B1627" t="s">
        <v>692</v>
      </c>
      <c r="C1627" t="s">
        <v>693</v>
      </c>
      <c r="D1627" t="s">
        <v>694</v>
      </c>
      <c r="E1627">
        <v>0</v>
      </c>
      <c r="F1627">
        <v>33</v>
      </c>
      <c r="G1627">
        <v>53.387289500000001</v>
      </c>
      <c r="H1627">
        <v>1412</v>
      </c>
      <c r="I1627">
        <v>8.3443878999999999E-2</v>
      </c>
      <c r="J1627">
        <v>1445</v>
      </c>
      <c r="K1627">
        <v>17317.028129999999</v>
      </c>
      <c r="L1627">
        <v>0.89600000000000002</v>
      </c>
      <c r="M1627" s="515">
        <v>1</v>
      </c>
      <c r="N1627">
        <v>0</v>
      </c>
      <c r="O1627" t="s">
        <v>620</v>
      </c>
      <c r="P1627">
        <f t="shared" si="227"/>
        <v>14.7641206</v>
      </c>
      <c r="Q1627">
        <f t="shared" si="228"/>
        <v>1E-3</v>
      </c>
      <c r="R1627">
        <f t="shared" si="229"/>
        <v>1.2E-2</v>
      </c>
      <c r="S1627">
        <f t="shared" si="230"/>
        <v>0.89600000000000002</v>
      </c>
      <c r="T1627">
        <f t="shared" si="231"/>
        <v>2.0274999999999999</v>
      </c>
      <c r="U1627">
        <f t="shared" si="232"/>
        <v>8.1954604549999992</v>
      </c>
      <c r="V1627">
        <f t="shared" si="233"/>
        <v>4.1000000000000002E-2</v>
      </c>
      <c r="W1627">
        <f t="shared" si="234"/>
        <v>4.7929411764705873E-2</v>
      </c>
      <c r="X1627">
        <f t="shared" si="235"/>
        <v>0.9</v>
      </c>
      <c r="Y1627">
        <v>77.616144950000006</v>
      </c>
      <c r="Z1627">
        <v>0</v>
      </c>
      <c r="AA1627">
        <v>77808</v>
      </c>
      <c r="AB1627">
        <v>27489</v>
      </c>
      <c r="AC1627">
        <v>1.1225541E-2</v>
      </c>
      <c r="AD1627">
        <v>0.835708267</v>
      </c>
      <c r="AF1627">
        <v>14.7641206</v>
      </c>
      <c r="AG1627">
        <v>1E-3</v>
      </c>
      <c r="AH1627">
        <v>1.2E-2</v>
      </c>
      <c r="AI1627">
        <v>0.89600000000000002</v>
      </c>
      <c r="AJ1627">
        <v>2.0274999999999999</v>
      </c>
      <c r="AK1627">
        <v>8.1954604549999992</v>
      </c>
      <c r="AL1627">
        <v>4.1000000000000002E-2</v>
      </c>
      <c r="AM1627">
        <v>0</v>
      </c>
      <c r="AN1627">
        <v>0.9</v>
      </c>
    </row>
    <row r="1628" spans="1:40">
      <c r="A1628">
        <v>3696</v>
      </c>
      <c r="B1628" t="s">
        <v>692</v>
      </c>
      <c r="C1628" t="s">
        <v>693</v>
      </c>
      <c r="D1628" t="s">
        <v>694</v>
      </c>
      <c r="E1628">
        <v>0</v>
      </c>
      <c r="F1628">
        <v>36</v>
      </c>
      <c r="G1628">
        <v>15.5167798</v>
      </c>
      <c r="H1628">
        <v>153</v>
      </c>
      <c r="I1628">
        <v>2.4252427E-2</v>
      </c>
      <c r="J1628">
        <v>189</v>
      </c>
      <c r="K1628">
        <v>7793.0344869999999</v>
      </c>
      <c r="L1628">
        <v>0.872</v>
      </c>
      <c r="M1628" s="515">
        <v>1</v>
      </c>
      <c r="N1628">
        <v>0</v>
      </c>
      <c r="O1628" t="s">
        <v>620</v>
      </c>
      <c r="P1628">
        <f t="shared" si="227"/>
        <v>14.742692310000001</v>
      </c>
      <c r="Q1628">
        <f t="shared" si="228"/>
        <v>1.2E-2</v>
      </c>
      <c r="R1628">
        <f t="shared" si="229"/>
        <v>1.9814814814814796E-2</v>
      </c>
      <c r="S1628">
        <f t="shared" si="230"/>
        <v>0.872</v>
      </c>
      <c r="T1628">
        <f t="shared" si="231"/>
        <v>2.2234128568796301</v>
      </c>
      <c r="U1628">
        <f t="shared" si="232"/>
        <v>7.6834285710000003</v>
      </c>
      <c r="V1628">
        <f t="shared" si="233"/>
        <v>4.1084210526315765E-2</v>
      </c>
      <c r="W1628">
        <f t="shared" si="234"/>
        <v>6.9000000000000006E-2</v>
      </c>
      <c r="X1628">
        <f t="shared" si="235"/>
        <v>0.89700000000000002</v>
      </c>
      <c r="Y1628">
        <v>77.822555019999996</v>
      </c>
      <c r="Z1628">
        <v>0</v>
      </c>
      <c r="AA1628">
        <v>77808</v>
      </c>
      <c r="AB1628">
        <v>27489</v>
      </c>
      <c r="AC1628">
        <v>1.1225541E-2</v>
      </c>
      <c r="AD1628">
        <v>0.835708267</v>
      </c>
      <c r="AF1628">
        <v>14.742692310000001</v>
      </c>
      <c r="AG1628">
        <v>1.2E-2</v>
      </c>
      <c r="AH1628">
        <v>0</v>
      </c>
      <c r="AI1628">
        <v>0.872</v>
      </c>
      <c r="AK1628">
        <v>7.6834285710000003</v>
      </c>
      <c r="AL1628">
        <v>0</v>
      </c>
      <c r="AM1628">
        <v>6.9000000000000006E-2</v>
      </c>
      <c r="AN1628">
        <v>0.89700000000000002</v>
      </c>
    </row>
    <row r="1629" spans="1:40">
      <c r="A1629">
        <v>3697</v>
      </c>
      <c r="B1629" t="s">
        <v>692</v>
      </c>
      <c r="C1629" t="s">
        <v>693</v>
      </c>
      <c r="D1629" t="s">
        <v>694</v>
      </c>
      <c r="E1629">
        <v>0</v>
      </c>
      <c r="F1629">
        <v>0</v>
      </c>
      <c r="G1629">
        <v>35.49228274</v>
      </c>
      <c r="H1629">
        <v>1016</v>
      </c>
      <c r="I1629">
        <v>5.5478064000000001E-2</v>
      </c>
      <c r="J1629">
        <v>1016</v>
      </c>
      <c r="K1629">
        <v>18313.544610000001</v>
      </c>
      <c r="L1629">
        <v>0.86199999999999999</v>
      </c>
      <c r="M1629" s="515">
        <v>1</v>
      </c>
      <c r="N1629">
        <v>0</v>
      </c>
      <c r="O1629" t="s">
        <v>620</v>
      </c>
      <c r="P1629">
        <f t="shared" si="227"/>
        <v>16.380580649999999</v>
      </c>
      <c r="Q1629">
        <f t="shared" si="228"/>
        <v>6.0000000000000001E-3</v>
      </c>
      <c r="R1629">
        <f t="shared" si="229"/>
        <v>4.0000000000000001E-3</v>
      </c>
      <c r="S1629">
        <f t="shared" si="230"/>
        <v>0.86199999999999999</v>
      </c>
      <c r="T1629">
        <f t="shared" si="231"/>
        <v>2.7025000000000001</v>
      </c>
      <c r="U1629">
        <f t="shared" si="232"/>
        <v>9.0714583330000007</v>
      </c>
      <c r="V1629">
        <f t="shared" si="233"/>
        <v>1.2E-2</v>
      </c>
      <c r="W1629">
        <f t="shared" si="234"/>
        <v>1.2E-2</v>
      </c>
      <c r="X1629">
        <f t="shared" si="235"/>
        <v>0.91200000000000003</v>
      </c>
      <c r="Y1629">
        <v>77.616144950000006</v>
      </c>
      <c r="Z1629">
        <v>0</v>
      </c>
      <c r="AA1629">
        <v>77808</v>
      </c>
      <c r="AB1629">
        <v>27489</v>
      </c>
      <c r="AC1629">
        <v>1.1225541E-2</v>
      </c>
      <c r="AD1629">
        <v>0.835708267</v>
      </c>
      <c r="AF1629">
        <v>16.380580649999999</v>
      </c>
      <c r="AG1629">
        <v>6.0000000000000001E-3</v>
      </c>
      <c r="AH1629">
        <v>4.0000000000000001E-3</v>
      </c>
      <c r="AI1629">
        <v>0.86199999999999999</v>
      </c>
      <c r="AJ1629">
        <v>2.7025000000000001</v>
      </c>
      <c r="AK1629">
        <v>9.0714583330000007</v>
      </c>
      <c r="AL1629">
        <v>1.2E-2</v>
      </c>
      <c r="AM1629">
        <v>1.2E-2</v>
      </c>
      <c r="AN1629">
        <v>0.91200000000000003</v>
      </c>
    </row>
    <row r="1630" spans="1:40">
      <c r="A1630">
        <v>3698</v>
      </c>
      <c r="B1630" t="s">
        <v>692</v>
      </c>
      <c r="C1630" t="s">
        <v>693</v>
      </c>
      <c r="D1630" t="s">
        <v>694</v>
      </c>
      <c r="E1630">
        <v>0</v>
      </c>
      <c r="F1630">
        <v>0</v>
      </c>
      <c r="G1630">
        <v>40.102013980000002</v>
      </c>
      <c r="H1630">
        <v>1095</v>
      </c>
      <c r="I1630">
        <v>6.2682568999999994E-2</v>
      </c>
      <c r="J1630">
        <v>1095</v>
      </c>
      <c r="K1630">
        <v>17468.971320000001</v>
      </c>
      <c r="L1630">
        <v>0.89400000000000002</v>
      </c>
      <c r="M1630" s="515">
        <v>1</v>
      </c>
      <c r="N1630">
        <v>0</v>
      </c>
      <c r="O1630" t="s">
        <v>620</v>
      </c>
      <c r="P1630">
        <f t="shared" si="227"/>
        <v>15.22730496</v>
      </c>
      <c r="Q1630">
        <f t="shared" si="228"/>
        <v>1.2828282828282822E-2</v>
      </c>
      <c r="R1630">
        <f t="shared" si="229"/>
        <v>6.0000000000000001E-3</v>
      </c>
      <c r="S1630">
        <f t="shared" si="230"/>
        <v>0.89400000000000002</v>
      </c>
      <c r="T1630">
        <f t="shared" si="231"/>
        <v>2.4333333330000002</v>
      </c>
      <c r="U1630">
        <f t="shared" si="232"/>
        <v>8.5914567900000005</v>
      </c>
      <c r="V1630">
        <f t="shared" si="233"/>
        <v>1.4E-2</v>
      </c>
      <c r="W1630">
        <f t="shared" si="234"/>
        <v>4.7929411764705873E-2</v>
      </c>
      <c r="X1630">
        <f t="shared" si="235"/>
        <v>0.95899999999999996</v>
      </c>
      <c r="Y1630">
        <v>77.616144950000006</v>
      </c>
      <c r="Z1630">
        <v>0</v>
      </c>
      <c r="AA1630">
        <v>77808</v>
      </c>
      <c r="AB1630">
        <v>27489</v>
      </c>
      <c r="AC1630">
        <v>1.1225541E-2</v>
      </c>
      <c r="AD1630">
        <v>0.835708267</v>
      </c>
      <c r="AF1630">
        <v>15.22730496</v>
      </c>
      <c r="AG1630">
        <v>0</v>
      </c>
      <c r="AH1630">
        <v>6.0000000000000001E-3</v>
      </c>
      <c r="AI1630">
        <v>0.89400000000000002</v>
      </c>
      <c r="AJ1630">
        <v>2.4333333330000002</v>
      </c>
      <c r="AK1630">
        <v>8.5914567900000005</v>
      </c>
      <c r="AL1630">
        <v>1.4E-2</v>
      </c>
      <c r="AM1630">
        <v>0</v>
      </c>
      <c r="AN1630">
        <v>0.95899999999999996</v>
      </c>
    </row>
    <row r="1631" spans="1:40">
      <c r="A1631">
        <v>3699</v>
      </c>
      <c r="B1631" t="s">
        <v>692</v>
      </c>
      <c r="C1631" t="s">
        <v>693</v>
      </c>
      <c r="D1631" t="s">
        <v>694</v>
      </c>
      <c r="E1631">
        <v>0</v>
      </c>
      <c r="F1631">
        <v>0</v>
      </c>
      <c r="G1631">
        <v>26.260542520000001</v>
      </c>
      <c r="H1631">
        <v>148</v>
      </c>
      <c r="I1631">
        <v>4.1049138999999998E-2</v>
      </c>
      <c r="J1631">
        <v>148</v>
      </c>
      <c r="K1631">
        <v>3605.4349400000001</v>
      </c>
      <c r="L1631">
        <v>0.98699999999999999</v>
      </c>
      <c r="M1631" s="515">
        <v>1</v>
      </c>
      <c r="N1631">
        <v>0</v>
      </c>
      <c r="O1631" t="s">
        <v>620</v>
      </c>
      <c r="P1631">
        <f t="shared" si="227"/>
        <v>20.80466667</v>
      </c>
      <c r="Q1631">
        <f t="shared" si="228"/>
        <v>1.2828282828282822E-2</v>
      </c>
      <c r="R1631">
        <f t="shared" si="229"/>
        <v>1.9814814814814796E-2</v>
      </c>
      <c r="S1631">
        <f t="shared" si="230"/>
        <v>0.98699999999999999</v>
      </c>
      <c r="T1631">
        <f t="shared" si="231"/>
        <v>2.2234128568796301</v>
      </c>
      <c r="U1631">
        <f t="shared" si="232"/>
        <v>8.0499275360000002</v>
      </c>
      <c r="V1631">
        <f t="shared" si="233"/>
        <v>4.1084210526315765E-2</v>
      </c>
      <c r="W1631">
        <f t="shared" si="234"/>
        <v>4.7929411764705873E-2</v>
      </c>
      <c r="X1631">
        <f t="shared" si="235"/>
        <v>1</v>
      </c>
      <c r="Y1631">
        <v>77.616144950000006</v>
      </c>
      <c r="Z1631">
        <v>0</v>
      </c>
      <c r="AA1631">
        <v>77808</v>
      </c>
      <c r="AB1631">
        <v>27489</v>
      </c>
      <c r="AC1631">
        <v>1.1225541E-2</v>
      </c>
      <c r="AD1631">
        <v>0.835708267</v>
      </c>
      <c r="AF1631">
        <v>20.80466667</v>
      </c>
      <c r="AG1631">
        <v>0</v>
      </c>
      <c r="AH1631">
        <v>0</v>
      </c>
      <c r="AI1631">
        <v>0.98699999999999999</v>
      </c>
      <c r="AK1631">
        <v>8.0499275360000002</v>
      </c>
      <c r="AL1631">
        <v>0</v>
      </c>
      <c r="AM1631">
        <v>0</v>
      </c>
      <c r="AN1631">
        <v>1</v>
      </c>
    </row>
    <row r="1632" spans="1:40">
      <c r="A1632">
        <v>3700</v>
      </c>
      <c r="B1632" t="s">
        <v>692</v>
      </c>
      <c r="C1632" t="s">
        <v>693</v>
      </c>
      <c r="D1632" t="s">
        <v>694</v>
      </c>
      <c r="E1632">
        <v>18</v>
      </c>
      <c r="F1632">
        <v>106</v>
      </c>
      <c r="G1632">
        <v>20.390466180000001</v>
      </c>
      <c r="H1632">
        <v>349</v>
      </c>
      <c r="I1632">
        <v>3.1876909000000002E-2</v>
      </c>
      <c r="J1632">
        <v>455</v>
      </c>
      <c r="K1632">
        <v>14273.65495</v>
      </c>
      <c r="L1632">
        <v>0.85199999999999998</v>
      </c>
      <c r="M1632">
        <v>0.95095367799999997</v>
      </c>
      <c r="N1632">
        <v>0</v>
      </c>
      <c r="O1632" t="s">
        <v>620</v>
      </c>
      <c r="P1632">
        <f t="shared" si="227"/>
        <v>12.278888889999999</v>
      </c>
      <c r="Q1632">
        <f t="shared" si="228"/>
        <v>1.2828282828282822E-2</v>
      </c>
      <c r="R1632">
        <f t="shared" si="229"/>
        <v>1.6E-2</v>
      </c>
      <c r="S1632">
        <f t="shared" si="230"/>
        <v>0.85199999999999998</v>
      </c>
      <c r="T1632">
        <f t="shared" si="231"/>
        <v>1.81</v>
      </c>
      <c r="U1632">
        <f t="shared" si="232"/>
        <v>7.7463815790000004</v>
      </c>
      <c r="V1632">
        <f t="shared" si="233"/>
        <v>5.2999999999999999E-2</v>
      </c>
      <c r="W1632">
        <f t="shared" si="234"/>
        <v>4.7929411764705873E-2</v>
      </c>
      <c r="X1632">
        <f t="shared" si="235"/>
        <v>0.84</v>
      </c>
      <c r="Y1632">
        <v>77.616144950000006</v>
      </c>
      <c r="Z1632">
        <v>0</v>
      </c>
      <c r="AA1632">
        <v>77808</v>
      </c>
      <c r="AB1632">
        <v>27489</v>
      </c>
      <c r="AC1632">
        <v>1.1225541E-2</v>
      </c>
      <c r="AD1632">
        <v>0.835708267</v>
      </c>
      <c r="AF1632">
        <v>12.278888889999999</v>
      </c>
      <c r="AG1632">
        <v>0</v>
      </c>
      <c r="AH1632">
        <v>1.6E-2</v>
      </c>
      <c r="AI1632">
        <v>0.85199999999999998</v>
      </c>
      <c r="AJ1632">
        <v>1.81</v>
      </c>
      <c r="AK1632">
        <v>7.7463815790000004</v>
      </c>
      <c r="AL1632">
        <v>5.2999999999999999E-2</v>
      </c>
      <c r="AM1632">
        <v>0</v>
      </c>
      <c r="AN1632">
        <v>0.84</v>
      </c>
    </row>
    <row r="1633" spans="1:40">
      <c r="A1633">
        <v>3701</v>
      </c>
      <c r="B1633" t="s">
        <v>692</v>
      </c>
      <c r="C1633" t="s">
        <v>693</v>
      </c>
      <c r="D1633" t="s">
        <v>694</v>
      </c>
      <c r="E1633">
        <v>216</v>
      </c>
      <c r="F1633">
        <v>689</v>
      </c>
      <c r="G1633">
        <v>55.832291249999997</v>
      </c>
      <c r="H1633">
        <v>123</v>
      </c>
      <c r="I1633">
        <v>8.7269305000000005E-2</v>
      </c>
      <c r="J1633">
        <v>812</v>
      </c>
      <c r="K1633">
        <v>9304.5315300000002</v>
      </c>
      <c r="L1633">
        <v>0.84299999999999997</v>
      </c>
      <c r="M1633">
        <v>0.36283185800000001</v>
      </c>
      <c r="N1633">
        <v>0</v>
      </c>
      <c r="O1633" t="s">
        <v>620</v>
      </c>
      <c r="P1633">
        <f t="shared" si="227"/>
        <v>14.56568966</v>
      </c>
      <c r="Q1633">
        <f t="shared" si="228"/>
        <v>3.0000000000000001E-3</v>
      </c>
      <c r="R1633">
        <f t="shared" si="229"/>
        <v>2.1000000000000001E-2</v>
      </c>
      <c r="S1633">
        <f t="shared" si="230"/>
        <v>0.84299999999999997</v>
      </c>
      <c r="T1633">
        <f t="shared" si="231"/>
        <v>1.933333333</v>
      </c>
      <c r="U1633">
        <f t="shared" si="232"/>
        <v>6.7532683980000003</v>
      </c>
      <c r="V1633">
        <f t="shared" si="233"/>
        <v>5.6000000000000001E-2</v>
      </c>
      <c r="W1633">
        <f t="shared" si="234"/>
        <v>2.8000000000000001E-2</v>
      </c>
      <c r="X1633">
        <f t="shared" si="235"/>
        <v>0.80600000000000005</v>
      </c>
      <c r="Y1633">
        <v>94.034017379999995</v>
      </c>
      <c r="Z1633">
        <v>0</v>
      </c>
      <c r="AA1633">
        <v>77808</v>
      </c>
      <c r="AB1633">
        <v>27489</v>
      </c>
      <c r="AC1633">
        <v>1.1225541E-2</v>
      </c>
      <c r="AD1633">
        <v>0.835708267</v>
      </c>
      <c r="AF1633">
        <v>14.56568966</v>
      </c>
      <c r="AG1633">
        <v>3.0000000000000001E-3</v>
      </c>
      <c r="AH1633">
        <v>2.1000000000000001E-2</v>
      </c>
      <c r="AI1633">
        <v>0.84299999999999997</v>
      </c>
      <c r="AJ1633">
        <v>1.933333333</v>
      </c>
      <c r="AK1633">
        <v>6.7532683980000003</v>
      </c>
      <c r="AL1633">
        <v>5.6000000000000001E-2</v>
      </c>
      <c r="AM1633">
        <v>2.8000000000000001E-2</v>
      </c>
      <c r="AN1633">
        <v>0.80600000000000005</v>
      </c>
    </row>
    <row r="1634" spans="1:40">
      <c r="A1634">
        <v>3702</v>
      </c>
      <c r="B1634" t="s">
        <v>692</v>
      </c>
      <c r="C1634" t="s">
        <v>693</v>
      </c>
      <c r="D1634" t="s">
        <v>694</v>
      </c>
      <c r="E1634">
        <v>16</v>
      </c>
      <c r="F1634">
        <v>16</v>
      </c>
      <c r="G1634">
        <v>28.023672149999999</v>
      </c>
      <c r="H1634">
        <v>1287</v>
      </c>
      <c r="I1634">
        <v>4.3802233000000003E-2</v>
      </c>
      <c r="J1634">
        <v>1303</v>
      </c>
      <c r="K1634">
        <v>29747.34188</v>
      </c>
      <c r="L1634">
        <v>0.84499999999999997</v>
      </c>
      <c r="M1634">
        <v>0.98772064500000001</v>
      </c>
      <c r="N1634">
        <v>1</v>
      </c>
      <c r="O1634" t="s">
        <v>620</v>
      </c>
      <c r="P1634">
        <f t="shared" si="227"/>
        <v>16.715123460000001</v>
      </c>
      <c r="Q1634">
        <f t="shared" si="228"/>
        <v>1.4999999999999999E-2</v>
      </c>
      <c r="R1634">
        <f t="shared" si="229"/>
        <v>1.4E-2</v>
      </c>
      <c r="S1634">
        <f t="shared" si="230"/>
        <v>0.84499999999999997</v>
      </c>
      <c r="T1634">
        <f t="shared" si="231"/>
        <v>2.6964285710000002</v>
      </c>
      <c r="U1634">
        <f t="shared" si="232"/>
        <v>9.5851878789999994</v>
      </c>
      <c r="V1634">
        <f t="shared" si="233"/>
        <v>2.7E-2</v>
      </c>
      <c r="W1634">
        <f t="shared" si="234"/>
        <v>4.8000000000000001E-2</v>
      </c>
      <c r="X1634">
        <f t="shared" si="235"/>
        <v>0.86599999999999999</v>
      </c>
      <c r="Y1634">
        <v>83.884415469999993</v>
      </c>
      <c r="Z1634">
        <v>0</v>
      </c>
      <c r="AA1634">
        <v>77808</v>
      </c>
      <c r="AB1634">
        <v>27489</v>
      </c>
      <c r="AC1634">
        <v>1.1225541E-2</v>
      </c>
      <c r="AD1634">
        <v>0.835708267</v>
      </c>
      <c r="AF1634">
        <v>16.715123460000001</v>
      </c>
      <c r="AG1634">
        <v>1.4999999999999999E-2</v>
      </c>
      <c r="AH1634">
        <v>1.4E-2</v>
      </c>
      <c r="AI1634">
        <v>0.84499999999999997</v>
      </c>
      <c r="AJ1634">
        <v>2.6964285710000002</v>
      </c>
      <c r="AK1634">
        <v>9.5851878789999994</v>
      </c>
      <c r="AL1634">
        <v>2.7E-2</v>
      </c>
      <c r="AM1634">
        <v>4.8000000000000001E-2</v>
      </c>
      <c r="AN1634">
        <v>0.86599999999999999</v>
      </c>
    </row>
    <row r="1635" spans="1:40">
      <c r="A1635">
        <v>3703</v>
      </c>
      <c r="B1635" t="s">
        <v>692</v>
      </c>
      <c r="C1635" t="s">
        <v>693</v>
      </c>
      <c r="D1635" t="s">
        <v>694</v>
      </c>
      <c r="E1635">
        <v>40</v>
      </c>
      <c r="F1635">
        <v>40</v>
      </c>
      <c r="G1635">
        <v>48.058295690000001</v>
      </c>
      <c r="H1635">
        <v>466</v>
      </c>
      <c r="I1635">
        <v>7.5122807999999999E-2</v>
      </c>
      <c r="J1635">
        <v>506</v>
      </c>
      <c r="K1635">
        <v>6735.6374640000004</v>
      </c>
      <c r="L1635">
        <v>0.83</v>
      </c>
      <c r="M1635">
        <v>0.92094861699999997</v>
      </c>
      <c r="N1635">
        <v>1</v>
      </c>
      <c r="O1635" t="s">
        <v>620</v>
      </c>
      <c r="P1635">
        <f t="shared" si="227"/>
        <v>16.168153849999999</v>
      </c>
      <c r="Q1635">
        <f t="shared" si="228"/>
        <v>1.6E-2</v>
      </c>
      <c r="R1635">
        <f t="shared" si="229"/>
        <v>4.0000000000000001E-3</v>
      </c>
      <c r="S1635">
        <f t="shared" si="230"/>
        <v>0.83</v>
      </c>
      <c r="T1635">
        <f t="shared" si="231"/>
        <v>2.2400000000000002</v>
      </c>
      <c r="U1635">
        <f t="shared" si="232"/>
        <v>8.6572752810000004</v>
      </c>
      <c r="V1635">
        <f t="shared" si="233"/>
        <v>4.1084210526315765E-2</v>
      </c>
      <c r="W1635">
        <f t="shared" si="234"/>
        <v>1.4999999999999999E-2</v>
      </c>
      <c r="X1635">
        <f t="shared" si="235"/>
        <v>0.97</v>
      </c>
      <c r="Y1635">
        <v>77.616144950000006</v>
      </c>
      <c r="Z1635">
        <v>0</v>
      </c>
      <c r="AA1635">
        <v>77808</v>
      </c>
      <c r="AB1635">
        <v>27489</v>
      </c>
      <c r="AC1635">
        <v>1.1225541E-2</v>
      </c>
      <c r="AD1635">
        <v>0.835708267</v>
      </c>
      <c r="AF1635">
        <v>16.168153849999999</v>
      </c>
      <c r="AG1635">
        <v>1.6E-2</v>
      </c>
      <c r="AH1635">
        <v>4.0000000000000001E-3</v>
      </c>
      <c r="AI1635">
        <v>0.83</v>
      </c>
      <c r="AJ1635">
        <v>2.2400000000000002</v>
      </c>
      <c r="AK1635">
        <v>8.6572752810000004</v>
      </c>
      <c r="AL1635">
        <v>0</v>
      </c>
      <c r="AM1635">
        <v>1.4999999999999999E-2</v>
      </c>
      <c r="AN1635">
        <v>0.97</v>
      </c>
    </row>
    <row r="1636" spans="1:40">
      <c r="A1636">
        <v>3704</v>
      </c>
      <c r="B1636" t="s">
        <v>692</v>
      </c>
      <c r="C1636" t="s">
        <v>693</v>
      </c>
      <c r="D1636" t="s">
        <v>694</v>
      </c>
      <c r="E1636">
        <v>215</v>
      </c>
      <c r="F1636">
        <v>592</v>
      </c>
      <c r="G1636">
        <v>57.84102223</v>
      </c>
      <c r="H1636">
        <v>400</v>
      </c>
      <c r="I1636">
        <v>9.0407811000000005E-2</v>
      </c>
      <c r="J1636">
        <v>992</v>
      </c>
      <c r="K1636">
        <v>10972.50325</v>
      </c>
      <c r="L1636">
        <v>0.82399999999999995</v>
      </c>
      <c r="M1636">
        <v>0.650406504</v>
      </c>
      <c r="N1636">
        <v>1</v>
      </c>
      <c r="O1636" t="s">
        <v>613</v>
      </c>
      <c r="P1636">
        <f t="shared" si="227"/>
        <v>17.160799999999998</v>
      </c>
      <c r="Q1636">
        <f t="shared" si="228"/>
        <v>2.3E-2</v>
      </c>
      <c r="R1636">
        <f t="shared" si="229"/>
        <v>1.2E-2</v>
      </c>
      <c r="S1636">
        <f t="shared" si="230"/>
        <v>0.82399999999999995</v>
      </c>
      <c r="T1636">
        <f t="shared" si="231"/>
        <v>1.9662500000000001</v>
      </c>
      <c r="U1636">
        <f t="shared" si="232"/>
        <v>8.2740712950000006</v>
      </c>
      <c r="V1636">
        <f t="shared" si="233"/>
        <v>2.1000000000000001E-2</v>
      </c>
      <c r="W1636">
        <f t="shared" si="234"/>
        <v>9.2999999999999999E-2</v>
      </c>
      <c r="X1636">
        <f t="shared" si="235"/>
        <v>0.77300000000000002</v>
      </c>
      <c r="Y1636">
        <v>77.620825980000006</v>
      </c>
      <c r="Z1636">
        <v>0</v>
      </c>
      <c r="AA1636">
        <v>77808</v>
      </c>
      <c r="AB1636">
        <v>27489</v>
      </c>
      <c r="AC1636">
        <v>1.1225541E-2</v>
      </c>
      <c r="AD1636">
        <v>0.835708267</v>
      </c>
      <c r="AF1636">
        <v>17.160799999999998</v>
      </c>
      <c r="AG1636">
        <v>2.3E-2</v>
      </c>
      <c r="AH1636">
        <v>1.2E-2</v>
      </c>
      <c r="AI1636">
        <v>0.82399999999999995</v>
      </c>
      <c r="AJ1636">
        <v>1.9662500000000001</v>
      </c>
      <c r="AK1636">
        <v>8.2740712950000006</v>
      </c>
      <c r="AL1636">
        <v>2.1000000000000001E-2</v>
      </c>
      <c r="AM1636">
        <v>9.2999999999999999E-2</v>
      </c>
      <c r="AN1636">
        <v>0.77300000000000002</v>
      </c>
    </row>
    <row r="1637" spans="1:40">
      <c r="A1637">
        <v>3705</v>
      </c>
      <c r="B1637" t="s">
        <v>692</v>
      </c>
      <c r="C1637" t="s">
        <v>693</v>
      </c>
      <c r="D1637" t="s">
        <v>694</v>
      </c>
      <c r="E1637">
        <v>0</v>
      </c>
      <c r="F1637">
        <v>0</v>
      </c>
      <c r="G1637">
        <v>16.965662500000001</v>
      </c>
      <c r="H1637">
        <v>214</v>
      </c>
      <c r="I1637">
        <v>2.6522950999999999E-2</v>
      </c>
      <c r="J1637">
        <v>214</v>
      </c>
      <c r="K1637">
        <v>8068.4837820000002</v>
      </c>
      <c r="L1637">
        <v>0.88800000000000001</v>
      </c>
      <c r="M1637" s="515">
        <v>1</v>
      </c>
      <c r="N1637">
        <v>1</v>
      </c>
      <c r="O1637" t="s">
        <v>620</v>
      </c>
      <c r="P1637">
        <f t="shared" si="227"/>
        <v>16.81133333</v>
      </c>
      <c r="Q1637">
        <f t="shared" si="228"/>
        <v>0.01</v>
      </c>
      <c r="R1637">
        <f t="shared" si="229"/>
        <v>1.9814814814814796E-2</v>
      </c>
      <c r="S1637">
        <f t="shared" si="230"/>
        <v>0.88800000000000001</v>
      </c>
      <c r="T1637">
        <f t="shared" si="231"/>
        <v>2.2234128568796301</v>
      </c>
      <c r="U1637">
        <f t="shared" si="232"/>
        <v>10.73151163</v>
      </c>
      <c r="V1637">
        <f t="shared" si="233"/>
        <v>4.1084210526315765E-2</v>
      </c>
      <c r="W1637">
        <f t="shared" si="234"/>
        <v>4.7929411764705873E-2</v>
      </c>
      <c r="X1637">
        <f t="shared" si="235"/>
        <v>0.93799999999999994</v>
      </c>
      <c r="Y1637">
        <v>77.616144950000006</v>
      </c>
      <c r="Z1637">
        <v>0</v>
      </c>
      <c r="AA1637">
        <v>77808</v>
      </c>
      <c r="AB1637">
        <v>27489</v>
      </c>
      <c r="AC1637">
        <v>1.1225541E-2</v>
      </c>
      <c r="AD1637">
        <v>0.835708267</v>
      </c>
      <c r="AF1637">
        <v>16.81133333</v>
      </c>
      <c r="AG1637">
        <v>0.01</v>
      </c>
      <c r="AH1637">
        <v>0</v>
      </c>
      <c r="AI1637">
        <v>0.88800000000000001</v>
      </c>
      <c r="AK1637">
        <v>10.73151163</v>
      </c>
      <c r="AL1637">
        <v>0</v>
      </c>
      <c r="AM1637">
        <v>0</v>
      </c>
      <c r="AN1637">
        <v>0.93799999999999994</v>
      </c>
    </row>
    <row r="1638" spans="1:40">
      <c r="A1638">
        <v>3706</v>
      </c>
      <c r="B1638" t="s">
        <v>692</v>
      </c>
      <c r="C1638" t="s">
        <v>693</v>
      </c>
      <c r="D1638" t="s">
        <v>694</v>
      </c>
      <c r="E1638">
        <v>8</v>
      </c>
      <c r="F1638">
        <v>15</v>
      </c>
      <c r="G1638">
        <v>24.78107267</v>
      </c>
      <c r="H1638">
        <v>351</v>
      </c>
      <c r="I1638">
        <v>3.8732518000000001E-2</v>
      </c>
      <c r="J1638">
        <v>366</v>
      </c>
      <c r="K1638">
        <v>9449.4243829999996</v>
      </c>
      <c r="L1638">
        <v>0.84899999999999998</v>
      </c>
      <c r="M1638">
        <v>0.97771587699999996</v>
      </c>
      <c r="N1638">
        <v>0</v>
      </c>
      <c r="O1638" t="s">
        <v>620</v>
      </c>
      <c r="P1638">
        <f t="shared" si="227"/>
        <v>13.807948720000001</v>
      </c>
      <c r="Q1638">
        <f t="shared" si="228"/>
        <v>1.2828282828282822E-2</v>
      </c>
      <c r="R1638">
        <f t="shared" si="229"/>
        <v>6.0000000000000001E-3</v>
      </c>
      <c r="S1638">
        <f t="shared" si="230"/>
        <v>0.84899999999999998</v>
      </c>
      <c r="T1638">
        <f t="shared" si="231"/>
        <v>2.2250000000000001</v>
      </c>
      <c r="U1638">
        <f t="shared" si="232"/>
        <v>8.1755555560000008</v>
      </c>
      <c r="V1638">
        <f t="shared" si="233"/>
        <v>4.1084210526315765E-2</v>
      </c>
      <c r="W1638">
        <f t="shared" si="234"/>
        <v>4.7929411764705873E-2</v>
      </c>
      <c r="X1638">
        <f t="shared" si="235"/>
        <v>0.95099999999999996</v>
      </c>
      <c r="Y1638">
        <v>77.616144950000006</v>
      </c>
      <c r="Z1638">
        <v>0</v>
      </c>
      <c r="AA1638">
        <v>77808</v>
      </c>
      <c r="AB1638">
        <v>27489</v>
      </c>
      <c r="AC1638">
        <v>1.1225541E-2</v>
      </c>
      <c r="AD1638">
        <v>0.835708267</v>
      </c>
      <c r="AF1638">
        <v>13.807948720000001</v>
      </c>
      <c r="AG1638">
        <v>0</v>
      </c>
      <c r="AH1638">
        <v>6.0000000000000001E-3</v>
      </c>
      <c r="AI1638">
        <v>0.84899999999999998</v>
      </c>
      <c r="AJ1638">
        <v>2.2250000000000001</v>
      </c>
      <c r="AK1638">
        <v>8.1755555560000008</v>
      </c>
      <c r="AL1638">
        <v>0</v>
      </c>
      <c r="AM1638">
        <v>0</v>
      </c>
      <c r="AN1638">
        <v>0.95099999999999996</v>
      </c>
    </row>
    <row r="1639" spans="1:40">
      <c r="A1639">
        <v>3707</v>
      </c>
      <c r="B1639" t="s">
        <v>692</v>
      </c>
      <c r="C1639" t="s">
        <v>693</v>
      </c>
      <c r="D1639" t="s">
        <v>694</v>
      </c>
      <c r="E1639">
        <v>114</v>
      </c>
      <c r="F1639">
        <v>114</v>
      </c>
      <c r="G1639">
        <v>126.1666551</v>
      </c>
      <c r="H1639">
        <v>3060</v>
      </c>
      <c r="I1639">
        <v>0.19720918600000001</v>
      </c>
      <c r="J1639">
        <v>3174</v>
      </c>
      <c r="K1639">
        <v>16094.58497</v>
      </c>
      <c r="L1639">
        <v>0.876</v>
      </c>
      <c r="M1639">
        <v>0.96408317600000004</v>
      </c>
      <c r="N1639">
        <v>0</v>
      </c>
      <c r="O1639" t="s">
        <v>620</v>
      </c>
      <c r="P1639">
        <f t="shared" si="227"/>
        <v>17.145407729999999</v>
      </c>
      <c r="Q1639">
        <f t="shared" si="228"/>
        <v>8.0000000000000002E-3</v>
      </c>
      <c r="R1639">
        <f t="shared" si="229"/>
        <v>1.0999999999999999E-2</v>
      </c>
      <c r="S1639">
        <f t="shared" si="230"/>
        <v>0.876</v>
      </c>
      <c r="T1639">
        <f t="shared" si="231"/>
        <v>2.681333333</v>
      </c>
      <c r="U1639">
        <f t="shared" si="232"/>
        <v>9.4126353639999998</v>
      </c>
      <c r="V1639">
        <f t="shared" si="233"/>
        <v>2.1999999999999999E-2</v>
      </c>
      <c r="W1639">
        <f t="shared" si="234"/>
        <v>1.2E-2</v>
      </c>
      <c r="X1639">
        <f t="shared" si="235"/>
        <v>0.92300000000000004</v>
      </c>
      <c r="Y1639">
        <v>77.811966100000006</v>
      </c>
      <c r="Z1639">
        <v>0</v>
      </c>
      <c r="AA1639">
        <v>77808</v>
      </c>
      <c r="AB1639">
        <v>27489</v>
      </c>
      <c r="AC1639">
        <v>1.1225541E-2</v>
      </c>
      <c r="AD1639">
        <v>0.835708267</v>
      </c>
      <c r="AF1639">
        <v>17.145407729999999</v>
      </c>
      <c r="AG1639">
        <v>8.0000000000000002E-3</v>
      </c>
      <c r="AH1639">
        <v>1.0999999999999999E-2</v>
      </c>
      <c r="AI1639">
        <v>0.876</v>
      </c>
      <c r="AJ1639">
        <v>2.681333333</v>
      </c>
      <c r="AK1639">
        <v>9.4126353639999998</v>
      </c>
      <c r="AL1639">
        <v>2.1999999999999999E-2</v>
      </c>
      <c r="AM1639">
        <v>1.2E-2</v>
      </c>
      <c r="AN1639">
        <v>0.92300000000000004</v>
      </c>
    </row>
    <row r="1640" spans="1:40">
      <c r="A1640">
        <v>3708</v>
      </c>
      <c r="B1640" t="s">
        <v>692</v>
      </c>
      <c r="C1640" t="s">
        <v>693</v>
      </c>
      <c r="D1640" t="s">
        <v>694</v>
      </c>
      <c r="E1640">
        <v>0</v>
      </c>
      <c r="F1640">
        <v>0</v>
      </c>
      <c r="G1640">
        <v>32.251819580000003</v>
      </c>
      <c r="H1640">
        <v>996</v>
      </c>
      <c r="I1640">
        <v>5.0414021000000003E-2</v>
      </c>
      <c r="J1640">
        <v>996</v>
      </c>
      <c r="K1640">
        <v>19756.408640000001</v>
      </c>
      <c r="L1640">
        <v>0.84299999999999997</v>
      </c>
      <c r="M1640" s="515">
        <v>1</v>
      </c>
      <c r="N1640">
        <v>1</v>
      </c>
      <c r="O1640" t="s">
        <v>613</v>
      </c>
      <c r="P1640">
        <f t="shared" si="227"/>
        <v>15.294368929999999</v>
      </c>
      <c r="Q1640">
        <f t="shared" si="228"/>
        <v>1.4999999999999999E-2</v>
      </c>
      <c r="R1640">
        <f t="shared" si="229"/>
        <v>1.0999999999999999E-2</v>
      </c>
      <c r="S1640">
        <f t="shared" si="230"/>
        <v>0.84299999999999997</v>
      </c>
      <c r="T1640">
        <f t="shared" si="231"/>
        <v>2.7625000000000002</v>
      </c>
      <c r="U1640">
        <f t="shared" si="232"/>
        <v>9.1463636360000002</v>
      </c>
      <c r="V1640">
        <f t="shared" si="233"/>
        <v>4.1084210526315765E-2</v>
      </c>
      <c r="W1640">
        <f t="shared" si="234"/>
        <v>5.7000000000000002E-2</v>
      </c>
      <c r="X1640">
        <f t="shared" si="235"/>
        <v>0.84399999999999997</v>
      </c>
      <c r="Y1640">
        <v>77.616144950000006</v>
      </c>
      <c r="Z1640">
        <v>0</v>
      </c>
      <c r="AA1640">
        <v>77808</v>
      </c>
      <c r="AB1640">
        <v>27489</v>
      </c>
      <c r="AC1640">
        <v>1.1225541E-2</v>
      </c>
      <c r="AD1640">
        <v>0.835708267</v>
      </c>
      <c r="AF1640">
        <v>15.294368929999999</v>
      </c>
      <c r="AG1640">
        <v>1.4999999999999999E-2</v>
      </c>
      <c r="AH1640">
        <v>1.0999999999999999E-2</v>
      </c>
      <c r="AI1640">
        <v>0.84299999999999997</v>
      </c>
      <c r="AJ1640">
        <v>2.7625000000000002</v>
      </c>
      <c r="AK1640">
        <v>9.1463636360000002</v>
      </c>
      <c r="AL1640">
        <v>0</v>
      </c>
      <c r="AM1640">
        <v>5.7000000000000002E-2</v>
      </c>
      <c r="AN1640">
        <v>0.84399999999999997</v>
      </c>
    </row>
    <row r="1641" spans="1:40">
      <c r="A1641">
        <v>3709</v>
      </c>
      <c r="B1641" t="s">
        <v>692</v>
      </c>
      <c r="C1641" t="s">
        <v>693</v>
      </c>
      <c r="D1641" t="s">
        <v>694</v>
      </c>
      <c r="E1641">
        <v>0</v>
      </c>
      <c r="F1641">
        <v>1</v>
      </c>
      <c r="G1641">
        <v>33.153842580000003</v>
      </c>
      <c r="H1641">
        <v>821</v>
      </c>
      <c r="I1641">
        <v>5.1824611999999999E-2</v>
      </c>
      <c r="J1641">
        <v>822</v>
      </c>
      <c r="K1641">
        <v>15861.18966</v>
      </c>
      <c r="L1641">
        <v>0.91100000000000003</v>
      </c>
      <c r="M1641" s="515">
        <v>1</v>
      </c>
      <c r="N1641">
        <v>0</v>
      </c>
      <c r="O1641" t="s">
        <v>620</v>
      </c>
      <c r="P1641">
        <f t="shared" si="227"/>
        <v>15.849379839999999</v>
      </c>
      <c r="Q1641">
        <f t="shared" si="228"/>
        <v>0.01</v>
      </c>
      <c r="R1641">
        <f t="shared" si="229"/>
        <v>0.01</v>
      </c>
      <c r="S1641">
        <f t="shared" si="230"/>
        <v>0.91100000000000003</v>
      </c>
      <c r="T1641">
        <f t="shared" si="231"/>
        <v>2.625</v>
      </c>
      <c r="U1641">
        <f t="shared" si="232"/>
        <v>9.5793750000000006</v>
      </c>
      <c r="V1641">
        <f t="shared" si="233"/>
        <v>1.4999999999999999E-2</v>
      </c>
      <c r="W1641">
        <f t="shared" si="234"/>
        <v>3.6999999999999998E-2</v>
      </c>
      <c r="X1641">
        <f t="shared" si="235"/>
        <v>0.94899999999999995</v>
      </c>
      <c r="Y1641">
        <v>77.616144950000006</v>
      </c>
      <c r="Z1641">
        <v>0</v>
      </c>
      <c r="AA1641">
        <v>77808</v>
      </c>
      <c r="AB1641">
        <v>27489</v>
      </c>
      <c r="AC1641">
        <v>1.1225541E-2</v>
      </c>
      <c r="AD1641">
        <v>0.835708267</v>
      </c>
      <c r="AF1641">
        <v>15.849379839999999</v>
      </c>
      <c r="AG1641">
        <v>0.01</v>
      </c>
      <c r="AH1641">
        <v>0.01</v>
      </c>
      <c r="AI1641">
        <v>0.91100000000000003</v>
      </c>
      <c r="AJ1641">
        <v>2.625</v>
      </c>
      <c r="AK1641">
        <v>9.5793750000000006</v>
      </c>
      <c r="AL1641">
        <v>1.4999999999999999E-2</v>
      </c>
      <c r="AM1641">
        <v>3.6999999999999998E-2</v>
      </c>
      <c r="AN1641">
        <v>0.94899999999999995</v>
      </c>
    </row>
    <row r="1642" spans="1:40">
      <c r="A1642">
        <v>3710</v>
      </c>
      <c r="B1642" t="s">
        <v>692</v>
      </c>
      <c r="C1642" t="s">
        <v>693</v>
      </c>
      <c r="D1642" t="s">
        <v>694</v>
      </c>
      <c r="E1642">
        <v>0</v>
      </c>
      <c r="F1642">
        <v>0</v>
      </c>
      <c r="G1642">
        <v>40.111850930000003</v>
      </c>
      <c r="H1642">
        <v>158</v>
      </c>
      <c r="I1642">
        <v>6.2693747999999994E-2</v>
      </c>
      <c r="J1642">
        <v>158</v>
      </c>
      <c r="K1642">
        <v>2520.1874990000001</v>
      </c>
      <c r="L1642">
        <v>0.88500000000000001</v>
      </c>
      <c r="M1642" s="515">
        <v>1</v>
      </c>
      <c r="N1642">
        <v>0</v>
      </c>
      <c r="O1642" t="s">
        <v>613</v>
      </c>
      <c r="P1642">
        <f t="shared" si="227"/>
        <v>22.40714286</v>
      </c>
      <c r="Q1642">
        <f t="shared" si="228"/>
        <v>1.2828282828282822E-2</v>
      </c>
      <c r="R1642">
        <f t="shared" si="229"/>
        <v>3.3000000000000002E-2</v>
      </c>
      <c r="S1642">
        <f t="shared" si="230"/>
        <v>0.88500000000000001</v>
      </c>
      <c r="T1642">
        <f t="shared" si="231"/>
        <v>2.8574999999999999</v>
      </c>
      <c r="U1642">
        <f t="shared" si="232"/>
        <v>11.87103774</v>
      </c>
      <c r="V1642">
        <f t="shared" si="233"/>
        <v>6.7000000000000004E-2</v>
      </c>
      <c r="W1642">
        <f t="shared" si="234"/>
        <v>4.7929411764705873E-2</v>
      </c>
      <c r="X1642">
        <f t="shared" si="235"/>
        <v>0.93300000000000005</v>
      </c>
      <c r="Y1642">
        <v>77.616144950000006</v>
      </c>
      <c r="Z1642">
        <v>0</v>
      </c>
      <c r="AA1642">
        <v>77808</v>
      </c>
      <c r="AB1642">
        <v>27489</v>
      </c>
      <c r="AC1642">
        <v>1.1225541E-2</v>
      </c>
      <c r="AD1642">
        <v>0.835708267</v>
      </c>
      <c r="AF1642">
        <v>22.40714286</v>
      </c>
      <c r="AG1642">
        <v>0</v>
      </c>
      <c r="AH1642">
        <v>3.3000000000000002E-2</v>
      </c>
      <c r="AI1642">
        <v>0.88500000000000001</v>
      </c>
      <c r="AJ1642">
        <v>2.8574999999999999</v>
      </c>
      <c r="AK1642">
        <v>11.87103774</v>
      </c>
      <c r="AL1642">
        <v>6.7000000000000004E-2</v>
      </c>
      <c r="AM1642">
        <v>0</v>
      </c>
      <c r="AN1642">
        <v>0.93300000000000005</v>
      </c>
    </row>
    <row r="1643" spans="1:40">
      <c r="A1643">
        <v>3711</v>
      </c>
      <c r="B1643" t="s">
        <v>692</v>
      </c>
      <c r="C1643" t="s">
        <v>693</v>
      </c>
      <c r="D1643" t="s">
        <v>694</v>
      </c>
      <c r="E1643">
        <v>200</v>
      </c>
      <c r="F1643">
        <v>644</v>
      </c>
      <c r="G1643">
        <v>71.466612190000006</v>
      </c>
      <c r="H1643">
        <v>2140</v>
      </c>
      <c r="I1643">
        <v>0.11171210400000001</v>
      </c>
      <c r="J1643">
        <v>2784</v>
      </c>
      <c r="K1643">
        <v>24921.202809999999</v>
      </c>
      <c r="L1643">
        <v>0.83099999999999996</v>
      </c>
      <c r="M1643">
        <v>0.91452991500000003</v>
      </c>
      <c r="N1643">
        <v>1</v>
      </c>
      <c r="O1643" t="s">
        <v>620</v>
      </c>
      <c r="P1643">
        <f t="shared" si="227"/>
        <v>14.629137930000001</v>
      </c>
      <c r="Q1643">
        <f t="shared" si="228"/>
        <v>1.7000000000000001E-2</v>
      </c>
      <c r="R1643">
        <f t="shared" si="229"/>
        <v>1.6E-2</v>
      </c>
      <c r="S1643">
        <f t="shared" si="230"/>
        <v>0.83099999999999996</v>
      </c>
      <c r="T1643">
        <f t="shared" si="231"/>
        <v>1.4608333330000001</v>
      </c>
      <c r="U1643">
        <f t="shared" si="232"/>
        <v>7.6104407859999998</v>
      </c>
      <c r="V1643">
        <f t="shared" si="233"/>
        <v>2.1000000000000001E-2</v>
      </c>
      <c r="W1643">
        <f t="shared" si="234"/>
        <v>5.3999999999999999E-2</v>
      </c>
      <c r="X1643">
        <f t="shared" si="235"/>
        <v>0.86799999999999999</v>
      </c>
      <c r="Y1643">
        <v>77.616144950000006</v>
      </c>
      <c r="Z1643">
        <v>0</v>
      </c>
      <c r="AA1643">
        <v>77808</v>
      </c>
      <c r="AB1643">
        <v>27489</v>
      </c>
      <c r="AC1643">
        <v>1.1225541E-2</v>
      </c>
      <c r="AD1643">
        <v>0.835708267</v>
      </c>
      <c r="AF1643">
        <v>14.629137930000001</v>
      </c>
      <c r="AG1643">
        <v>1.7000000000000001E-2</v>
      </c>
      <c r="AH1643">
        <v>1.6E-2</v>
      </c>
      <c r="AI1643">
        <v>0.83099999999999996</v>
      </c>
      <c r="AJ1643">
        <v>1.4608333330000001</v>
      </c>
      <c r="AK1643">
        <v>7.6104407859999998</v>
      </c>
      <c r="AL1643">
        <v>2.1000000000000001E-2</v>
      </c>
      <c r="AM1643">
        <v>5.3999999999999999E-2</v>
      </c>
      <c r="AN1643">
        <v>0.86799999999999999</v>
      </c>
    </row>
    <row r="1644" spans="1:40">
      <c r="A1644">
        <v>3712</v>
      </c>
      <c r="B1644" t="s">
        <v>692</v>
      </c>
      <c r="C1644" t="s">
        <v>693</v>
      </c>
      <c r="D1644" t="s">
        <v>694</v>
      </c>
      <c r="E1644">
        <v>49</v>
      </c>
      <c r="F1644">
        <v>49</v>
      </c>
      <c r="G1644">
        <v>20.415867739999999</v>
      </c>
      <c r="H1644">
        <v>756</v>
      </c>
      <c r="I1644">
        <v>3.1914844999999997E-2</v>
      </c>
      <c r="J1644">
        <v>805</v>
      </c>
      <c r="K1644">
        <v>25223.371760000002</v>
      </c>
      <c r="L1644">
        <v>0.86199999999999999</v>
      </c>
      <c r="M1644">
        <v>0.93913043500000004</v>
      </c>
      <c r="N1644">
        <v>0</v>
      </c>
      <c r="O1644" t="s">
        <v>613</v>
      </c>
      <c r="P1644">
        <f t="shared" si="227"/>
        <v>17.113064519999998</v>
      </c>
      <c r="Q1644">
        <f t="shared" si="228"/>
        <v>1.7999999999999999E-2</v>
      </c>
      <c r="R1644">
        <f t="shared" si="229"/>
        <v>1.2E-2</v>
      </c>
      <c r="S1644">
        <f t="shared" si="230"/>
        <v>0.86199999999999999</v>
      </c>
      <c r="T1644">
        <f t="shared" si="231"/>
        <v>1.99125</v>
      </c>
      <c r="U1644">
        <f t="shared" si="232"/>
        <v>9.5296202529999992</v>
      </c>
      <c r="V1644">
        <f t="shared" si="233"/>
        <v>1.4E-2</v>
      </c>
      <c r="W1644">
        <f t="shared" si="234"/>
        <v>4.2999999999999997E-2</v>
      </c>
      <c r="X1644">
        <f t="shared" si="235"/>
        <v>0.88600000000000001</v>
      </c>
      <c r="Y1644">
        <v>77.616144950000006</v>
      </c>
      <c r="Z1644">
        <v>0</v>
      </c>
      <c r="AA1644">
        <v>77808</v>
      </c>
      <c r="AB1644">
        <v>27489</v>
      </c>
      <c r="AC1644">
        <v>1.1225541E-2</v>
      </c>
      <c r="AD1644">
        <v>0.835708267</v>
      </c>
      <c r="AF1644">
        <v>17.113064519999998</v>
      </c>
      <c r="AG1644">
        <v>1.7999999999999999E-2</v>
      </c>
      <c r="AH1644">
        <v>1.2E-2</v>
      </c>
      <c r="AI1644">
        <v>0.86199999999999999</v>
      </c>
      <c r="AJ1644">
        <v>1.99125</v>
      </c>
      <c r="AK1644">
        <v>9.5296202529999992</v>
      </c>
      <c r="AL1644">
        <v>1.4E-2</v>
      </c>
      <c r="AM1644">
        <v>4.2999999999999997E-2</v>
      </c>
      <c r="AN1644">
        <v>0.88600000000000001</v>
      </c>
    </row>
    <row r="1645" spans="1:40">
      <c r="A1645">
        <v>3713</v>
      </c>
      <c r="B1645" t="s">
        <v>709</v>
      </c>
      <c r="C1645" t="s">
        <v>693</v>
      </c>
      <c r="D1645" t="s">
        <v>694</v>
      </c>
      <c r="E1645">
        <v>447</v>
      </c>
      <c r="F1645">
        <v>950</v>
      </c>
      <c r="G1645">
        <v>15.00070339</v>
      </c>
      <c r="H1645">
        <v>36</v>
      </c>
      <c r="I1645">
        <v>2.3448021999999999E-2</v>
      </c>
      <c r="J1645">
        <v>986</v>
      </c>
      <c r="K1645">
        <v>42050.455260000002</v>
      </c>
      <c r="L1645">
        <v>0.71899999999999997</v>
      </c>
      <c r="M1645">
        <v>7.4534161000000002E-2</v>
      </c>
      <c r="N1645">
        <v>1</v>
      </c>
      <c r="O1645" t="s">
        <v>620</v>
      </c>
      <c r="P1645">
        <f t="shared" si="227"/>
        <v>15.330394739999999</v>
      </c>
      <c r="Q1645">
        <f t="shared" si="228"/>
        <v>5.7000000000000002E-2</v>
      </c>
      <c r="R1645">
        <f t="shared" si="229"/>
        <v>1.0999999999999999E-2</v>
      </c>
      <c r="S1645">
        <f t="shared" si="230"/>
        <v>0.71899999999999997</v>
      </c>
      <c r="T1645">
        <f t="shared" si="231"/>
        <v>1.6883333330000001</v>
      </c>
      <c r="U1645">
        <f t="shared" si="232"/>
        <v>7.3094696969999999</v>
      </c>
      <c r="V1645">
        <f t="shared" si="233"/>
        <v>1.7999999999999999E-2</v>
      </c>
      <c r="W1645">
        <f t="shared" si="234"/>
        <v>0.123</v>
      </c>
      <c r="X1645">
        <f t="shared" si="235"/>
        <v>0.66700000000000004</v>
      </c>
      <c r="Y1645">
        <v>123.7412185</v>
      </c>
      <c r="Z1645">
        <v>0</v>
      </c>
      <c r="AA1645">
        <v>56865</v>
      </c>
      <c r="AB1645">
        <v>22398</v>
      </c>
      <c r="AC1645">
        <v>1.1143686E-2</v>
      </c>
      <c r="AD1645">
        <v>0.81944707100000003</v>
      </c>
      <c r="AF1645">
        <v>15.330394739999999</v>
      </c>
      <c r="AG1645">
        <v>5.7000000000000002E-2</v>
      </c>
      <c r="AH1645">
        <v>1.0999999999999999E-2</v>
      </c>
      <c r="AI1645">
        <v>0.71899999999999997</v>
      </c>
      <c r="AJ1645">
        <v>1.6883333330000001</v>
      </c>
      <c r="AK1645">
        <v>7.3094696969999999</v>
      </c>
      <c r="AL1645">
        <v>1.7999999999999999E-2</v>
      </c>
      <c r="AM1645">
        <v>0.123</v>
      </c>
      <c r="AN1645">
        <v>0.66700000000000004</v>
      </c>
    </row>
    <row r="1646" spans="1:40">
      <c r="A1646">
        <v>3714</v>
      </c>
      <c r="B1646" t="s">
        <v>709</v>
      </c>
      <c r="C1646" t="s">
        <v>693</v>
      </c>
      <c r="D1646" t="s">
        <v>694</v>
      </c>
      <c r="E1646">
        <v>0</v>
      </c>
      <c r="F1646">
        <v>0</v>
      </c>
      <c r="G1646">
        <v>53.242620909999999</v>
      </c>
      <c r="H1646">
        <v>1193</v>
      </c>
      <c r="I1646">
        <v>8.3224167000000002E-2</v>
      </c>
      <c r="J1646">
        <v>1193</v>
      </c>
      <c r="K1646">
        <v>14334.7785</v>
      </c>
      <c r="L1646">
        <v>0.86199999999999999</v>
      </c>
      <c r="M1646" s="515">
        <v>1</v>
      </c>
      <c r="N1646">
        <v>1</v>
      </c>
      <c r="O1646" t="s">
        <v>620</v>
      </c>
      <c r="P1646">
        <f t="shared" si="227"/>
        <v>16.551392409999998</v>
      </c>
      <c r="Q1646">
        <f t="shared" si="228"/>
        <v>4.0000000000000001E-3</v>
      </c>
      <c r="R1646">
        <f t="shared" si="229"/>
        <v>1.2E-2</v>
      </c>
      <c r="S1646">
        <f t="shared" si="230"/>
        <v>0.86199999999999999</v>
      </c>
      <c r="T1646">
        <f t="shared" si="231"/>
        <v>2.3387500000000001</v>
      </c>
      <c r="U1646">
        <f t="shared" si="232"/>
        <v>8.880811542</v>
      </c>
      <c r="V1646">
        <f t="shared" si="233"/>
        <v>2.9000000000000001E-2</v>
      </c>
      <c r="W1646">
        <f t="shared" si="234"/>
        <v>5.1076923076923055E-2</v>
      </c>
      <c r="X1646">
        <f t="shared" si="235"/>
        <v>0.91900000000000004</v>
      </c>
      <c r="Y1646">
        <v>124.4522214</v>
      </c>
      <c r="Z1646">
        <v>0</v>
      </c>
      <c r="AA1646">
        <v>56865</v>
      </c>
      <c r="AB1646">
        <v>22398</v>
      </c>
      <c r="AC1646">
        <v>1.1143686E-2</v>
      </c>
      <c r="AD1646">
        <v>0.81944707100000003</v>
      </c>
      <c r="AF1646">
        <v>16.551392409999998</v>
      </c>
      <c r="AG1646">
        <v>4.0000000000000001E-3</v>
      </c>
      <c r="AH1646">
        <v>1.2E-2</v>
      </c>
      <c r="AI1646">
        <v>0.86199999999999999</v>
      </c>
      <c r="AJ1646">
        <v>2.3387500000000001</v>
      </c>
      <c r="AK1646">
        <v>8.880811542</v>
      </c>
      <c r="AL1646">
        <v>2.9000000000000001E-2</v>
      </c>
      <c r="AM1646">
        <v>0</v>
      </c>
      <c r="AN1646">
        <v>0.91900000000000004</v>
      </c>
    </row>
    <row r="1647" spans="1:40">
      <c r="A1647">
        <v>3715</v>
      </c>
      <c r="B1647" t="s">
        <v>709</v>
      </c>
      <c r="C1647" t="s">
        <v>693</v>
      </c>
      <c r="D1647" t="s">
        <v>694</v>
      </c>
      <c r="E1647">
        <v>465</v>
      </c>
      <c r="F1647">
        <v>1580</v>
      </c>
      <c r="G1647">
        <v>27.89114326</v>
      </c>
      <c r="H1647">
        <v>0</v>
      </c>
      <c r="I1647">
        <v>4.3595577000000003E-2</v>
      </c>
      <c r="J1647">
        <v>1580</v>
      </c>
      <c r="K1647">
        <v>36242.208700000003</v>
      </c>
      <c r="L1647">
        <v>0.746</v>
      </c>
      <c r="M1647">
        <v>0</v>
      </c>
      <c r="N1647">
        <v>1</v>
      </c>
      <c r="O1647" t="s">
        <v>620</v>
      </c>
      <c r="P1647">
        <f t="shared" si="227"/>
        <v>12.963461540000001</v>
      </c>
      <c r="Q1647">
        <f t="shared" si="228"/>
        <v>6.4000000000000001E-2</v>
      </c>
      <c r="R1647">
        <f t="shared" si="229"/>
        <v>1.7999999999999999E-2</v>
      </c>
      <c r="S1647">
        <f t="shared" si="230"/>
        <v>0.746</v>
      </c>
      <c r="T1647">
        <f t="shared" si="231"/>
        <v>2.400833333</v>
      </c>
      <c r="U1647">
        <f t="shared" si="232"/>
        <v>7.1932064130000004</v>
      </c>
      <c r="V1647">
        <f t="shared" si="233"/>
        <v>6.6000000000000003E-2</v>
      </c>
      <c r="W1647">
        <f t="shared" si="234"/>
        <v>9.1999999999999998E-2</v>
      </c>
      <c r="X1647">
        <f t="shared" si="235"/>
        <v>0.68400000000000005</v>
      </c>
      <c r="Y1647">
        <v>124.33997789999999</v>
      </c>
      <c r="Z1647">
        <v>0</v>
      </c>
      <c r="AA1647">
        <v>56865</v>
      </c>
      <c r="AB1647">
        <v>22398</v>
      </c>
      <c r="AC1647">
        <v>1.1143686E-2</v>
      </c>
      <c r="AD1647">
        <v>0.81944707100000003</v>
      </c>
      <c r="AF1647">
        <v>12.963461540000001</v>
      </c>
      <c r="AG1647">
        <v>6.4000000000000001E-2</v>
      </c>
      <c r="AH1647">
        <v>1.7999999999999999E-2</v>
      </c>
      <c r="AI1647">
        <v>0.746</v>
      </c>
      <c r="AJ1647">
        <v>2.400833333</v>
      </c>
      <c r="AK1647">
        <v>7.1932064130000004</v>
      </c>
      <c r="AL1647">
        <v>6.6000000000000003E-2</v>
      </c>
      <c r="AM1647">
        <v>9.1999999999999998E-2</v>
      </c>
      <c r="AN1647">
        <v>0.68400000000000005</v>
      </c>
    </row>
    <row r="1648" spans="1:40">
      <c r="A1648">
        <v>3716</v>
      </c>
      <c r="B1648" t="s">
        <v>709</v>
      </c>
      <c r="C1648" t="s">
        <v>693</v>
      </c>
      <c r="D1648" t="s">
        <v>694</v>
      </c>
      <c r="E1648">
        <v>0</v>
      </c>
      <c r="F1648">
        <v>0</v>
      </c>
      <c r="G1648">
        <v>29.764889</v>
      </c>
      <c r="H1648">
        <v>545</v>
      </c>
      <c r="I1648">
        <v>4.6524098999999999E-2</v>
      </c>
      <c r="J1648">
        <v>545</v>
      </c>
      <c r="K1648">
        <v>11714.359049999999</v>
      </c>
      <c r="L1648">
        <v>0.86599999999999999</v>
      </c>
      <c r="M1648" s="515">
        <v>1</v>
      </c>
      <c r="N1648">
        <v>0</v>
      </c>
      <c r="O1648" t="s">
        <v>620</v>
      </c>
      <c r="P1648">
        <f t="shared" si="227"/>
        <v>12.46758621</v>
      </c>
      <c r="Q1648">
        <f t="shared" si="228"/>
        <v>8.9999999999999993E-3</v>
      </c>
      <c r="R1648">
        <f t="shared" si="229"/>
        <v>7.0000000000000001E-3</v>
      </c>
      <c r="S1648">
        <f t="shared" si="230"/>
        <v>0.86599999999999999</v>
      </c>
      <c r="T1648">
        <f t="shared" si="231"/>
        <v>1.649</v>
      </c>
      <c r="U1648">
        <f t="shared" si="232"/>
        <v>7.2417009490000002</v>
      </c>
      <c r="V1648">
        <f t="shared" si="233"/>
        <v>4.6644067796610157E-2</v>
      </c>
      <c r="W1648">
        <f t="shared" si="234"/>
        <v>3.3000000000000002E-2</v>
      </c>
      <c r="X1648">
        <f t="shared" si="235"/>
        <v>0.96699999999999997</v>
      </c>
      <c r="Y1648">
        <v>124.3959765</v>
      </c>
      <c r="Z1648">
        <v>0</v>
      </c>
      <c r="AA1648">
        <v>56865</v>
      </c>
      <c r="AB1648">
        <v>22398</v>
      </c>
      <c r="AC1648">
        <v>1.1143686E-2</v>
      </c>
      <c r="AD1648">
        <v>0.81944707100000003</v>
      </c>
      <c r="AF1648">
        <v>12.46758621</v>
      </c>
      <c r="AG1648">
        <v>8.9999999999999993E-3</v>
      </c>
      <c r="AH1648">
        <v>7.0000000000000001E-3</v>
      </c>
      <c r="AI1648">
        <v>0.86599999999999999</v>
      </c>
      <c r="AJ1648">
        <v>1.649</v>
      </c>
      <c r="AK1648">
        <v>7.2417009490000002</v>
      </c>
      <c r="AL1648">
        <v>0</v>
      </c>
      <c r="AM1648">
        <v>3.3000000000000002E-2</v>
      </c>
      <c r="AN1648">
        <v>0.96699999999999997</v>
      </c>
    </row>
    <row r="1649" spans="1:40">
      <c r="A1649">
        <v>3717</v>
      </c>
      <c r="B1649" t="s">
        <v>709</v>
      </c>
      <c r="C1649" t="s">
        <v>693</v>
      </c>
      <c r="D1649" t="s">
        <v>694</v>
      </c>
      <c r="E1649">
        <v>0</v>
      </c>
      <c r="F1649">
        <v>82</v>
      </c>
      <c r="G1649">
        <v>67.602964099999994</v>
      </c>
      <c r="H1649">
        <v>909</v>
      </c>
      <c r="I1649">
        <v>0.105669316</v>
      </c>
      <c r="J1649">
        <v>991</v>
      </c>
      <c r="K1649">
        <v>9378.3137580000002</v>
      </c>
      <c r="L1649">
        <v>0.875</v>
      </c>
      <c r="M1649" s="515">
        <v>1</v>
      </c>
      <c r="N1649">
        <v>0</v>
      </c>
      <c r="O1649" t="s">
        <v>620</v>
      </c>
      <c r="P1649">
        <f t="shared" si="227"/>
        <v>17.296764710000001</v>
      </c>
      <c r="Q1649">
        <f t="shared" si="228"/>
        <v>1E-3</v>
      </c>
      <c r="R1649">
        <f t="shared" si="229"/>
        <v>1.4999999999999999E-2</v>
      </c>
      <c r="S1649">
        <f t="shared" si="230"/>
        <v>0.875</v>
      </c>
      <c r="T1649">
        <f t="shared" si="231"/>
        <v>1.850588235</v>
      </c>
      <c r="U1649">
        <f t="shared" si="232"/>
        <v>7.7710306549999997</v>
      </c>
      <c r="V1649">
        <f t="shared" si="233"/>
        <v>3.9E-2</v>
      </c>
      <c r="W1649">
        <f t="shared" si="234"/>
        <v>5.1076923076923055E-2</v>
      </c>
      <c r="X1649">
        <f t="shared" si="235"/>
        <v>0.88300000000000001</v>
      </c>
      <c r="Y1649">
        <v>121.78097440000001</v>
      </c>
      <c r="Z1649">
        <v>0</v>
      </c>
      <c r="AA1649">
        <v>56865</v>
      </c>
      <c r="AB1649">
        <v>22398</v>
      </c>
      <c r="AC1649">
        <v>1.1143686E-2</v>
      </c>
      <c r="AD1649">
        <v>0.81944707100000003</v>
      </c>
      <c r="AF1649">
        <v>17.296764710000001</v>
      </c>
      <c r="AG1649">
        <v>1E-3</v>
      </c>
      <c r="AH1649">
        <v>1.4999999999999999E-2</v>
      </c>
      <c r="AI1649">
        <v>0.875</v>
      </c>
      <c r="AJ1649">
        <v>1.850588235</v>
      </c>
      <c r="AK1649">
        <v>7.7710306549999997</v>
      </c>
      <c r="AL1649">
        <v>3.9E-2</v>
      </c>
      <c r="AM1649">
        <v>0</v>
      </c>
      <c r="AN1649">
        <v>0.88300000000000001</v>
      </c>
    </row>
    <row r="1650" spans="1:40">
      <c r="A1650">
        <v>3718</v>
      </c>
      <c r="B1650" t="s">
        <v>709</v>
      </c>
      <c r="C1650" t="s">
        <v>693</v>
      </c>
      <c r="D1650" t="s">
        <v>694</v>
      </c>
      <c r="E1650">
        <v>324</v>
      </c>
      <c r="F1650">
        <v>952</v>
      </c>
      <c r="G1650">
        <v>17.062181420000002</v>
      </c>
      <c r="H1650">
        <v>0</v>
      </c>
      <c r="I1650">
        <v>2.6668820999999999E-2</v>
      </c>
      <c r="J1650">
        <v>952</v>
      </c>
      <c r="K1650">
        <v>35697.116119999999</v>
      </c>
      <c r="L1650">
        <v>0.78700000000000003</v>
      </c>
      <c r="M1650">
        <v>0</v>
      </c>
      <c r="N1650">
        <v>0</v>
      </c>
      <c r="O1650" t="s">
        <v>620</v>
      </c>
      <c r="P1650">
        <f t="shared" si="227"/>
        <v>12.57151515</v>
      </c>
      <c r="Q1650">
        <f t="shared" si="228"/>
        <v>2.1999999999999999E-2</v>
      </c>
      <c r="R1650">
        <f t="shared" si="229"/>
        <v>4.0000000000000001E-3</v>
      </c>
      <c r="S1650">
        <f t="shared" si="230"/>
        <v>0.78700000000000003</v>
      </c>
      <c r="T1650">
        <f t="shared" si="231"/>
        <v>1.92</v>
      </c>
      <c r="U1650">
        <f t="shared" si="232"/>
        <v>7.5437119109999999</v>
      </c>
      <c r="V1650">
        <f t="shared" si="233"/>
        <v>4.6644067796610157E-2</v>
      </c>
      <c r="W1650">
        <f t="shared" si="234"/>
        <v>0.108</v>
      </c>
      <c r="X1650">
        <f t="shared" si="235"/>
        <v>0.89200000000000002</v>
      </c>
      <c r="Y1650">
        <v>124.43666519999999</v>
      </c>
      <c r="Z1650">
        <v>0</v>
      </c>
      <c r="AA1650">
        <v>56865</v>
      </c>
      <c r="AB1650">
        <v>22398</v>
      </c>
      <c r="AC1650">
        <v>1.1143686E-2</v>
      </c>
      <c r="AD1650">
        <v>0.81944707100000003</v>
      </c>
      <c r="AF1650">
        <v>12.57151515</v>
      </c>
      <c r="AG1650">
        <v>2.1999999999999999E-2</v>
      </c>
      <c r="AH1650">
        <v>4.0000000000000001E-3</v>
      </c>
      <c r="AI1650">
        <v>0.78700000000000003</v>
      </c>
      <c r="AJ1650">
        <v>1.92</v>
      </c>
      <c r="AK1650">
        <v>7.5437119109999999</v>
      </c>
      <c r="AL1650">
        <v>0</v>
      </c>
      <c r="AM1650">
        <v>0.108</v>
      </c>
      <c r="AN1650">
        <v>0.89200000000000002</v>
      </c>
    </row>
    <row r="1651" spans="1:40">
      <c r="A1651">
        <v>3719</v>
      </c>
      <c r="B1651" t="s">
        <v>709</v>
      </c>
      <c r="C1651" t="s">
        <v>693</v>
      </c>
      <c r="D1651" t="s">
        <v>694</v>
      </c>
      <c r="E1651">
        <v>0</v>
      </c>
      <c r="F1651">
        <v>0</v>
      </c>
      <c r="G1651">
        <v>60.456633349999997</v>
      </c>
      <c r="H1651">
        <v>2618</v>
      </c>
      <c r="I1651">
        <v>9.4497592000000005E-2</v>
      </c>
      <c r="J1651">
        <v>2618</v>
      </c>
      <c r="K1651">
        <v>27704.409650000001</v>
      </c>
      <c r="L1651">
        <v>0.83099999999999996</v>
      </c>
      <c r="M1651" s="515">
        <v>1</v>
      </c>
      <c r="N1651">
        <v>0</v>
      </c>
      <c r="O1651" t="s">
        <v>620</v>
      </c>
      <c r="P1651">
        <f t="shared" si="227"/>
        <v>18.633588240000002</v>
      </c>
      <c r="Q1651">
        <f t="shared" si="228"/>
        <v>6.0000000000000001E-3</v>
      </c>
      <c r="R1651">
        <f t="shared" si="229"/>
        <v>0.02</v>
      </c>
      <c r="S1651">
        <f t="shared" si="230"/>
        <v>0.83099999999999996</v>
      </c>
      <c r="T1651">
        <f t="shared" si="231"/>
        <v>2.2530952379999998</v>
      </c>
      <c r="U1651">
        <f t="shared" si="232"/>
        <v>9.8494134560000006</v>
      </c>
      <c r="V1651">
        <f t="shared" si="233"/>
        <v>4.7E-2</v>
      </c>
      <c r="W1651">
        <f t="shared" si="234"/>
        <v>2.5999999999999999E-2</v>
      </c>
      <c r="X1651">
        <f t="shared" si="235"/>
        <v>0.88100000000000001</v>
      </c>
      <c r="Y1651">
        <v>125.8569387</v>
      </c>
      <c r="Z1651">
        <v>0</v>
      </c>
      <c r="AA1651">
        <v>56865</v>
      </c>
      <c r="AB1651">
        <v>22398</v>
      </c>
      <c r="AC1651">
        <v>1.1143686E-2</v>
      </c>
      <c r="AD1651">
        <v>0.81944707100000003</v>
      </c>
      <c r="AF1651">
        <v>18.633588240000002</v>
      </c>
      <c r="AG1651">
        <v>6.0000000000000001E-3</v>
      </c>
      <c r="AH1651">
        <v>0.02</v>
      </c>
      <c r="AI1651">
        <v>0.83099999999999996</v>
      </c>
      <c r="AJ1651">
        <v>2.2530952379999998</v>
      </c>
      <c r="AK1651">
        <v>9.8494134560000006</v>
      </c>
      <c r="AL1651">
        <v>4.7E-2</v>
      </c>
      <c r="AM1651">
        <v>2.5999999999999999E-2</v>
      </c>
      <c r="AN1651">
        <v>0.88100000000000001</v>
      </c>
    </row>
    <row r="1652" spans="1:40">
      <c r="A1652">
        <v>3720</v>
      </c>
      <c r="B1652" t="s">
        <v>709</v>
      </c>
      <c r="C1652" t="s">
        <v>693</v>
      </c>
      <c r="D1652" t="s">
        <v>694</v>
      </c>
      <c r="E1652">
        <v>390</v>
      </c>
      <c r="F1652">
        <v>390</v>
      </c>
      <c r="G1652">
        <v>26.519877950000001</v>
      </c>
      <c r="H1652">
        <v>384</v>
      </c>
      <c r="I1652">
        <v>4.1458627999999997E-2</v>
      </c>
      <c r="J1652">
        <v>774</v>
      </c>
      <c r="K1652">
        <v>18669.214039999999</v>
      </c>
      <c r="L1652">
        <v>0.77</v>
      </c>
      <c r="M1652">
        <v>0.49612403100000002</v>
      </c>
      <c r="N1652">
        <v>0</v>
      </c>
      <c r="O1652" t="s">
        <v>620</v>
      </c>
      <c r="P1652">
        <f t="shared" si="227"/>
        <v>14.72875</v>
      </c>
      <c r="Q1652">
        <f t="shared" si="228"/>
        <v>1.2E-2</v>
      </c>
      <c r="R1652">
        <f t="shared" si="229"/>
        <v>0.02</v>
      </c>
      <c r="S1652">
        <f t="shared" si="230"/>
        <v>0.77</v>
      </c>
      <c r="T1652">
        <f t="shared" si="231"/>
        <v>1.844545455</v>
      </c>
      <c r="U1652">
        <f t="shared" si="232"/>
        <v>7.8374616289999999</v>
      </c>
      <c r="V1652">
        <f t="shared" si="233"/>
        <v>4.3999999999999997E-2</v>
      </c>
      <c r="W1652">
        <f t="shared" si="234"/>
        <v>5.6000000000000001E-2</v>
      </c>
      <c r="X1652">
        <f t="shared" si="235"/>
        <v>0.88900000000000001</v>
      </c>
      <c r="Y1652">
        <v>126.4017401</v>
      </c>
      <c r="Z1652">
        <v>0</v>
      </c>
      <c r="AA1652">
        <v>56865</v>
      </c>
      <c r="AB1652">
        <v>22398</v>
      </c>
      <c r="AC1652">
        <v>1.1143686E-2</v>
      </c>
      <c r="AD1652">
        <v>0.81944707100000003</v>
      </c>
      <c r="AF1652">
        <v>14.72875</v>
      </c>
      <c r="AG1652">
        <v>1.2E-2</v>
      </c>
      <c r="AH1652">
        <v>0.02</v>
      </c>
      <c r="AI1652">
        <v>0.77</v>
      </c>
      <c r="AJ1652">
        <v>1.844545455</v>
      </c>
      <c r="AK1652">
        <v>7.8374616289999999</v>
      </c>
      <c r="AL1652">
        <v>4.3999999999999997E-2</v>
      </c>
      <c r="AM1652">
        <v>5.6000000000000001E-2</v>
      </c>
      <c r="AN1652">
        <v>0.88900000000000001</v>
      </c>
    </row>
    <row r="1653" spans="1:40">
      <c r="A1653">
        <v>3721</v>
      </c>
      <c r="B1653" t="s">
        <v>709</v>
      </c>
      <c r="C1653" t="s">
        <v>693</v>
      </c>
      <c r="D1653" t="s">
        <v>694</v>
      </c>
      <c r="E1653">
        <v>156</v>
      </c>
      <c r="F1653">
        <v>656</v>
      </c>
      <c r="G1653">
        <v>32.41049211</v>
      </c>
      <c r="H1653">
        <v>0</v>
      </c>
      <c r="I1653">
        <v>5.0663403000000003E-2</v>
      </c>
      <c r="J1653">
        <v>656</v>
      </c>
      <c r="K1653">
        <v>12948.20247</v>
      </c>
      <c r="L1653">
        <v>0.72099999999999997</v>
      </c>
      <c r="M1653">
        <v>0</v>
      </c>
      <c r="N1653">
        <v>0</v>
      </c>
      <c r="O1653" t="s">
        <v>620</v>
      </c>
      <c r="P1653">
        <f t="shared" si="227"/>
        <v>11.942857139999999</v>
      </c>
      <c r="Q1653">
        <f t="shared" si="228"/>
        <v>2.5000000000000001E-2</v>
      </c>
      <c r="R1653">
        <f t="shared" si="229"/>
        <v>2.1999999999999999E-2</v>
      </c>
      <c r="S1653">
        <f t="shared" si="230"/>
        <v>0.72099999999999997</v>
      </c>
      <c r="T1653">
        <f t="shared" si="231"/>
        <v>2.3533333330000001</v>
      </c>
      <c r="U1653">
        <f t="shared" si="232"/>
        <v>6.8506030149999999</v>
      </c>
      <c r="V1653">
        <f t="shared" si="233"/>
        <v>4.6644067796610157E-2</v>
      </c>
      <c r="W1653">
        <f t="shared" si="234"/>
        <v>6.6000000000000003E-2</v>
      </c>
      <c r="X1653">
        <f t="shared" si="235"/>
        <v>0.80300000000000005</v>
      </c>
      <c r="Y1653">
        <v>124.4008778</v>
      </c>
      <c r="Z1653">
        <v>0</v>
      </c>
      <c r="AA1653">
        <v>56865</v>
      </c>
      <c r="AB1653">
        <v>22398</v>
      </c>
      <c r="AC1653">
        <v>1.1143686E-2</v>
      </c>
      <c r="AD1653">
        <v>0.81944707100000003</v>
      </c>
      <c r="AF1653">
        <v>11.942857139999999</v>
      </c>
      <c r="AG1653">
        <v>2.5000000000000001E-2</v>
      </c>
      <c r="AH1653">
        <v>2.1999999999999999E-2</v>
      </c>
      <c r="AI1653">
        <v>0.72099999999999997</v>
      </c>
      <c r="AJ1653">
        <v>2.3533333330000001</v>
      </c>
      <c r="AK1653">
        <v>6.8506030149999999</v>
      </c>
      <c r="AL1653">
        <v>0</v>
      </c>
      <c r="AM1653">
        <v>6.6000000000000003E-2</v>
      </c>
      <c r="AN1653">
        <v>0.80300000000000005</v>
      </c>
    </row>
    <row r="1654" spans="1:40">
      <c r="A1654">
        <v>3722</v>
      </c>
      <c r="B1654" t="s">
        <v>709</v>
      </c>
      <c r="C1654" t="s">
        <v>693</v>
      </c>
      <c r="D1654" t="s">
        <v>694</v>
      </c>
      <c r="E1654">
        <v>0</v>
      </c>
      <c r="F1654">
        <v>65</v>
      </c>
      <c r="G1654">
        <v>110.6781129</v>
      </c>
      <c r="H1654">
        <v>3081</v>
      </c>
      <c r="I1654">
        <v>0.17299751899999999</v>
      </c>
      <c r="J1654">
        <v>3146</v>
      </c>
      <c r="K1654">
        <v>18185.231889999999</v>
      </c>
      <c r="L1654">
        <v>0.85299999999999998</v>
      </c>
      <c r="M1654" s="515">
        <v>1</v>
      </c>
      <c r="N1654">
        <v>0</v>
      </c>
      <c r="O1654" t="s">
        <v>620</v>
      </c>
      <c r="P1654">
        <f t="shared" si="227"/>
        <v>14.352902540000001</v>
      </c>
      <c r="Q1654">
        <f t="shared" si="228"/>
        <v>6.0000000000000001E-3</v>
      </c>
      <c r="R1654">
        <f t="shared" si="229"/>
        <v>4.3999999999999997E-2</v>
      </c>
      <c r="S1654">
        <f t="shared" si="230"/>
        <v>0.85299999999999998</v>
      </c>
      <c r="T1654">
        <f t="shared" si="231"/>
        <v>2.007625</v>
      </c>
      <c r="U1654">
        <f t="shared" si="232"/>
        <v>10.45234447</v>
      </c>
      <c r="V1654">
        <f t="shared" si="233"/>
        <v>4.8000000000000001E-2</v>
      </c>
      <c r="W1654">
        <f t="shared" si="234"/>
        <v>2E-3</v>
      </c>
      <c r="X1654">
        <f t="shared" si="235"/>
        <v>0.90600000000000003</v>
      </c>
      <c r="Y1654">
        <v>189.65094049999999</v>
      </c>
      <c r="Z1654">
        <v>0</v>
      </c>
      <c r="AA1654">
        <v>56865</v>
      </c>
      <c r="AB1654">
        <v>22398</v>
      </c>
      <c r="AC1654">
        <v>1.1143686E-2</v>
      </c>
      <c r="AD1654">
        <v>0.81944707100000003</v>
      </c>
      <c r="AF1654">
        <v>14.352902540000001</v>
      </c>
      <c r="AG1654">
        <v>6.0000000000000001E-3</v>
      </c>
      <c r="AH1654">
        <v>4.3999999999999997E-2</v>
      </c>
      <c r="AI1654">
        <v>0.85299999999999998</v>
      </c>
      <c r="AJ1654">
        <v>2.007625</v>
      </c>
      <c r="AK1654">
        <v>10.45234447</v>
      </c>
      <c r="AL1654">
        <v>4.8000000000000001E-2</v>
      </c>
      <c r="AM1654">
        <v>2E-3</v>
      </c>
      <c r="AN1654">
        <v>0.90600000000000003</v>
      </c>
    </row>
    <row r="1655" spans="1:40">
      <c r="A1655">
        <v>3723</v>
      </c>
      <c r="B1655" t="s">
        <v>709</v>
      </c>
      <c r="C1655" t="s">
        <v>693</v>
      </c>
      <c r="D1655" t="s">
        <v>694</v>
      </c>
      <c r="E1655">
        <v>483</v>
      </c>
      <c r="F1655">
        <v>1916</v>
      </c>
      <c r="G1655">
        <v>158.92312229999999</v>
      </c>
      <c r="H1655">
        <v>0</v>
      </c>
      <c r="I1655">
        <v>0.24840811500000001</v>
      </c>
      <c r="J1655">
        <v>1916</v>
      </c>
      <c r="K1655">
        <v>7713.1135590000004</v>
      </c>
      <c r="L1655">
        <v>0.86399999999999999</v>
      </c>
      <c r="M1655">
        <v>0</v>
      </c>
      <c r="N1655">
        <v>0</v>
      </c>
      <c r="O1655" t="s">
        <v>620</v>
      </c>
      <c r="P1655">
        <f t="shared" si="227"/>
        <v>16.443583329999999</v>
      </c>
      <c r="Q1655">
        <f t="shared" si="228"/>
        <v>6.0000000000000001E-3</v>
      </c>
      <c r="R1655">
        <f t="shared" si="229"/>
        <v>2.1999999999999999E-2</v>
      </c>
      <c r="S1655">
        <f t="shared" si="230"/>
        <v>0.86399999999999999</v>
      </c>
      <c r="T1655">
        <f t="shared" si="231"/>
        <v>1.8835714290000001</v>
      </c>
      <c r="U1655">
        <f t="shared" si="232"/>
        <v>8.7949183299999998</v>
      </c>
      <c r="V1655">
        <f t="shared" si="233"/>
        <v>4.6644067796610157E-2</v>
      </c>
      <c r="W1655">
        <f t="shared" si="234"/>
        <v>3.2000000000000001E-2</v>
      </c>
      <c r="X1655">
        <f t="shared" si="235"/>
        <v>0.95199999999999996</v>
      </c>
      <c r="Y1655">
        <v>187.4526209</v>
      </c>
      <c r="Z1655">
        <v>0</v>
      </c>
      <c r="AA1655">
        <v>56865</v>
      </c>
      <c r="AB1655">
        <v>22398</v>
      </c>
      <c r="AC1655">
        <v>1.1143686E-2</v>
      </c>
      <c r="AD1655">
        <v>0.81944707100000003</v>
      </c>
      <c r="AF1655">
        <v>16.443583329999999</v>
      </c>
      <c r="AG1655">
        <v>6.0000000000000001E-3</v>
      </c>
      <c r="AH1655">
        <v>2.1999999999999999E-2</v>
      </c>
      <c r="AI1655">
        <v>0.86399999999999999</v>
      </c>
      <c r="AJ1655">
        <v>1.8835714290000001</v>
      </c>
      <c r="AK1655">
        <v>8.7949183299999998</v>
      </c>
      <c r="AL1655">
        <v>0</v>
      </c>
      <c r="AM1655">
        <v>3.2000000000000001E-2</v>
      </c>
      <c r="AN1655">
        <v>0.95199999999999996</v>
      </c>
    </row>
    <row r="1656" spans="1:40">
      <c r="A1656">
        <v>3724</v>
      </c>
      <c r="B1656" t="s">
        <v>709</v>
      </c>
      <c r="C1656" t="s">
        <v>693</v>
      </c>
      <c r="D1656" t="s">
        <v>694</v>
      </c>
      <c r="E1656">
        <v>368</v>
      </c>
      <c r="F1656">
        <v>1024</v>
      </c>
      <c r="G1656">
        <v>19.369223689999998</v>
      </c>
      <c r="H1656">
        <v>0</v>
      </c>
      <c r="I1656">
        <v>3.0276362000000001E-2</v>
      </c>
      <c r="J1656">
        <v>1024</v>
      </c>
      <c r="K1656">
        <v>33821.76498</v>
      </c>
      <c r="L1656">
        <v>0.82299999999999995</v>
      </c>
      <c r="M1656">
        <v>0</v>
      </c>
      <c r="N1656">
        <v>0</v>
      </c>
      <c r="O1656" t="s">
        <v>620</v>
      </c>
      <c r="P1656">
        <f t="shared" si="227"/>
        <v>15.431379310000001</v>
      </c>
      <c r="Q1656">
        <f t="shared" si="228"/>
        <v>1.0999999999999999E-2</v>
      </c>
      <c r="R1656">
        <f t="shared" si="229"/>
        <v>1.0999999999999999E-2</v>
      </c>
      <c r="S1656">
        <f t="shared" si="230"/>
        <v>0.82299999999999995</v>
      </c>
      <c r="T1656">
        <f t="shared" si="231"/>
        <v>3.076666667</v>
      </c>
      <c r="U1656">
        <f t="shared" si="232"/>
        <v>7.5669197400000003</v>
      </c>
      <c r="V1656">
        <f t="shared" si="233"/>
        <v>4.6644067796610157E-2</v>
      </c>
      <c r="W1656">
        <f t="shared" si="234"/>
        <v>6.2E-2</v>
      </c>
      <c r="X1656">
        <f t="shared" si="235"/>
        <v>0.89200000000000002</v>
      </c>
      <c r="Y1656">
        <v>189.2253551</v>
      </c>
      <c r="Z1656">
        <v>0</v>
      </c>
      <c r="AA1656">
        <v>56865</v>
      </c>
      <c r="AB1656">
        <v>22398</v>
      </c>
      <c r="AC1656">
        <v>1.1143686E-2</v>
      </c>
      <c r="AD1656">
        <v>0.81944707100000003</v>
      </c>
      <c r="AF1656">
        <v>15.431379310000001</v>
      </c>
      <c r="AG1656">
        <v>1.0999999999999999E-2</v>
      </c>
      <c r="AH1656">
        <v>1.0999999999999999E-2</v>
      </c>
      <c r="AI1656">
        <v>0.82299999999999995</v>
      </c>
      <c r="AJ1656">
        <v>3.076666667</v>
      </c>
      <c r="AK1656">
        <v>7.5669197400000003</v>
      </c>
      <c r="AL1656">
        <v>0</v>
      </c>
      <c r="AM1656">
        <v>6.2E-2</v>
      </c>
      <c r="AN1656">
        <v>0.89200000000000002</v>
      </c>
    </row>
    <row r="1657" spans="1:40">
      <c r="A1657">
        <v>3725</v>
      </c>
      <c r="B1657" t="s">
        <v>709</v>
      </c>
      <c r="C1657" t="s">
        <v>693</v>
      </c>
      <c r="D1657" t="s">
        <v>694</v>
      </c>
      <c r="E1657">
        <v>165</v>
      </c>
      <c r="F1657">
        <v>781</v>
      </c>
      <c r="G1657">
        <v>37.731516999999997</v>
      </c>
      <c r="H1657">
        <v>0</v>
      </c>
      <c r="I1657">
        <v>5.8985229E-2</v>
      </c>
      <c r="J1657">
        <v>781</v>
      </c>
      <c r="K1657">
        <v>13240.602999999999</v>
      </c>
      <c r="L1657">
        <v>0.80300000000000005</v>
      </c>
      <c r="M1657">
        <v>0</v>
      </c>
      <c r="N1657">
        <v>0</v>
      </c>
      <c r="O1657" t="s">
        <v>620</v>
      </c>
      <c r="P1657">
        <f t="shared" si="227"/>
        <v>12.025606059999999</v>
      </c>
      <c r="Q1657">
        <f t="shared" si="228"/>
        <v>0.02</v>
      </c>
      <c r="R1657">
        <f t="shared" si="229"/>
        <v>4.7E-2</v>
      </c>
      <c r="S1657">
        <f t="shared" si="230"/>
        <v>0.80300000000000005</v>
      </c>
      <c r="T1657">
        <f t="shared" si="231"/>
        <v>2.3849999999999998</v>
      </c>
      <c r="U1657">
        <f t="shared" si="232"/>
        <v>8.2547999999999995</v>
      </c>
      <c r="V1657">
        <f t="shared" si="233"/>
        <v>4.6644067796610157E-2</v>
      </c>
      <c r="W1657">
        <f t="shared" si="234"/>
        <v>4.1000000000000002E-2</v>
      </c>
      <c r="X1657">
        <f t="shared" si="235"/>
        <v>0.89200000000000002</v>
      </c>
      <c r="Y1657">
        <v>189.771749</v>
      </c>
      <c r="Z1657">
        <v>0</v>
      </c>
      <c r="AA1657">
        <v>56865</v>
      </c>
      <c r="AB1657">
        <v>22398</v>
      </c>
      <c r="AC1657">
        <v>1.1143686E-2</v>
      </c>
      <c r="AD1657">
        <v>0.81944707100000003</v>
      </c>
      <c r="AF1657">
        <v>12.025606059999999</v>
      </c>
      <c r="AG1657">
        <v>0.02</v>
      </c>
      <c r="AH1657">
        <v>4.7E-2</v>
      </c>
      <c r="AI1657">
        <v>0.80300000000000005</v>
      </c>
      <c r="AJ1657">
        <v>2.3849999999999998</v>
      </c>
      <c r="AK1657">
        <v>8.2547999999999995</v>
      </c>
      <c r="AL1657">
        <v>0</v>
      </c>
      <c r="AM1657">
        <v>4.1000000000000002E-2</v>
      </c>
      <c r="AN1657">
        <v>0.89200000000000002</v>
      </c>
    </row>
    <row r="1658" spans="1:40">
      <c r="A1658">
        <v>3726</v>
      </c>
      <c r="B1658" t="s">
        <v>709</v>
      </c>
      <c r="C1658" t="s">
        <v>693</v>
      </c>
      <c r="D1658" t="s">
        <v>694</v>
      </c>
      <c r="E1658">
        <v>793</v>
      </c>
      <c r="F1658">
        <v>793</v>
      </c>
      <c r="G1658">
        <v>85.123875830000003</v>
      </c>
      <c r="H1658">
        <v>0</v>
      </c>
      <c r="I1658">
        <v>0.13307063</v>
      </c>
      <c r="J1658">
        <v>793</v>
      </c>
      <c r="K1658">
        <v>5959.241344</v>
      </c>
      <c r="L1658">
        <v>0.72899999999999998</v>
      </c>
      <c r="M1658">
        <v>0</v>
      </c>
      <c r="N1658">
        <v>0</v>
      </c>
      <c r="O1658" t="s">
        <v>625</v>
      </c>
      <c r="P1658">
        <f t="shared" si="227"/>
        <v>16.054038460000001</v>
      </c>
      <c r="Q1658">
        <f t="shared" si="228"/>
        <v>4.0000000000000001E-3</v>
      </c>
      <c r="R1658">
        <f t="shared" si="229"/>
        <v>3.2000000000000001E-2</v>
      </c>
      <c r="S1658">
        <f t="shared" si="230"/>
        <v>0.72899999999999998</v>
      </c>
      <c r="T1658">
        <f t="shared" si="231"/>
        <v>1.27125</v>
      </c>
      <c r="U1658">
        <f t="shared" si="232"/>
        <v>6.5307419099999997</v>
      </c>
      <c r="V1658">
        <f t="shared" si="233"/>
        <v>1.7999999999999999E-2</v>
      </c>
      <c r="W1658">
        <f t="shared" si="234"/>
        <v>3.5999999999999997E-2</v>
      </c>
      <c r="X1658">
        <f t="shared" si="235"/>
        <v>0.92900000000000005</v>
      </c>
      <c r="Y1658">
        <v>100.2713595</v>
      </c>
      <c r="Z1658">
        <v>0</v>
      </c>
      <c r="AA1658">
        <v>56865</v>
      </c>
      <c r="AB1658">
        <v>22398</v>
      </c>
      <c r="AC1658">
        <v>1.1143686E-2</v>
      </c>
      <c r="AD1658">
        <v>0.81944707100000003</v>
      </c>
      <c r="AF1658">
        <v>16.054038460000001</v>
      </c>
      <c r="AG1658">
        <v>4.0000000000000001E-3</v>
      </c>
      <c r="AH1658">
        <v>3.2000000000000001E-2</v>
      </c>
      <c r="AI1658">
        <v>0.72899999999999998</v>
      </c>
      <c r="AJ1658">
        <v>1.27125</v>
      </c>
      <c r="AK1658">
        <v>6.5307419099999997</v>
      </c>
      <c r="AL1658">
        <v>1.7999999999999999E-2</v>
      </c>
      <c r="AM1658">
        <v>3.5999999999999997E-2</v>
      </c>
      <c r="AN1658">
        <v>0.92900000000000005</v>
      </c>
    </row>
    <row r="1659" spans="1:40">
      <c r="A1659">
        <v>3727</v>
      </c>
      <c r="B1659" t="s">
        <v>709</v>
      </c>
      <c r="C1659" t="s">
        <v>693</v>
      </c>
      <c r="D1659" t="s">
        <v>694</v>
      </c>
      <c r="E1659">
        <v>85</v>
      </c>
      <c r="F1659">
        <v>624</v>
      </c>
      <c r="G1659">
        <v>16.065772540000001</v>
      </c>
      <c r="H1659">
        <v>0</v>
      </c>
      <c r="I1659">
        <v>2.51159E-2</v>
      </c>
      <c r="J1659">
        <v>624</v>
      </c>
      <c r="K1659">
        <v>24844.81942</v>
      </c>
      <c r="L1659">
        <v>0.79200000000000004</v>
      </c>
      <c r="M1659">
        <v>0</v>
      </c>
      <c r="N1659">
        <v>0</v>
      </c>
      <c r="O1659" t="s">
        <v>620</v>
      </c>
      <c r="P1659">
        <f t="shared" si="227"/>
        <v>20.775500000000001</v>
      </c>
      <c r="Q1659">
        <f t="shared" si="228"/>
        <v>5.1999999999999998E-2</v>
      </c>
      <c r="R1659">
        <f t="shared" si="229"/>
        <v>2.8000000000000001E-2</v>
      </c>
      <c r="S1659">
        <f t="shared" si="230"/>
        <v>0.79200000000000004</v>
      </c>
      <c r="T1659">
        <f t="shared" si="231"/>
        <v>3.8962500000000002</v>
      </c>
      <c r="U1659">
        <f t="shared" si="232"/>
        <v>10.54795238</v>
      </c>
      <c r="V1659">
        <f t="shared" si="233"/>
        <v>0.1</v>
      </c>
      <c r="W1659">
        <f t="shared" si="234"/>
        <v>0.15</v>
      </c>
      <c r="X1659">
        <f t="shared" si="235"/>
        <v>0.75</v>
      </c>
      <c r="Y1659">
        <v>22.775772660000001</v>
      </c>
      <c r="Z1659">
        <v>0</v>
      </c>
      <c r="AA1659">
        <v>56865</v>
      </c>
      <c r="AB1659">
        <v>22398</v>
      </c>
      <c r="AC1659">
        <v>1.1143686E-2</v>
      </c>
      <c r="AD1659">
        <v>0.81944707100000003</v>
      </c>
      <c r="AF1659">
        <v>20.775500000000001</v>
      </c>
      <c r="AG1659">
        <v>5.1999999999999998E-2</v>
      </c>
      <c r="AH1659">
        <v>2.8000000000000001E-2</v>
      </c>
      <c r="AI1659">
        <v>0.79200000000000004</v>
      </c>
      <c r="AJ1659">
        <v>3.8962500000000002</v>
      </c>
      <c r="AK1659">
        <v>10.54795238</v>
      </c>
      <c r="AL1659">
        <v>0.1</v>
      </c>
      <c r="AM1659">
        <v>0.15</v>
      </c>
      <c r="AN1659">
        <v>0.75</v>
      </c>
    </row>
    <row r="1660" spans="1:40">
      <c r="A1660">
        <v>3728</v>
      </c>
      <c r="B1660" t="s">
        <v>698</v>
      </c>
      <c r="C1660" t="s">
        <v>693</v>
      </c>
      <c r="D1660" t="s">
        <v>694</v>
      </c>
      <c r="E1660">
        <v>77</v>
      </c>
      <c r="F1660">
        <v>391</v>
      </c>
      <c r="G1660">
        <v>224.470551</v>
      </c>
      <c r="H1660">
        <v>1292</v>
      </c>
      <c r="I1660">
        <v>0.35088060799999998</v>
      </c>
      <c r="J1660">
        <v>1683</v>
      </c>
      <c r="K1660">
        <v>4796.5033169999997</v>
      </c>
      <c r="L1660">
        <v>0.88300000000000001</v>
      </c>
      <c r="M1660">
        <v>0.94375456499999999</v>
      </c>
      <c r="N1660">
        <v>0</v>
      </c>
      <c r="O1660" t="s">
        <v>625</v>
      </c>
      <c r="P1660">
        <f t="shared" si="227"/>
        <v>19.662432429999999</v>
      </c>
      <c r="Q1660">
        <f t="shared" si="228"/>
        <v>1.2999999999999999E-2</v>
      </c>
      <c r="R1660">
        <f t="shared" si="229"/>
        <v>6.0000000000000001E-3</v>
      </c>
      <c r="S1660">
        <f t="shared" si="230"/>
        <v>0.88300000000000001</v>
      </c>
      <c r="T1660">
        <f t="shared" si="231"/>
        <v>1.365</v>
      </c>
      <c r="U1660">
        <f t="shared" si="232"/>
        <v>12.405995320000001</v>
      </c>
      <c r="V1660">
        <f t="shared" si="233"/>
        <v>4.0705882352941189E-2</v>
      </c>
      <c r="W1660">
        <f t="shared" si="234"/>
        <v>3.6999999999999998E-2</v>
      </c>
      <c r="X1660">
        <f t="shared" si="235"/>
        <v>0.94899999999999995</v>
      </c>
      <c r="Y1660">
        <v>22.67924086</v>
      </c>
      <c r="Z1660">
        <v>0</v>
      </c>
      <c r="AA1660">
        <v>88250</v>
      </c>
      <c r="AB1660">
        <v>31723</v>
      </c>
      <c r="AC1660">
        <v>1.0795895999999999E-2</v>
      </c>
      <c r="AD1660">
        <v>0.817760245</v>
      </c>
      <c r="AF1660">
        <v>19.662432429999999</v>
      </c>
      <c r="AG1660">
        <v>1.2999999999999999E-2</v>
      </c>
      <c r="AH1660">
        <v>6.0000000000000001E-3</v>
      </c>
      <c r="AI1660">
        <v>0.88300000000000001</v>
      </c>
      <c r="AJ1660">
        <v>1.365</v>
      </c>
      <c r="AK1660">
        <v>12.405995320000001</v>
      </c>
      <c r="AL1660">
        <v>0</v>
      </c>
      <c r="AM1660">
        <v>3.6999999999999998E-2</v>
      </c>
      <c r="AN1660">
        <v>0.94899999999999995</v>
      </c>
    </row>
    <row r="1661" spans="1:40">
      <c r="A1661">
        <v>3729</v>
      </c>
      <c r="B1661" t="s">
        <v>698</v>
      </c>
      <c r="C1661" t="s">
        <v>693</v>
      </c>
      <c r="D1661" t="s">
        <v>694</v>
      </c>
      <c r="E1661">
        <v>0</v>
      </c>
      <c r="F1661">
        <v>36</v>
      </c>
      <c r="G1661">
        <v>118.64935319999999</v>
      </c>
      <c r="H1661">
        <v>780</v>
      </c>
      <c r="I1661">
        <v>0.18545629</v>
      </c>
      <c r="J1661">
        <v>816</v>
      </c>
      <c r="K1661">
        <v>4399.9586099999997</v>
      </c>
      <c r="L1661">
        <v>0.89600000000000002</v>
      </c>
      <c r="M1661" s="515">
        <v>1</v>
      </c>
      <c r="N1661">
        <v>0</v>
      </c>
      <c r="O1661" t="s">
        <v>620</v>
      </c>
      <c r="P1661">
        <f t="shared" si="227"/>
        <v>17.150086210000001</v>
      </c>
      <c r="Q1661">
        <f t="shared" si="228"/>
        <v>4.0000000000000001E-3</v>
      </c>
      <c r="R1661">
        <f t="shared" si="229"/>
        <v>1.4999999999999999E-2</v>
      </c>
      <c r="S1661">
        <f t="shared" si="230"/>
        <v>0.89600000000000002</v>
      </c>
      <c r="T1661">
        <f t="shared" si="231"/>
        <v>2.99</v>
      </c>
      <c r="U1661">
        <f t="shared" si="232"/>
        <v>10.15468121</v>
      </c>
      <c r="V1661">
        <f t="shared" si="233"/>
        <v>2.4E-2</v>
      </c>
      <c r="W1661">
        <f t="shared" si="234"/>
        <v>1.6E-2</v>
      </c>
      <c r="X1661">
        <f t="shared" si="235"/>
        <v>0.94299999999999995</v>
      </c>
      <c r="Y1661">
        <v>22.70449867</v>
      </c>
      <c r="Z1661">
        <v>0</v>
      </c>
      <c r="AA1661">
        <v>88250</v>
      </c>
      <c r="AB1661">
        <v>31723</v>
      </c>
      <c r="AC1661">
        <v>1.0795895999999999E-2</v>
      </c>
      <c r="AD1661">
        <v>0.817760245</v>
      </c>
      <c r="AF1661">
        <v>17.150086210000001</v>
      </c>
      <c r="AG1661">
        <v>4.0000000000000001E-3</v>
      </c>
      <c r="AH1661">
        <v>1.4999999999999999E-2</v>
      </c>
      <c r="AI1661">
        <v>0.89600000000000002</v>
      </c>
      <c r="AJ1661">
        <v>2.99</v>
      </c>
      <c r="AK1661">
        <v>10.15468121</v>
      </c>
      <c r="AL1661">
        <v>2.4E-2</v>
      </c>
      <c r="AM1661">
        <v>1.6E-2</v>
      </c>
      <c r="AN1661">
        <v>0.94299999999999995</v>
      </c>
    </row>
    <row r="1662" spans="1:40">
      <c r="A1662">
        <v>3730</v>
      </c>
      <c r="B1662" t="s">
        <v>709</v>
      </c>
      <c r="C1662" t="s">
        <v>693</v>
      </c>
      <c r="D1662" t="s">
        <v>694</v>
      </c>
      <c r="E1662">
        <v>101</v>
      </c>
      <c r="F1662">
        <v>211</v>
      </c>
      <c r="G1662">
        <v>263.7252416</v>
      </c>
      <c r="H1662">
        <v>0</v>
      </c>
      <c r="I1662">
        <v>0.41219942199999998</v>
      </c>
      <c r="J1662">
        <v>211</v>
      </c>
      <c r="K1662">
        <v>511.88815110000002</v>
      </c>
      <c r="L1662">
        <v>0.88</v>
      </c>
      <c r="M1662">
        <v>0</v>
      </c>
      <c r="N1662">
        <v>0</v>
      </c>
      <c r="O1662" t="s">
        <v>625</v>
      </c>
      <c r="P1662">
        <f t="shared" si="227"/>
        <v>22.341428570000001</v>
      </c>
      <c r="Q1662">
        <f t="shared" si="228"/>
        <v>1.4E-2</v>
      </c>
      <c r="R1662">
        <f t="shared" si="229"/>
        <v>5.6000000000000001E-2</v>
      </c>
      <c r="S1662">
        <f t="shared" si="230"/>
        <v>0.88</v>
      </c>
      <c r="T1662">
        <f t="shared" si="231"/>
        <v>1.3787499999999999</v>
      </c>
      <c r="U1662">
        <f t="shared" si="232"/>
        <v>14.28776</v>
      </c>
      <c r="V1662">
        <f t="shared" si="233"/>
        <v>4.6644067796610157E-2</v>
      </c>
      <c r="W1662">
        <f t="shared" si="234"/>
        <v>6.7000000000000004E-2</v>
      </c>
      <c r="X1662">
        <f t="shared" si="235"/>
        <v>0.93300000000000005</v>
      </c>
      <c r="Y1662">
        <v>54.990343199999998</v>
      </c>
      <c r="Z1662">
        <v>0</v>
      </c>
      <c r="AA1662">
        <v>56865</v>
      </c>
      <c r="AB1662">
        <v>22398</v>
      </c>
      <c r="AC1662">
        <v>1.1143686E-2</v>
      </c>
      <c r="AD1662">
        <v>0.81944707100000003</v>
      </c>
      <c r="AF1662">
        <v>22.341428570000001</v>
      </c>
      <c r="AG1662">
        <v>1.4E-2</v>
      </c>
      <c r="AH1662">
        <v>5.6000000000000001E-2</v>
      </c>
      <c r="AI1662">
        <v>0.88</v>
      </c>
      <c r="AJ1662">
        <v>1.3787499999999999</v>
      </c>
      <c r="AK1662">
        <v>14.28776</v>
      </c>
      <c r="AL1662">
        <v>0</v>
      </c>
      <c r="AM1662">
        <v>6.7000000000000004E-2</v>
      </c>
      <c r="AN1662">
        <v>0.93300000000000005</v>
      </c>
    </row>
    <row r="1663" spans="1:40">
      <c r="A1663">
        <v>3731</v>
      </c>
      <c r="B1663" t="s">
        <v>709</v>
      </c>
      <c r="C1663" t="s">
        <v>693</v>
      </c>
      <c r="D1663" t="s">
        <v>694</v>
      </c>
      <c r="E1663">
        <v>392</v>
      </c>
      <c r="F1663">
        <v>404</v>
      </c>
      <c r="G1663">
        <v>70.317300869999997</v>
      </c>
      <c r="H1663">
        <v>0</v>
      </c>
      <c r="I1663">
        <v>0.109926944</v>
      </c>
      <c r="J1663">
        <v>404</v>
      </c>
      <c r="K1663">
        <v>3675.1681189999999</v>
      </c>
      <c r="L1663">
        <v>0.81100000000000005</v>
      </c>
      <c r="M1663">
        <v>0</v>
      </c>
      <c r="N1663">
        <v>0</v>
      </c>
      <c r="O1663" t="s">
        <v>625</v>
      </c>
      <c r="P1663">
        <f t="shared" si="227"/>
        <v>14.65857143</v>
      </c>
      <c r="Q1663">
        <f t="shared" si="228"/>
        <v>6.0000000000000001E-3</v>
      </c>
      <c r="R1663">
        <f t="shared" si="229"/>
        <v>6.0000000000000001E-3</v>
      </c>
      <c r="S1663">
        <f t="shared" si="230"/>
        <v>0.81100000000000005</v>
      </c>
      <c r="T1663">
        <f t="shared" si="231"/>
        <v>2.1749999999999998</v>
      </c>
      <c r="U1663">
        <f t="shared" si="232"/>
        <v>8.1585992219999994</v>
      </c>
      <c r="V1663">
        <f t="shared" si="233"/>
        <v>4.6644067796610157E-2</v>
      </c>
      <c r="W1663">
        <f t="shared" si="234"/>
        <v>6.7000000000000004E-2</v>
      </c>
      <c r="X1663">
        <f t="shared" si="235"/>
        <v>0.93300000000000005</v>
      </c>
      <c r="Y1663">
        <v>54.990343199999998</v>
      </c>
      <c r="Z1663">
        <v>0</v>
      </c>
      <c r="AA1663">
        <v>56865</v>
      </c>
      <c r="AB1663">
        <v>22398</v>
      </c>
      <c r="AC1663">
        <v>1.1143686E-2</v>
      </c>
      <c r="AD1663">
        <v>0.81944707100000003</v>
      </c>
      <c r="AF1663">
        <v>14.65857143</v>
      </c>
      <c r="AG1663">
        <v>6.0000000000000001E-3</v>
      </c>
      <c r="AH1663">
        <v>6.0000000000000001E-3</v>
      </c>
      <c r="AI1663">
        <v>0.81100000000000005</v>
      </c>
      <c r="AJ1663">
        <v>2.1749999999999998</v>
      </c>
      <c r="AK1663">
        <v>8.1585992219999994</v>
      </c>
      <c r="AL1663">
        <v>0</v>
      </c>
      <c r="AM1663">
        <v>6.7000000000000004E-2</v>
      </c>
      <c r="AN1663">
        <v>0.93300000000000005</v>
      </c>
    </row>
    <row r="1664" spans="1:40">
      <c r="A1664">
        <v>3732</v>
      </c>
      <c r="B1664" t="s">
        <v>698</v>
      </c>
      <c r="C1664" t="s">
        <v>693</v>
      </c>
      <c r="D1664" t="s">
        <v>694</v>
      </c>
      <c r="E1664">
        <v>0</v>
      </c>
      <c r="F1664">
        <v>27</v>
      </c>
      <c r="G1664">
        <v>87.477800970000004</v>
      </c>
      <c r="H1664">
        <v>917</v>
      </c>
      <c r="I1664">
        <v>0.136739418</v>
      </c>
      <c r="J1664">
        <v>944</v>
      </c>
      <c r="K1664">
        <v>6903.6420790000002</v>
      </c>
      <c r="L1664">
        <v>0.90400000000000003</v>
      </c>
      <c r="M1664" s="515">
        <v>1</v>
      </c>
      <c r="N1664">
        <v>0</v>
      </c>
      <c r="O1664" t="s">
        <v>620</v>
      </c>
      <c r="P1664">
        <f t="shared" si="227"/>
        <v>18.413797469999999</v>
      </c>
      <c r="Q1664">
        <f t="shared" si="228"/>
        <v>4.0000000000000001E-3</v>
      </c>
      <c r="R1664">
        <f t="shared" si="229"/>
        <v>2E-3</v>
      </c>
      <c r="S1664">
        <f t="shared" si="230"/>
        <v>0.90400000000000003</v>
      </c>
      <c r="T1664">
        <f t="shared" si="231"/>
        <v>2.6850000000000001</v>
      </c>
      <c r="U1664">
        <f t="shared" si="232"/>
        <v>9.5659817349999994</v>
      </c>
      <c r="V1664">
        <f t="shared" si="233"/>
        <v>4.0705882352941189E-2</v>
      </c>
      <c r="W1664">
        <f t="shared" si="234"/>
        <v>2.5000000000000001E-2</v>
      </c>
      <c r="X1664">
        <f t="shared" si="235"/>
        <v>0.97499999999999998</v>
      </c>
      <c r="Y1664">
        <v>23.953458260000001</v>
      </c>
      <c r="Z1664">
        <v>0</v>
      </c>
      <c r="AA1664">
        <v>88250</v>
      </c>
      <c r="AB1664">
        <v>31723</v>
      </c>
      <c r="AC1664">
        <v>1.0795895999999999E-2</v>
      </c>
      <c r="AD1664">
        <v>0.817760245</v>
      </c>
      <c r="AF1664">
        <v>18.413797469999999</v>
      </c>
      <c r="AG1664">
        <v>4.0000000000000001E-3</v>
      </c>
      <c r="AH1664">
        <v>2E-3</v>
      </c>
      <c r="AI1664">
        <v>0.90400000000000003</v>
      </c>
      <c r="AJ1664">
        <v>2.6850000000000001</v>
      </c>
      <c r="AK1664">
        <v>9.5659817349999994</v>
      </c>
      <c r="AL1664">
        <v>0</v>
      </c>
      <c r="AM1664">
        <v>2.5000000000000001E-2</v>
      </c>
      <c r="AN1664">
        <v>0.97499999999999998</v>
      </c>
    </row>
    <row r="1665" spans="1:40">
      <c r="A1665">
        <v>3733</v>
      </c>
      <c r="B1665" t="s">
        <v>698</v>
      </c>
      <c r="C1665" t="s">
        <v>693</v>
      </c>
      <c r="D1665" t="s">
        <v>694</v>
      </c>
      <c r="E1665">
        <v>8</v>
      </c>
      <c r="F1665">
        <v>46</v>
      </c>
      <c r="G1665">
        <v>48.195141939999999</v>
      </c>
      <c r="H1665">
        <v>0</v>
      </c>
      <c r="I1665">
        <v>7.5332930000000006E-2</v>
      </c>
      <c r="J1665">
        <v>46</v>
      </c>
      <c r="K1665">
        <v>610.62273830000004</v>
      </c>
      <c r="L1665"/>
      <c r="M1665">
        <v>0</v>
      </c>
      <c r="N1665">
        <v>0</v>
      </c>
      <c r="O1665" t="s">
        <v>625</v>
      </c>
      <c r="P1665">
        <f t="shared" si="227"/>
        <v>17.717472682014712</v>
      </c>
      <c r="Q1665">
        <f t="shared" si="228"/>
        <v>1.452380952380952E-2</v>
      </c>
      <c r="R1665">
        <f t="shared" si="229"/>
        <v>2.0178861788617868E-2</v>
      </c>
      <c r="S1665">
        <f t="shared" si="230"/>
        <v>0.82138970588235316</v>
      </c>
      <c r="T1665">
        <f t="shared" si="231"/>
        <v>2.0047367888780485</v>
      </c>
      <c r="U1665">
        <f t="shared" si="232"/>
        <v>8.3478328074999961</v>
      </c>
      <c r="V1665">
        <f t="shared" si="233"/>
        <v>4.0705882352941189E-2</v>
      </c>
      <c r="W1665">
        <f t="shared" si="234"/>
        <v>5.2166666666666632E-2</v>
      </c>
      <c r="X1665">
        <f t="shared" si="235"/>
        <v>0.91536029411764697</v>
      </c>
      <c r="Y1665">
        <v>22.70304973</v>
      </c>
      <c r="Z1665">
        <v>0</v>
      </c>
      <c r="AA1665">
        <v>88250</v>
      </c>
      <c r="AB1665">
        <v>31723</v>
      </c>
      <c r="AC1665">
        <v>1.0795895999999999E-2</v>
      </c>
      <c r="AD1665">
        <v>0.817760245</v>
      </c>
    </row>
    <row r="1666" spans="1:40">
      <c r="A1666">
        <v>3734</v>
      </c>
      <c r="B1666" t="s">
        <v>698</v>
      </c>
      <c r="C1666" t="s">
        <v>693</v>
      </c>
      <c r="D1666" t="s">
        <v>694</v>
      </c>
      <c r="E1666">
        <v>27</v>
      </c>
      <c r="F1666">
        <v>27</v>
      </c>
      <c r="G1666">
        <v>43.098176369999997</v>
      </c>
      <c r="H1666">
        <v>0</v>
      </c>
      <c r="I1666">
        <v>6.7370086999999995E-2</v>
      </c>
      <c r="J1666">
        <v>27</v>
      </c>
      <c r="K1666">
        <v>400.77133939999999</v>
      </c>
      <c r="L1666" s="515">
        <v>1</v>
      </c>
      <c r="M1666">
        <v>0</v>
      </c>
      <c r="N1666">
        <v>0</v>
      </c>
      <c r="O1666" t="s">
        <v>625</v>
      </c>
      <c r="P1666">
        <f t="shared" si="227"/>
        <v>1.61</v>
      </c>
      <c r="Q1666">
        <f t="shared" si="228"/>
        <v>1.452380952380952E-2</v>
      </c>
      <c r="R1666">
        <f t="shared" si="229"/>
        <v>2.0178861788617868E-2</v>
      </c>
      <c r="S1666">
        <f t="shared" si="230"/>
        <v>1</v>
      </c>
      <c r="T1666">
        <f t="shared" si="231"/>
        <v>2.0047367888780485</v>
      </c>
      <c r="U1666">
        <f t="shared" si="232"/>
        <v>4.836818182</v>
      </c>
      <c r="V1666">
        <f t="shared" si="233"/>
        <v>4.0705882352941189E-2</v>
      </c>
      <c r="W1666">
        <f t="shared" si="234"/>
        <v>5.2166666666666632E-2</v>
      </c>
      <c r="X1666">
        <f t="shared" si="235"/>
        <v>1</v>
      </c>
      <c r="Y1666">
        <v>8.2377157430000008</v>
      </c>
      <c r="Z1666">
        <v>0</v>
      </c>
      <c r="AA1666">
        <v>88250</v>
      </c>
      <c r="AB1666">
        <v>31723</v>
      </c>
      <c r="AC1666">
        <v>1.0795895999999999E-2</v>
      </c>
      <c r="AD1666">
        <v>0.817760245</v>
      </c>
      <c r="AF1666">
        <v>1.61</v>
      </c>
      <c r="AG1666">
        <v>0</v>
      </c>
      <c r="AH1666">
        <v>0</v>
      </c>
      <c r="AI1666">
        <v>1</v>
      </c>
      <c r="AK1666">
        <v>4.836818182</v>
      </c>
      <c r="AL1666">
        <v>0</v>
      </c>
      <c r="AM1666">
        <v>0</v>
      </c>
      <c r="AN1666">
        <v>1</v>
      </c>
    </row>
    <row r="1667" spans="1:40">
      <c r="A1667">
        <v>3735</v>
      </c>
      <c r="B1667" t="s">
        <v>698</v>
      </c>
      <c r="C1667" t="s">
        <v>693</v>
      </c>
      <c r="D1667" t="s">
        <v>694</v>
      </c>
      <c r="E1667">
        <v>265</v>
      </c>
      <c r="F1667">
        <v>849</v>
      </c>
      <c r="G1667">
        <v>69.763467939999998</v>
      </c>
      <c r="H1667">
        <v>14</v>
      </c>
      <c r="I1667">
        <v>0.109062907</v>
      </c>
      <c r="J1667">
        <v>863</v>
      </c>
      <c r="K1667">
        <v>7912.8644539999996</v>
      </c>
      <c r="L1667">
        <v>0.872</v>
      </c>
      <c r="M1667">
        <v>5.0179211000000001E-2</v>
      </c>
      <c r="N1667">
        <v>0</v>
      </c>
      <c r="O1667" t="s">
        <v>625</v>
      </c>
      <c r="P1667">
        <f t="shared" si="227"/>
        <v>19.75258621</v>
      </c>
      <c r="Q1667">
        <f t="shared" si="228"/>
        <v>1.4999999999999999E-2</v>
      </c>
      <c r="R1667">
        <f t="shared" si="229"/>
        <v>3.1E-2</v>
      </c>
      <c r="S1667">
        <f t="shared" si="230"/>
        <v>0.872</v>
      </c>
      <c r="T1667">
        <f t="shared" si="231"/>
        <v>0.87357142899999995</v>
      </c>
      <c r="U1667">
        <f t="shared" si="232"/>
        <v>7.0434848480000003</v>
      </c>
      <c r="V1667">
        <f t="shared" si="233"/>
        <v>4.0705882352941189E-2</v>
      </c>
      <c r="W1667">
        <f t="shared" si="234"/>
        <v>9.0999999999999998E-2</v>
      </c>
      <c r="X1667">
        <f t="shared" si="235"/>
        <v>0.879</v>
      </c>
      <c r="Y1667">
        <v>8.1212915690000003</v>
      </c>
      <c r="Z1667">
        <v>0</v>
      </c>
      <c r="AA1667">
        <v>88250</v>
      </c>
      <c r="AB1667">
        <v>31723</v>
      </c>
      <c r="AC1667">
        <v>1.0795895999999999E-2</v>
      </c>
      <c r="AD1667">
        <v>0.817760245</v>
      </c>
      <c r="AF1667">
        <v>19.75258621</v>
      </c>
      <c r="AG1667">
        <v>1.4999999999999999E-2</v>
      </c>
      <c r="AH1667">
        <v>3.1E-2</v>
      </c>
      <c r="AI1667">
        <v>0.872</v>
      </c>
      <c r="AJ1667">
        <v>0.87357142899999995</v>
      </c>
      <c r="AK1667">
        <v>7.0434848480000003</v>
      </c>
      <c r="AL1667">
        <v>0</v>
      </c>
      <c r="AM1667">
        <v>9.0999999999999998E-2</v>
      </c>
      <c r="AN1667">
        <v>0.879</v>
      </c>
    </row>
    <row r="1668" spans="1:40">
      <c r="A1668">
        <v>3736</v>
      </c>
      <c r="B1668" t="s">
        <v>707</v>
      </c>
      <c r="C1668" t="s">
        <v>693</v>
      </c>
      <c r="D1668" t="s">
        <v>694</v>
      </c>
      <c r="E1668">
        <v>0</v>
      </c>
      <c r="F1668">
        <v>0</v>
      </c>
      <c r="G1668">
        <v>394.0192404</v>
      </c>
      <c r="H1668">
        <v>3</v>
      </c>
      <c r="I1668">
        <v>0.61588995800000002</v>
      </c>
      <c r="J1668">
        <v>3</v>
      </c>
      <c r="K1668">
        <v>4.8710000239999998</v>
      </c>
      <c r="L1668">
        <v>0</v>
      </c>
      <c r="M1668" s="515">
        <v>1</v>
      </c>
      <c r="N1668">
        <v>0</v>
      </c>
      <c r="O1668" t="s">
        <v>620</v>
      </c>
      <c r="P1668">
        <f t="shared" si="227"/>
        <v>18.273803565652177</v>
      </c>
      <c r="Q1668">
        <f t="shared" si="228"/>
        <v>2.0450000000000006E-2</v>
      </c>
      <c r="R1668">
        <f t="shared" si="229"/>
        <v>1</v>
      </c>
      <c r="S1668">
        <f t="shared" si="230"/>
        <v>0.9342307692307692</v>
      </c>
      <c r="T1668">
        <f t="shared" si="231"/>
        <v>1.93</v>
      </c>
      <c r="U1668">
        <f t="shared" si="232"/>
        <v>11.877651061423077</v>
      </c>
      <c r="V1668">
        <f t="shared" si="233"/>
        <v>1</v>
      </c>
      <c r="W1668">
        <f t="shared" si="234"/>
        <v>8.5526315789473686E-2</v>
      </c>
      <c r="X1668">
        <f t="shared" si="235"/>
        <v>0.94647826086956499</v>
      </c>
      <c r="Y1668">
        <v>8.1169103640000007</v>
      </c>
      <c r="Z1668">
        <v>0</v>
      </c>
      <c r="AA1668">
        <v>21149</v>
      </c>
      <c r="AB1668">
        <v>6968</v>
      </c>
      <c r="AC1668">
        <v>1.6645858999999999E-2</v>
      </c>
      <c r="AD1668">
        <v>0.89069218999999999</v>
      </c>
      <c r="AG1668">
        <v>0</v>
      </c>
      <c r="AH1668">
        <v>1</v>
      </c>
      <c r="AI1668">
        <v>0</v>
      </c>
      <c r="AJ1668">
        <v>1.93</v>
      </c>
      <c r="AL1668">
        <v>1</v>
      </c>
      <c r="AM1668">
        <v>0</v>
      </c>
      <c r="AN1668">
        <v>0</v>
      </c>
    </row>
    <row r="1669" spans="1:40">
      <c r="A1669">
        <v>3737</v>
      </c>
      <c r="B1669" t="s">
        <v>698</v>
      </c>
      <c r="C1669" t="s">
        <v>693</v>
      </c>
      <c r="D1669" t="s">
        <v>694</v>
      </c>
      <c r="E1669">
        <v>449</v>
      </c>
      <c r="F1669">
        <v>1307</v>
      </c>
      <c r="G1669">
        <v>188.1461826</v>
      </c>
      <c r="H1669">
        <v>19</v>
      </c>
      <c r="I1669">
        <v>0.29408456100000002</v>
      </c>
      <c r="J1669">
        <v>1326</v>
      </c>
      <c r="K1669">
        <v>4508.9072189999997</v>
      </c>
      <c r="L1669">
        <v>0.74199999999999999</v>
      </c>
      <c r="M1669">
        <v>4.0598291000000002E-2</v>
      </c>
      <c r="N1669">
        <v>0</v>
      </c>
      <c r="O1669" t="s">
        <v>620</v>
      </c>
      <c r="P1669">
        <f t="shared" si="227"/>
        <v>15.825798320000001</v>
      </c>
      <c r="Q1669">
        <f t="shared" si="228"/>
        <v>2.1999999999999999E-2</v>
      </c>
      <c r="R1669">
        <f t="shared" si="229"/>
        <v>3.2000000000000001E-2</v>
      </c>
      <c r="S1669">
        <f t="shared" si="230"/>
        <v>0.74199999999999999</v>
      </c>
      <c r="T1669">
        <f t="shared" si="231"/>
        <v>1.8787499999999999</v>
      </c>
      <c r="U1669">
        <f t="shared" si="232"/>
        <v>7.6513703700000004</v>
      </c>
      <c r="V1669">
        <f t="shared" si="233"/>
        <v>4.4999999999999998E-2</v>
      </c>
      <c r="W1669">
        <f t="shared" si="234"/>
        <v>5.1999999999999998E-2</v>
      </c>
      <c r="X1669">
        <f t="shared" si="235"/>
        <v>0.88800000000000001</v>
      </c>
      <c r="Y1669">
        <v>60.712365269999999</v>
      </c>
      <c r="Z1669">
        <v>0</v>
      </c>
      <c r="AA1669">
        <v>88250</v>
      </c>
      <c r="AB1669">
        <v>31723</v>
      </c>
      <c r="AC1669">
        <v>1.0795895999999999E-2</v>
      </c>
      <c r="AD1669">
        <v>0.817760245</v>
      </c>
      <c r="AF1669">
        <v>15.825798320000001</v>
      </c>
      <c r="AG1669">
        <v>2.1999999999999999E-2</v>
      </c>
      <c r="AH1669">
        <v>3.2000000000000001E-2</v>
      </c>
      <c r="AI1669">
        <v>0.74199999999999999</v>
      </c>
      <c r="AJ1669">
        <v>1.8787499999999999</v>
      </c>
      <c r="AK1669">
        <v>7.6513703700000004</v>
      </c>
      <c r="AL1669">
        <v>4.4999999999999998E-2</v>
      </c>
      <c r="AM1669">
        <v>5.1999999999999998E-2</v>
      </c>
      <c r="AN1669">
        <v>0.88800000000000001</v>
      </c>
    </row>
    <row r="1670" spans="1:40">
      <c r="A1670">
        <v>3738</v>
      </c>
      <c r="B1670" t="s">
        <v>698</v>
      </c>
      <c r="C1670" t="s">
        <v>693</v>
      </c>
      <c r="D1670" t="s">
        <v>694</v>
      </c>
      <c r="E1670">
        <v>41</v>
      </c>
      <c r="F1670">
        <v>62</v>
      </c>
      <c r="G1670">
        <v>168.99141729999999</v>
      </c>
      <c r="H1670">
        <v>136</v>
      </c>
      <c r="I1670">
        <v>0.26415607000000002</v>
      </c>
      <c r="J1670">
        <v>198</v>
      </c>
      <c r="K1670">
        <v>749.55688129999999</v>
      </c>
      <c r="L1670">
        <v>0.81899999999999995</v>
      </c>
      <c r="M1670">
        <v>0.76836158200000004</v>
      </c>
      <c r="N1670">
        <v>0</v>
      </c>
      <c r="O1670" t="s">
        <v>625</v>
      </c>
      <c r="P1670">
        <f t="shared" si="227"/>
        <v>25.986875000000001</v>
      </c>
      <c r="Q1670">
        <f t="shared" si="228"/>
        <v>1.452380952380952E-2</v>
      </c>
      <c r="R1670">
        <f t="shared" si="229"/>
        <v>1.0999999999999999E-2</v>
      </c>
      <c r="S1670">
        <f t="shared" si="230"/>
        <v>0.81899999999999995</v>
      </c>
      <c r="T1670">
        <f t="shared" si="231"/>
        <v>1.1200000000000001</v>
      </c>
      <c r="U1670">
        <f t="shared" si="232"/>
        <v>7.3683666670000001</v>
      </c>
      <c r="V1670">
        <f t="shared" si="233"/>
        <v>4.0705882352941189E-2</v>
      </c>
      <c r="W1670">
        <f t="shared" si="234"/>
        <v>5.2166666666666632E-2</v>
      </c>
      <c r="X1670">
        <f t="shared" si="235"/>
        <v>1</v>
      </c>
      <c r="Y1670">
        <v>60.637828759999998</v>
      </c>
      <c r="Z1670">
        <v>0</v>
      </c>
      <c r="AA1670">
        <v>88250</v>
      </c>
      <c r="AB1670">
        <v>31723</v>
      </c>
      <c r="AC1670">
        <v>1.0795895999999999E-2</v>
      </c>
      <c r="AD1670">
        <v>0.817760245</v>
      </c>
      <c r="AF1670">
        <v>25.986875000000001</v>
      </c>
      <c r="AG1670">
        <v>0</v>
      </c>
      <c r="AH1670">
        <v>1.0999999999999999E-2</v>
      </c>
      <c r="AI1670">
        <v>0.81899999999999995</v>
      </c>
      <c r="AJ1670">
        <v>1.1200000000000001</v>
      </c>
      <c r="AK1670">
        <v>7.3683666670000001</v>
      </c>
      <c r="AL1670">
        <v>0</v>
      </c>
      <c r="AM1670">
        <v>0</v>
      </c>
      <c r="AN1670">
        <v>1</v>
      </c>
    </row>
    <row r="1671" spans="1:40">
      <c r="A1671">
        <v>3739</v>
      </c>
      <c r="B1671" t="s">
        <v>698</v>
      </c>
      <c r="C1671" t="s">
        <v>693</v>
      </c>
      <c r="D1671" t="s">
        <v>694</v>
      </c>
      <c r="E1671">
        <v>200</v>
      </c>
      <c r="F1671">
        <v>200</v>
      </c>
      <c r="G1671">
        <v>141.40766120000001</v>
      </c>
      <c r="H1671">
        <v>161</v>
      </c>
      <c r="I1671">
        <v>0.221036171</v>
      </c>
      <c r="J1671">
        <v>361</v>
      </c>
      <c r="K1671">
        <v>1633.2168549999999</v>
      </c>
      <c r="L1671">
        <v>0.85799999999999998</v>
      </c>
      <c r="M1671">
        <v>0.44598337999999998</v>
      </c>
      <c r="N1671">
        <v>0</v>
      </c>
      <c r="O1671" t="s">
        <v>620</v>
      </c>
      <c r="P1671">
        <f t="shared" si="227"/>
        <v>16.02314286</v>
      </c>
      <c r="Q1671">
        <f t="shared" si="228"/>
        <v>1.452380952380952E-2</v>
      </c>
      <c r="R1671">
        <f t="shared" si="229"/>
        <v>2.4E-2</v>
      </c>
      <c r="S1671">
        <f t="shared" si="230"/>
        <v>0.85799999999999998</v>
      </c>
      <c r="T1671">
        <f t="shared" si="231"/>
        <v>2.5327272729999999</v>
      </c>
      <c r="U1671">
        <f t="shared" si="232"/>
        <v>7.523806971</v>
      </c>
      <c r="V1671">
        <f t="shared" si="233"/>
        <v>5.0999999999999997E-2</v>
      </c>
      <c r="W1671">
        <f t="shared" si="234"/>
        <v>5.2166666666666632E-2</v>
      </c>
      <c r="X1671">
        <f t="shared" si="235"/>
        <v>0.89700000000000002</v>
      </c>
      <c r="Y1671">
        <v>63.638334190000002</v>
      </c>
      <c r="Z1671">
        <v>0</v>
      </c>
      <c r="AA1671">
        <v>88250</v>
      </c>
      <c r="AB1671">
        <v>31723</v>
      </c>
      <c r="AC1671">
        <v>1.0795895999999999E-2</v>
      </c>
      <c r="AD1671">
        <v>0.817760245</v>
      </c>
      <c r="AF1671">
        <v>16.02314286</v>
      </c>
      <c r="AG1671">
        <v>0</v>
      </c>
      <c r="AH1671">
        <v>2.4E-2</v>
      </c>
      <c r="AI1671">
        <v>0.85799999999999998</v>
      </c>
      <c r="AJ1671">
        <v>2.5327272729999999</v>
      </c>
      <c r="AK1671">
        <v>7.523806971</v>
      </c>
      <c r="AL1671">
        <v>5.0999999999999997E-2</v>
      </c>
      <c r="AM1671">
        <v>0</v>
      </c>
      <c r="AN1671">
        <v>0.89700000000000002</v>
      </c>
    </row>
    <row r="1672" spans="1:40">
      <c r="A1672">
        <v>3740</v>
      </c>
      <c r="B1672" t="s">
        <v>698</v>
      </c>
      <c r="C1672" t="s">
        <v>693</v>
      </c>
      <c r="D1672" t="s">
        <v>694</v>
      </c>
      <c r="E1672">
        <v>554</v>
      </c>
      <c r="F1672">
        <v>1515</v>
      </c>
      <c r="G1672">
        <v>140.02961759999999</v>
      </c>
      <c r="H1672">
        <v>8</v>
      </c>
      <c r="I1672">
        <v>0.21888049500000001</v>
      </c>
      <c r="J1672">
        <v>1523</v>
      </c>
      <c r="K1672">
        <v>6958.134849</v>
      </c>
      <c r="L1672">
        <v>0.78500000000000003</v>
      </c>
      <c r="M1672">
        <v>1.4234874999999999E-2</v>
      </c>
      <c r="N1672">
        <v>0</v>
      </c>
      <c r="O1672" t="s">
        <v>620</v>
      </c>
      <c r="P1672">
        <f t="shared" si="227"/>
        <v>20.30285714</v>
      </c>
      <c r="Q1672">
        <f t="shared" si="228"/>
        <v>1.9E-2</v>
      </c>
      <c r="R1672">
        <f t="shared" si="229"/>
        <v>2.4E-2</v>
      </c>
      <c r="S1672">
        <f t="shared" si="230"/>
        <v>0.78500000000000003</v>
      </c>
      <c r="T1672">
        <f t="shared" si="231"/>
        <v>1.9690909089999999</v>
      </c>
      <c r="U1672">
        <f t="shared" si="232"/>
        <v>7.5771428570000001</v>
      </c>
      <c r="V1672">
        <f t="shared" si="233"/>
        <v>7.5999999999999998E-2</v>
      </c>
      <c r="W1672">
        <f t="shared" si="234"/>
        <v>5.2999999999999999E-2</v>
      </c>
      <c r="X1672">
        <f t="shared" si="235"/>
        <v>0.85499999999999998</v>
      </c>
      <c r="Y1672">
        <v>117.6603508</v>
      </c>
      <c r="Z1672">
        <v>0</v>
      </c>
      <c r="AA1672">
        <v>88250</v>
      </c>
      <c r="AB1672">
        <v>31723</v>
      </c>
      <c r="AC1672">
        <v>1.0795895999999999E-2</v>
      </c>
      <c r="AD1672">
        <v>0.817760245</v>
      </c>
      <c r="AF1672">
        <v>20.30285714</v>
      </c>
      <c r="AG1672">
        <v>1.9E-2</v>
      </c>
      <c r="AH1672">
        <v>2.4E-2</v>
      </c>
      <c r="AI1672">
        <v>0.78500000000000003</v>
      </c>
      <c r="AJ1672">
        <v>1.9690909089999999</v>
      </c>
      <c r="AK1672">
        <v>7.5771428570000001</v>
      </c>
      <c r="AL1672">
        <v>7.5999999999999998E-2</v>
      </c>
      <c r="AM1672">
        <v>5.2999999999999999E-2</v>
      </c>
      <c r="AN1672">
        <v>0.85499999999999998</v>
      </c>
    </row>
    <row r="1673" spans="1:40">
      <c r="A1673">
        <v>3741</v>
      </c>
      <c r="B1673" t="s">
        <v>698</v>
      </c>
      <c r="C1673" t="s">
        <v>693</v>
      </c>
      <c r="D1673" t="s">
        <v>694</v>
      </c>
      <c r="E1673">
        <v>183</v>
      </c>
      <c r="F1673">
        <v>672</v>
      </c>
      <c r="G1673">
        <v>39.444337869999998</v>
      </c>
      <c r="H1673">
        <v>26</v>
      </c>
      <c r="I1673">
        <v>6.1658862000000002E-2</v>
      </c>
      <c r="J1673">
        <v>698</v>
      </c>
      <c r="K1673">
        <v>11320.351650000001</v>
      </c>
      <c r="L1673">
        <v>0.77500000000000002</v>
      </c>
      <c r="M1673">
        <v>0.124401914</v>
      </c>
      <c r="N1673">
        <v>0</v>
      </c>
      <c r="O1673" t="s">
        <v>620</v>
      </c>
      <c r="P1673">
        <f t="shared" si="227"/>
        <v>11.66473684</v>
      </c>
      <c r="Q1673">
        <f t="shared" si="228"/>
        <v>3.2000000000000001E-2</v>
      </c>
      <c r="R1673">
        <f t="shared" si="229"/>
        <v>4.9000000000000002E-2</v>
      </c>
      <c r="S1673">
        <f t="shared" si="230"/>
        <v>0.77500000000000002</v>
      </c>
      <c r="T1673">
        <f t="shared" si="231"/>
        <v>2.0785714290000001</v>
      </c>
      <c r="U1673">
        <f t="shared" si="232"/>
        <v>5.0020499999999997</v>
      </c>
      <c r="V1673">
        <f t="shared" si="233"/>
        <v>8.2000000000000003E-2</v>
      </c>
      <c r="W1673">
        <f t="shared" si="234"/>
        <v>8.2000000000000003E-2</v>
      </c>
      <c r="X1673">
        <f t="shared" si="235"/>
        <v>0.77600000000000002</v>
      </c>
      <c r="Y1673">
        <v>269.86054430000002</v>
      </c>
      <c r="Z1673">
        <v>0</v>
      </c>
      <c r="AA1673">
        <v>88250</v>
      </c>
      <c r="AB1673">
        <v>31723</v>
      </c>
      <c r="AC1673">
        <v>1.0795895999999999E-2</v>
      </c>
      <c r="AD1673">
        <v>0.817760245</v>
      </c>
      <c r="AF1673">
        <v>11.66473684</v>
      </c>
      <c r="AG1673">
        <v>3.2000000000000001E-2</v>
      </c>
      <c r="AH1673">
        <v>4.9000000000000002E-2</v>
      </c>
      <c r="AI1673">
        <v>0.77500000000000002</v>
      </c>
      <c r="AJ1673">
        <v>2.0785714290000001</v>
      </c>
      <c r="AK1673">
        <v>5.0020499999999997</v>
      </c>
      <c r="AL1673">
        <v>8.2000000000000003E-2</v>
      </c>
      <c r="AM1673">
        <v>8.2000000000000003E-2</v>
      </c>
      <c r="AN1673">
        <v>0.77600000000000002</v>
      </c>
    </row>
    <row r="1674" spans="1:40">
      <c r="A1674">
        <v>3742</v>
      </c>
      <c r="B1674" t="s">
        <v>698</v>
      </c>
      <c r="C1674" t="s">
        <v>693</v>
      </c>
      <c r="D1674" t="s">
        <v>694</v>
      </c>
      <c r="E1674">
        <v>157</v>
      </c>
      <c r="F1674">
        <v>160</v>
      </c>
      <c r="G1674">
        <v>45.931670279999999</v>
      </c>
      <c r="H1674">
        <v>733</v>
      </c>
      <c r="I1674">
        <v>7.1794299000000006E-2</v>
      </c>
      <c r="J1674">
        <v>893</v>
      </c>
      <c r="K1674">
        <v>12438.31352</v>
      </c>
      <c r="L1674">
        <v>0.80800000000000005</v>
      </c>
      <c r="M1674">
        <v>0.82359550599999998</v>
      </c>
      <c r="N1674">
        <v>0</v>
      </c>
      <c r="O1674" t="s">
        <v>620</v>
      </c>
      <c r="P1674">
        <f t="shared" si="227"/>
        <v>13.89225806</v>
      </c>
      <c r="Q1674">
        <f t="shared" si="228"/>
        <v>7.0000000000000001E-3</v>
      </c>
      <c r="R1674">
        <f t="shared" si="229"/>
        <v>1.2999999999999999E-2</v>
      </c>
      <c r="S1674">
        <f t="shared" si="230"/>
        <v>0.80800000000000005</v>
      </c>
      <c r="T1674">
        <f t="shared" si="231"/>
        <v>1.5024999999999999</v>
      </c>
      <c r="U1674">
        <f t="shared" si="232"/>
        <v>5.8516519369999997</v>
      </c>
      <c r="V1674">
        <f t="shared" si="233"/>
        <v>0.04</v>
      </c>
      <c r="W1674">
        <f t="shared" si="234"/>
        <v>5.2166666666666632E-2</v>
      </c>
      <c r="X1674">
        <f t="shared" si="235"/>
        <v>0.92100000000000004</v>
      </c>
      <c r="Y1674">
        <v>270.79754689999999</v>
      </c>
      <c r="Z1674">
        <v>0</v>
      </c>
      <c r="AA1674">
        <v>88250</v>
      </c>
      <c r="AB1674">
        <v>31723</v>
      </c>
      <c r="AC1674">
        <v>1.0795895999999999E-2</v>
      </c>
      <c r="AD1674">
        <v>0.817760245</v>
      </c>
      <c r="AF1674">
        <v>13.89225806</v>
      </c>
      <c r="AG1674">
        <v>7.0000000000000001E-3</v>
      </c>
      <c r="AH1674">
        <v>1.2999999999999999E-2</v>
      </c>
      <c r="AI1674">
        <v>0.80800000000000005</v>
      </c>
      <c r="AJ1674">
        <v>1.5024999999999999</v>
      </c>
      <c r="AK1674">
        <v>5.8516519369999997</v>
      </c>
      <c r="AL1674">
        <v>0.04</v>
      </c>
      <c r="AM1674">
        <v>0</v>
      </c>
      <c r="AN1674">
        <v>0.92100000000000004</v>
      </c>
    </row>
    <row r="1675" spans="1:40">
      <c r="A1675">
        <v>3743</v>
      </c>
      <c r="B1675" t="s">
        <v>698</v>
      </c>
      <c r="C1675" t="s">
        <v>693</v>
      </c>
      <c r="D1675" t="s">
        <v>694</v>
      </c>
      <c r="E1675">
        <v>0</v>
      </c>
      <c r="F1675">
        <v>0</v>
      </c>
      <c r="G1675">
        <v>14.922957009999999</v>
      </c>
      <c r="H1675">
        <v>367</v>
      </c>
      <c r="I1675">
        <v>2.3325721000000001E-2</v>
      </c>
      <c r="J1675">
        <v>367</v>
      </c>
      <c r="K1675">
        <v>15733.70444</v>
      </c>
      <c r="L1675">
        <v>0.79200000000000004</v>
      </c>
      <c r="M1675" s="515">
        <v>1</v>
      </c>
      <c r="N1675">
        <v>0</v>
      </c>
      <c r="O1675" t="s">
        <v>620</v>
      </c>
      <c r="P1675">
        <f t="shared" si="227"/>
        <v>9.1070588239999992</v>
      </c>
      <c r="Q1675">
        <f t="shared" si="228"/>
        <v>6.0000000000000001E-3</v>
      </c>
      <c r="R1675">
        <f t="shared" si="229"/>
        <v>1.4E-2</v>
      </c>
      <c r="S1675">
        <f t="shared" si="230"/>
        <v>0.79200000000000004</v>
      </c>
      <c r="T1675">
        <f t="shared" si="231"/>
        <v>1.7286666669999999</v>
      </c>
      <c r="U1675">
        <f t="shared" si="232"/>
        <v>5.566593407</v>
      </c>
      <c r="V1675">
        <f t="shared" si="233"/>
        <v>8.8999999999999996E-2</v>
      </c>
      <c r="W1675">
        <f t="shared" si="234"/>
        <v>4.3999999999999997E-2</v>
      </c>
      <c r="X1675">
        <f t="shared" si="235"/>
        <v>0.75600000000000001</v>
      </c>
      <c r="Y1675">
        <v>122.1485181</v>
      </c>
      <c r="Z1675">
        <v>0</v>
      </c>
      <c r="AA1675">
        <v>88250</v>
      </c>
      <c r="AB1675">
        <v>31723</v>
      </c>
      <c r="AC1675">
        <v>1.0795895999999999E-2</v>
      </c>
      <c r="AD1675">
        <v>0.817760245</v>
      </c>
      <c r="AF1675">
        <v>9.1070588239999992</v>
      </c>
      <c r="AG1675">
        <v>6.0000000000000001E-3</v>
      </c>
      <c r="AH1675">
        <v>1.4E-2</v>
      </c>
      <c r="AI1675">
        <v>0.79200000000000004</v>
      </c>
      <c r="AJ1675">
        <v>1.7286666669999999</v>
      </c>
      <c r="AK1675">
        <v>5.566593407</v>
      </c>
      <c r="AL1675">
        <v>8.8999999999999996E-2</v>
      </c>
      <c r="AM1675">
        <v>4.3999999999999997E-2</v>
      </c>
      <c r="AN1675">
        <v>0.75600000000000001</v>
      </c>
    </row>
    <row r="1676" spans="1:40">
      <c r="A1676">
        <v>3744</v>
      </c>
      <c r="B1676" t="s">
        <v>698</v>
      </c>
      <c r="C1676" t="s">
        <v>693</v>
      </c>
      <c r="D1676" t="s">
        <v>694</v>
      </c>
      <c r="E1676">
        <v>8</v>
      </c>
      <c r="F1676">
        <v>8</v>
      </c>
      <c r="G1676">
        <v>18.967592010000001</v>
      </c>
      <c r="H1676">
        <v>123</v>
      </c>
      <c r="I1676">
        <v>2.9645161999999999E-2</v>
      </c>
      <c r="J1676">
        <v>131</v>
      </c>
      <c r="K1676">
        <v>4418.9335179999998</v>
      </c>
      <c r="L1676">
        <v>0.84099999999999997</v>
      </c>
      <c r="M1676">
        <v>0.93893129799999997</v>
      </c>
      <c r="N1676">
        <v>0</v>
      </c>
      <c r="O1676" t="s">
        <v>620</v>
      </c>
      <c r="P1676">
        <f t="shared" ref="P1676:P1739" si="236">IF(OR(IFERROR(AF1676=0,TRUE),ISERROR(AF1676)),AVERAGEIFS(AF:AF,$B:$B,$B1676,AF:AF,"&gt;0"),AF1676)</f>
        <v>17.0162963</v>
      </c>
      <c r="Q1676">
        <f t="shared" ref="Q1676:Q1739" si="237">IF(OR(IFERROR(AG1676=0,TRUE),ISERROR(AG1676)),AVERAGEIFS(AG:AG,$B:$B,$B1676,AG:AG,"&gt;0"),AG1676)</f>
        <v>6.0000000000000001E-3</v>
      </c>
      <c r="R1676">
        <f t="shared" ref="R1676:R1739" si="238">IF(OR(IFERROR(AH1676=0,TRUE),ISERROR(AH1676)),AVERAGEIFS(AH:AH,$B:$B,$B1676,AH:AH,"&gt;0"),AH1676)</f>
        <v>2.0178861788617868E-2</v>
      </c>
      <c r="S1676">
        <f t="shared" ref="S1676:S1739" si="239">IF(OR(IFERROR(AI1676=0,TRUE),ISERROR(AI1676)),AVERAGEIFS(AI:AI,$B:$B,$B1676,AI:AI,"&gt;0"),AI1676)</f>
        <v>0.84099999999999997</v>
      </c>
      <c r="T1676">
        <f t="shared" ref="T1676:T1739" si="240">IF(OR(IFERROR(AJ1676=0,TRUE),ISERROR(AJ1676)),AVERAGEIFS(AJ:AJ,$B:$B,$B1676,AJ:AJ,"&gt;0"),AJ1676)</f>
        <v>2.0047367888780485</v>
      </c>
      <c r="U1676">
        <f t="shared" ref="U1676:U1739" si="241">IF(OR(IFERROR(AK1676=0,TRUE),ISERROR(AK1676)),AVERAGEIFS(AK:AK,$B:$B,$B1676,AK:AK,"&gt;0"),AK1676)</f>
        <v>8.5479259259999996</v>
      </c>
      <c r="V1676">
        <f t="shared" ref="V1676:V1739" si="242">IF(OR(IFERROR(AL1676=0,TRUE),ISERROR(AL1676)),AVERAGEIFS(AL:AL,$B:$B,$B1676,AL:AL,"&gt;0"),AL1676)</f>
        <v>4.0705882352941189E-2</v>
      </c>
      <c r="W1676">
        <f t="shared" ref="W1676:W1739" si="243">IF(OR(IFERROR(AM1676=0,TRUE),ISERROR(AM1676)),AVERAGEIFS(AM:AM,$B:$B,$B1676,AM:AM,"&gt;0"),AM1676)</f>
        <v>5.2166666666666632E-2</v>
      </c>
      <c r="X1676">
        <f t="shared" ref="X1676:X1739" si="244">IF(OR(IFERROR(AN1676=0,TRUE),ISERROR(AN1676)),AVERAGEIFS(AN:AN,$B:$B,$B1676,AN:AN,"&gt;0"),AN1676)</f>
        <v>1</v>
      </c>
      <c r="Y1676">
        <v>269.14761329999999</v>
      </c>
      <c r="Z1676">
        <v>0</v>
      </c>
      <c r="AA1676">
        <v>88250</v>
      </c>
      <c r="AB1676">
        <v>31723</v>
      </c>
      <c r="AC1676">
        <v>1.0795895999999999E-2</v>
      </c>
      <c r="AD1676">
        <v>0.817760245</v>
      </c>
      <c r="AF1676">
        <v>17.0162963</v>
      </c>
      <c r="AG1676">
        <v>6.0000000000000001E-3</v>
      </c>
      <c r="AH1676">
        <v>0</v>
      </c>
      <c r="AI1676">
        <v>0.84099999999999997</v>
      </c>
      <c r="AK1676">
        <v>8.5479259259999996</v>
      </c>
      <c r="AL1676">
        <v>0</v>
      </c>
      <c r="AM1676">
        <v>0</v>
      </c>
      <c r="AN1676">
        <v>1</v>
      </c>
    </row>
    <row r="1677" spans="1:40">
      <c r="A1677">
        <v>3745</v>
      </c>
      <c r="B1677" t="s">
        <v>698</v>
      </c>
      <c r="C1677" t="s">
        <v>693</v>
      </c>
      <c r="D1677" t="s">
        <v>694</v>
      </c>
      <c r="E1677">
        <v>0</v>
      </c>
      <c r="F1677">
        <v>25</v>
      </c>
      <c r="G1677">
        <v>6.7217088839999999</v>
      </c>
      <c r="H1677">
        <v>196</v>
      </c>
      <c r="I1677">
        <v>1.0506613999999999E-2</v>
      </c>
      <c r="J1677">
        <v>221</v>
      </c>
      <c r="K1677">
        <v>21034.3694</v>
      </c>
      <c r="L1677">
        <v>0.79900000000000004</v>
      </c>
      <c r="M1677" s="515">
        <v>1</v>
      </c>
      <c r="N1677">
        <v>0</v>
      </c>
      <c r="O1677" t="s">
        <v>620</v>
      </c>
      <c r="P1677">
        <f t="shared" si="236"/>
        <v>13.80043478</v>
      </c>
      <c r="Q1677">
        <f t="shared" si="237"/>
        <v>5.0000000000000001E-3</v>
      </c>
      <c r="R1677">
        <f t="shared" si="238"/>
        <v>8.9999999999999993E-3</v>
      </c>
      <c r="S1677">
        <f t="shared" si="239"/>
        <v>0.79900000000000004</v>
      </c>
      <c r="T1677">
        <f t="shared" si="240"/>
        <v>1.75</v>
      </c>
      <c r="U1677">
        <f t="shared" si="241"/>
        <v>6.479488055</v>
      </c>
      <c r="V1677">
        <f t="shared" si="242"/>
        <v>4.0705882352941189E-2</v>
      </c>
      <c r="W1677">
        <f t="shared" si="243"/>
        <v>5.2166666666666632E-2</v>
      </c>
      <c r="X1677">
        <f t="shared" si="244"/>
        <v>0.85199999999999998</v>
      </c>
      <c r="Y1677">
        <v>271.05941139999999</v>
      </c>
      <c r="Z1677">
        <v>0</v>
      </c>
      <c r="AA1677">
        <v>88250</v>
      </c>
      <c r="AB1677">
        <v>31723</v>
      </c>
      <c r="AC1677">
        <v>1.0795895999999999E-2</v>
      </c>
      <c r="AD1677">
        <v>0.817760245</v>
      </c>
      <c r="AF1677">
        <v>13.80043478</v>
      </c>
      <c r="AG1677">
        <v>5.0000000000000001E-3</v>
      </c>
      <c r="AH1677">
        <v>8.9999999999999993E-3</v>
      </c>
      <c r="AI1677">
        <v>0.79900000000000004</v>
      </c>
      <c r="AJ1677">
        <v>1.75</v>
      </c>
      <c r="AK1677">
        <v>6.479488055</v>
      </c>
      <c r="AL1677">
        <v>0</v>
      </c>
      <c r="AM1677">
        <v>0</v>
      </c>
      <c r="AN1677">
        <v>0.85199999999999998</v>
      </c>
    </row>
    <row r="1678" spans="1:40">
      <c r="A1678">
        <v>3746</v>
      </c>
      <c r="B1678" t="s">
        <v>698</v>
      </c>
      <c r="C1678" t="s">
        <v>693</v>
      </c>
      <c r="D1678" t="s">
        <v>694</v>
      </c>
      <c r="E1678">
        <v>525</v>
      </c>
      <c r="F1678">
        <v>1440</v>
      </c>
      <c r="G1678">
        <v>102.12080709999999</v>
      </c>
      <c r="H1678">
        <v>0</v>
      </c>
      <c r="I1678">
        <v>0.15962549500000001</v>
      </c>
      <c r="J1678">
        <v>1440</v>
      </c>
      <c r="K1678">
        <v>9021.1153300000005</v>
      </c>
      <c r="L1678">
        <v>0.82399999999999995</v>
      </c>
      <c r="M1678">
        <v>0</v>
      </c>
      <c r="N1678">
        <v>0</v>
      </c>
      <c r="O1678" t="s">
        <v>620</v>
      </c>
      <c r="P1678">
        <f t="shared" si="236"/>
        <v>18.511494249999998</v>
      </c>
      <c r="Q1678">
        <f t="shared" si="237"/>
        <v>1.2E-2</v>
      </c>
      <c r="R1678">
        <f t="shared" si="238"/>
        <v>1.4999999999999999E-2</v>
      </c>
      <c r="S1678">
        <f t="shared" si="239"/>
        <v>0.82399999999999995</v>
      </c>
      <c r="T1678">
        <f t="shared" si="240"/>
        <v>1.3089999999999999</v>
      </c>
      <c r="U1678">
        <f t="shared" si="241"/>
        <v>6.6956966490000003</v>
      </c>
      <c r="V1678">
        <f t="shared" si="242"/>
        <v>2.1000000000000001E-2</v>
      </c>
      <c r="W1678">
        <f t="shared" si="243"/>
        <v>3.1E-2</v>
      </c>
      <c r="X1678">
        <f t="shared" si="244"/>
        <v>0.90600000000000003</v>
      </c>
      <c r="Y1678">
        <v>100.53797369999999</v>
      </c>
      <c r="Z1678">
        <v>0</v>
      </c>
      <c r="AA1678">
        <v>88250</v>
      </c>
      <c r="AB1678">
        <v>31723</v>
      </c>
      <c r="AC1678">
        <v>1.0795895999999999E-2</v>
      </c>
      <c r="AD1678">
        <v>0.817760245</v>
      </c>
      <c r="AF1678">
        <v>18.511494249999998</v>
      </c>
      <c r="AG1678">
        <v>1.2E-2</v>
      </c>
      <c r="AH1678">
        <v>1.4999999999999999E-2</v>
      </c>
      <c r="AI1678">
        <v>0.82399999999999995</v>
      </c>
      <c r="AJ1678">
        <v>1.3089999999999999</v>
      </c>
      <c r="AK1678">
        <v>6.6956966490000003</v>
      </c>
      <c r="AL1678">
        <v>2.1000000000000001E-2</v>
      </c>
      <c r="AM1678">
        <v>3.1E-2</v>
      </c>
      <c r="AN1678">
        <v>0.90600000000000003</v>
      </c>
    </row>
    <row r="1679" spans="1:40">
      <c r="A1679">
        <v>3747</v>
      </c>
      <c r="B1679" t="s">
        <v>707</v>
      </c>
      <c r="C1679" t="s">
        <v>693</v>
      </c>
      <c r="D1679" t="s">
        <v>694</v>
      </c>
      <c r="E1679">
        <v>0</v>
      </c>
      <c r="F1679">
        <v>0</v>
      </c>
      <c r="G1679">
        <v>500.72299459999999</v>
      </c>
      <c r="H1679">
        <v>0</v>
      </c>
      <c r="I1679">
        <v>0.78268707900000001</v>
      </c>
      <c r="J1679">
        <v>0</v>
      </c>
      <c r="K1679">
        <v>0</v>
      </c>
      <c r="L1679"/>
      <c r="M1679">
        <v>0</v>
      </c>
      <c r="N1679">
        <v>0</v>
      </c>
      <c r="O1679" t="s">
        <v>625</v>
      </c>
      <c r="P1679">
        <f t="shared" si="236"/>
        <v>18.273803565652177</v>
      </c>
      <c r="Q1679">
        <f t="shared" si="237"/>
        <v>2.0450000000000006E-2</v>
      </c>
      <c r="R1679">
        <f t="shared" si="238"/>
        <v>7.2846153846153852E-2</v>
      </c>
      <c r="S1679">
        <f t="shared" si="239"/>
        <v>0.9342307692307692</v>
      </c>
      <c r="T1679">
        <f t="shared" si="240"/>
        <v>2.2191326312692303</v>
      </c>
      <c r="U1679">
        <f t="shared" si="241"/>
        <v>11.877651061423077</v>
      </c>
      <c r="V1679">
        <f t="shared" si="242"/>
        <v>0.11835714285714286</v>
      </c>
      <c r="W1679">
        <f t="shared" si="243"/>
        <v>8.5526315789473686E-2</v>
      </c>
      <c r="X1679">
        <f t="shared" si="244"/>
        <v>0.94647826086956499</v>
      </c>
      <c r="Y1679">
        <v>1.649520715</v>
      </c>
      <c r="Z1679">
        <v>0</v>
      </c>
      <c r="AA1679">
        <v>21149</v>
      </c>
      <c r="AB1679">
        <v>6968</v>
      </c>
      <c r="AC1679">
        <v>1.6645858999999999E-2</v>
      </c>
      <c r="AD1679">
        <v>0.89069218999999999</v>
      </c>
    </row>
    <row r="1680" spans="1:40">
      <c r="A1680">
        <v>3748</v>
      </c>
      <c r="B1680" t="s">
        <v>692</v>
      </c>
      <c r="C1680" t="s">
        <v>693</v>
      </c>
      <c r="D1680" t="s">
        <v>694</v>
      </c>
      <c r="E1680">
        <v>207</v>
      </c>
      <c r="F1680">
        <v>576</v>
      </c>
      <c r="G1680">
        <v>1306.927349</v>
      </c>
      <c r="H1680">
        <v>105</v>
      </c>
      <c r="I1680" s="515">
        <v>2.0428586298018798</v>
      </c>
      <c r="J1680">
        <v>681</v>
      </c>
      <c r="K1680">
        <v>333.35640069999999</v>
      </c>
      <c r="L1680">
        <v>0.92900000000000005</v>
      </c>
      <c r="M1680">
        <v>0.33653846199999998</v>
      </c>
      <c r="N1680">
        <v>0</v>
      </c>
      <c r="O1680" t="s">
        <v>625</v>
      </c>
      <c r="P1680">
        <f t="shared" si="236"/>
        <v>14.34930233</v>
      </c>
      <c r="Q1680">
        <f t="shared" si="237"/>
        <v>1.2999999999999999E-2</v>
      </c>
      <c r="R1680">
        <f t="shared" si="238"/>
        <v>6.0000000000000001E-3</v>
      </c>
      <c r="S1680">
        <f t="shared" si="239"/>
        <v>0.92900000000000005</v>
      </c>
      <c r="T1680">
        <f t="shared" si="240"/>
        <v>3.28</v>
      </c>
      <c r="U1680">
        <f t="shared" si="241"/>
        <v>10.04681102</v>
      </c>
      <c r="V1680">
        <f t="shared" si="242"/>
        <v>4.1084210526315765E-2</v>
      </c>
      <c r="W1680">
        <f t="shared" si="243"/>
        <v>8.5000000000000006E-2</v>
      </c>
      <c r="X1680">
        <f t="shared" si="244"/>
        <v>0.91500000000000004</v>
      </c>
      <c r="Y1680">
        <v>8.4014875569999994</v>
      </c>
      <c r="Z1680">
        <v>0</v>
      </c>
      <c r="AA1680">
        <v>77808</v>
      </c>
      <c r="AB1680">
        <v>27489</v>
      </c>
      <c r="AC1680">
        <v>1.1225541E-2</v>
      </c>
      <c r="AD1680">
        <v>0.835708267</v>
      </c>
      <c r="AF1680">
        <v>14.34930233</v>
      </c>
      <c r="AG1680">
        <v>1.2999999999999999E-2</v>
      </c>
      <c r="AH1680">
        <v>6.0000000000000001E-3</v>
      </c>
      <c r="AI1680">
        <v>0.92900000000000005</v>
      </c>
      <c r="AJ1680">
        <v>3.28</v>
      </c>
      <c r="AK1680">
        <v>10.04681102</v>
      </c>
      <c r="AL1680">
        <v>0</v>
      </c>
      <c r="AM1680">
        <v>8.5000000000000006E-2</v>
      </c>
      <c r="AN1680">
        <v>0.91500000000000004</v>
      </c>
    </row>
    <row r="1681" spans="1:40">
      <c r="A1681">
        <v>3749</v>
      </c>
      <c r="B1681" t="s">
        <v>707</v>
      </c>
      <c r="C1681" t="s">
        <v>693</v>
      </c>
      <c r="D1681" t="s">
        <v>694</v>
      </c>
      <c r="E1681">
        <v>6</v>
      </c>
      <c r="F1681">
        <v>17</v>
      </c>
      <c r="G1681">
        <v>128.5744114</v>
      </c>
      <c r="H1681">
        <v>82</v>
      </c>
      <c r="I1681">
        <v>0.20096813599999999</v>
      </c>
      <c r="J1681">
        <v>99</v>
      </c>
      <c r="K1681">
        <v>492.61540650000001</v>
      </c>
      <c r="L1681">
        <v>0.93100000000000005</v>
      </c>
      <c r="M1681">
        <v>0.93181818199999999</v>
      </c>
      <c r="N1681">
        <v>0</v>
      </c>
      <c r="O1681" t="s">
        <v>625</v>
      </c>
      <c r="P1681">
        <f t="shared" si="236"/>
        <v>16.31555556</v>
      </c>
      <c r="Q1681">
        <f t="shared" si="237"/>
        <v>2.0450000000000006E-2</v>
      </c>
      <c r="R1681">
        <f t="shared" si="238"/>
        <v>7.2846153846153852E-2</v>
      </c>
      <c r="S1681">
        <f t="shared" si="239"/>
        <v>0.93100000000000005</v>
      </c>
      <c r="T1681">
        <f t="shared" si="240"/>
        <v>2.2191326312692303</v>
      </c>
      <c r="U1681">
        <f t="shared" si="241"/>
        <v>12.54944444</v>
      </c>
      <c r="V1681">
        <f t="shared" si="242"/>
        <v>0.11835714285714286</v>
      </c>
      <c r="W1681">
        <f t="shared" si="243"/>
        <v>8.5526315789473686E-2</v>
      </c>
      <c r="X1681">
        <f t="shared" si="244"/>
        <v>1</v>
      </c>
      <c r="Y1681">
        <v>8.3522625940000008</v>
      </c>
      <c r="Z1681">
        <v>0</v>
      </c>
      <c r="AA1681">
        <v>21149</v>
      </c>
      <c r="AB1681">
        <v>6968</v>
      </c>
      <c r="AC1681">
        <v>1.6645858999999999E-2</v>
      </c>
      <c r="AD1681">
        <v>0.89069218999999999</v>
      </c>
      <c r="AF1681">
        <v>16.31555556</v>
      </c>
      <c r="AG1681">
        <v>0</v>
      </c>
      <c r="AH1681">
        <v>0</v>
      </c>
      <c r="AI1681">
        <v>0.93100000000000005</v>
      </c>
      <c r="AK1681">
        <v>12.54944444</v>
      </c>
      <c r="AL1681">
        <v>0</v>
      </c>
      <c r="AM1681">
        <v>0</v>
      </c>
      <c r="AN1681">
        <v>1</v>
      </c>
    </row>
    <row r="1682" spans="1:40">
      <c r="A1682">
        <v>3750</v>
      </c>
      <c r="B1682" t="s">
        <v>707</v>
      </c>
      <c r="C1682" t="s">
        <v>693</v>
      </c>
      <c r="D1682" t="s">
        <v>694</v>
      </c>
      <c r="E1682">
        <v>0</v>
      </c>
      <c r="F1682">
        <v>0</v>
      </c>
      <c r="G1682">
        <v>381.16467799999998</v>
      </c>
      <c r="H1682">
        <v>0</v>
      </c>
      <c r="I1682">
        <v>0.59577770299999999</v>
      </c>
      <c r="J1682">
        <v>0</v>
      </c>
      <c r="K1682">
        <v>0</v>
      </c>
      <c r="L1682"/>
      <c r="M1682">
        <v>0</v>
      </c>
      <c r="N1682">
        <v>0</v>
      </c>
      <c r="O1682" t="s">
        <v>625</v>
      </c>
      <c r="P1682">
        <f t="shared" si="236"/>
        <v>18.273803565652177</v>
      </c>
      <c r="Q1682">
        <f t="shared" si="237"/>
        <v>2.0450000000000006E-2</v>
      </c>
      <c r="R1682">
        <f t="shared" si="238"/>
        <v>7.2846153846153852E-2</v>
      </c>
      <c r="S1682">
        <f t="shared" si="239"/>
        <v>0.9342307692307692</v>
      </c>
      <c r="T1682">
        <f t="shared" si="240"/>
        <v>2.2191326312692303</v>
      </c>
      <c r="U1682">
        <f t="shared" si="241"/>
        <v>11.877651061423077</v>
      </c>
      <c r="V1682">
        <f t="shared" si="242"/>
        <v>0.11835714285714286</v>
      </c>
      <c r="W1682">
        <f t="shared" si="243"/>
        <v>8.5526315789473686E-2</v>
      </c>
      <c r="X1682">
        <f t="shared" si="244"/>
        <v>0.94647826086956499</v>
      </c>
      <c r="Y1682">
        <v>8.1921844099999994</v>
      </c>
      <c r="Z1682">
        <v>0</v>
      </c>
      <c r="AA1682">
        <v>21149</v>
      </c>
      <c r="AB1682">
        <v>6968</v>
      </c>
      <c r="AC1682">
        <v>1.6645858999999999E-2</v>
      </c>
      <c r="AD1682">
        <v>0.89069218999999999</v>
      </c>
    </row>
    <row r="1683" spans="1:40">
      <c r="A1683">
        <v>3751</v>
      </c>
      <c r="B1683" t="s">
        <v>692</v>
      </c>
      <c r="C1683" t="s">
        <v>693</v>
      </c>
      <c r="D1683" t="s">
        <v>694</v>
      </c>
      <c r="E1683">
        <v>163</v>
      </c>
      <c r="F1683">
        <v>464</v>
      </c>
      <c r="G1683">
        <v>78.892830750000002</v>
      </c>
      <c r="H1683">
        <v>514</v>
      </c>
      <c r="I1683">
        <v>0.1233161</v>
      </c>
      <c r="J1683">
        <v>978</v>
      </c>
      <c r="K1683">
        <v>7930.837904</v>
      </c>
      <c r="L1683">
        <v>0.83399999999999996</v>
      </c>
      <c r="M1683">
        <v>0.75923190500000004</v>
      </c>
      <c r="N1683">
        <v>0</v>
      </c>
      <c r="O1683" t="s">
        <v>620</v>
      </c>
      <c r="P1683">
        <f t="shared" si="236"/>
        <v>15.703617019999999</v>
      </c>
      <c r="Q1683">
        <f t="shared" si="237"/>
        <v>1.0999999999999999E-2</v>
      </c>
      <c r="R1683">
        <f t="shared" si="238"/>
        <v>1.7000000000000001E-2</v>
      </c>
      <c r="S1683">
        <f t="shared" si="239"/>
        <v>0.83399999999999996</v>
      </c>
      <c r="T1683">
        <f t="shared" si="240"/>
        <v>1.77</v>
      </c>
      <c r="U1683">
        <f t="shared" si="241"/>
        <v>9.2428371279999997</v>
      </c>
      <c r="V1683">
        <f t="shared" si="242"/>
        <v>3.7999999999999999E-2</v>
      </c>
      <c r="W1683">
        <f t="shared" si="243"/>
        <v>3.7999999999999999E-2</v>
      </c>
      <c r="X1683">
        <f t="shared" si="244"/>
        <v>0.88700000000000001</v>
      </c>
      <c r="Y1683">
        <v>131.23936810000001</v>
      </c>
      <c r="Z1683">
        <v>0</v>
      </c>
      <c r="AA1683">
        <v>77808</v>
      </c>
      <c r="AB1683">
        <v>27489</v>
      </c>
      <c r="AC1683">
        <v>1.1225541E-2</v>
      </c>
      <c r="AD1683">
        <v>0.835708267</v>
      </c>
      <c r="AF1683">
        <v>15.703617019999999</v>
      </c>
      <c r="AG1683">
        <v>1.0999999999999999E-2</v>
      </c>
      <c r="AH1683">
        <v>1.7000000000000001E-2</v>
      </c>
      <c r="AI1683">
        <v>0.83399999999999996</v>
      </c>
      <c r="AJ1683">
        <v>1.77</v>
      </c>
      <c r="AK1683">
        <v>9.2428371279999997</v>
      </c>
      <c r="AL1683">
        <v>3.7999999999999999E-2</v>
      </c>
      <c r="AM1683">
        <v>3.7999999999999999E-2</v>
      </c>
      <c r="AN1683">
        <v>0.88700000000000001</v>
      </c>
    </row>
    <row r="1684" spans="1:40">
      <c r="A1684">
        <v>3752</v>
      </c>
      <c r="B1684" t="s">
        <v>692</v>
      </c>
      <c r="C1684" t="s">
        <v>693</v>
      </c>
      <c r="D1684" t="s">
        <v>694</v>
      </c>
      <c r="E1684">
        <v>159</v>
      </c>
      <c r="F1684">
        <v>469</v>
      </c>
      <c r="G1684">
        <v>31.532834350000002</v>
      </c>
      <c r="H1684">
        <v>0</v>
      </c>
      <c r="I1684">
        <v>4.9289975999999999E-2</v>
      </c>
      <c r="J1684">
        <v>469</v>
      </c>
      <c r="K1684">
        <v>9515.1192609999998</v>
      </c>
      <c r="L1684">
        <v>0.85199999999999998</v>
      </c>
      <c r="M1684">
        <v>0</v>
      </c>
      <c r="N1684">
        <v>0</v>
      </c>
      <c r="O1684" t="s">
        <v>620</v>
      </c>
      <c r="P1684">
        <f t="shared" si="236"/>
        <v>18.599444439999999</v>
      </c>
      <c r="Q1684">
        <f t="shared" si="237"/>
        <v>2.9000000000000001E-2</v>
      </c>
      <c r="R1684">
        <f t="shared" si="238"/>
        <v>2.1999999999999999E-2</v>
      </c>
      <c r="S1684">
        <f t="shared" si="239"/>
        <v>0.85199999999999998</v>
      </c>
      <c r="T1684">
        <f t="shared" si="240"/>
        <v>2.003214286</v>
      </c>
      <c r="U1684">
        <f t="shared" si="241"/>
        <v>5.6337606029999998</v>
      </c>
      <c r="V1684">
        <f t="shared" si="242"/>
        <v>8.5000000000000006E-2</v>
      </c>
      <c r="W1684">
        <f t="shared" si="243"/>
        <v>8.5000000000000006E-2</v>
      </c>
      <c r="X1684">
        <f t="shared" si="244"/>
        <v>0.76600000000000001</v>
      </c>
      <c r="Y1684">
        <v>150.14993240000001</v>
      </c>
      <c r="Z1684">
        <v>0</v>
      </c>
      <c r="AA1684">
        <v>77808</v>
      </c>
      <c r="AB1684">
        <v>27489</v>
      </c>
      <c r="AC1684">
        <v>1.1225541E-2</v>
      </c>
      <c r="AD1684">
        <v>0.835708267</v>
      </c>
      <c r="AF1684">
        <v>18.599444439999999</v>
      </c>
      <c r="AG1684">
        <v>2.9000000000000001E-2</v>
      </c>
      <c r="AH1684">
        <v>2.1999999999999999E-2</v>
      </c>
      <c r="AI1684">
        <v>0.85199999999999998</v>
      </c>
      <c r="AJ1684">
        <v>2.003214286</v>
      </c>
      <c r="AK1684">
        <v>5.6337606029999998</v>
      </c>
      <c r="AL1684">
        <v>8.5000000000000006E-2</v>
      </c>
      <c r="AM1684">
        <v>8.5000000000000006E-2</v>
      </c>
      <c r="AN1684">
        <v>0.76600000000000001</v>
      </c>
    </row>
    <row r="1685" spans="1:40">
      <c r="A1685">
        <v>3753</v>
      </c>
      <c r="B1685" t="s">
        <v>692</v>
      </c>
      <c r="C1685" t="s">
        <v>693</v>
      </c>
      <c r="D1685" t="s">
        <v>694</v>
      </c>
      <c r="E1685">
        <v>218</v>
      </c>
      <c r="F1685">
        <v>615</v>
      </c>
      <c r="G1685">
        <v>75.446049500000001</v>
      </c>
      <c r="H1685">
        <v>333</v>
      </c>
      <c r="I1685">
        <v>0.117929198</v>
      </c>
      <c r="J1685">
        <v>948</v>
      </c>
      <c r="K1685">
        <v>8038.7216740000003</v>
      </c>
      <c r="L1685">
        <v>0.73499999999999999</v>
      </c>
      <c r="M1685">
        <v>0.60435571700000001</v>
      </c>
      <c r="N1685">
        <v>0</v>
      </c>
      <c r="O1685" t="s">
        <v>620</v>
      </c>
      <c r="P1685">
        <f t="shared" si="236"/>
        <v>15.22016129</v>
      </c>
      <c r="Q1685">
        <f t="shared" si="237"/>
        <v>1.2999999999999999E-2</v>
      </c>
      <c r="R1685">
        <f t="shared" si="238"/>
        <v>2.5000000000000001E-2</v>
      </c>
      <c r="S1685">
        <f t="shared" si="239"/>
        <v>0.73499999999999999</v>
      </c>
      <c r="T1685">
        <f t="shared" si="240"/>
        <v>1.475625</v>
      </c>
      <c r="U1685">
        <f t="shared" si="241"/>
        <v>8.9393483150000002</v>
      </c>
      <c r="V1685">
        <f t="shared" si="242"/>
        <v>2.8000000000000001E-2</v>
      </c>
      <c r="W1685">
        <f t="shared" si="243"/>
        <v>1.4E-2</v>
      </c>
      <c r="X1685">
        <f t="shared" si="244"/>
        <v>0.86699999999999999</v>
      </c>
      <c r="Y1685">
        <v>98.623205330000005</v>
      </c>
      <c r="Z1685">
        <v>0</v>
      </c>
      <c r="AA1685">
        <v>77808</v>
      </c>
      <c r="AB1685">
        <v>27489</v>
      </c>
      <c r="AC1685">
        <v>1.1225541E-2</v>
      </c>
      <c r="AD1685">
        <v>0.835708267</v>
      </c>
      <c r="AF1685">
        <v>15.22016129</v>
      </c>
      <c r="AG1685">
        <v>1.2999999999999999E-2</v>
      </c>
      <c r="AH1685">
        <v>2.5000000000000001E-2</v>
      </c>
      <c r="AI1685">
        <v>0.73499999999999999</v>
      </c>
      <c r="AJ1685">
        <v>1.475625</v>
      </c>
      <c r="AK1685">
        <v>8.9393483150000002</v>
      </c>
      <c r="AL1685">
        <v>2.8000000000000001E-2</v>
      </c>
      <c r="AM1685">
        <v>1.4E-2</v>
      </c>
      <c r="AN1685">
        <v>0.86699999999999999</v>
      </c>
    </row>
    <row r="1686" spans="1:40">
      <c r="A1686">
        <v>3754</v>
      </c>
      <c r="B1686" t="s">
        <v>707</v>
      </c>
      <c r="C1686" t="s">
        <v>693</v>
      </c>
      <c r="D1686" t="s">
        <v>694</v>
      </c>
      <c r="E1686">
        <v>1</v>
      </c>
      <c r="F1686">
        <v>4</v>
      </c>
      <c r="G1686">
        <v>114.96103100000001</v>
      </c>
      <c r="H1686">
        <v>0</v>
      </c>
      <c r="I1686">
        <v>0.17968741099999999</v>
      </c>
      <c r="J1686">
        <v>4</v>
      </c>
      <c r="K1686">
        <v>22.260880589999999</v>
      </c>
      <c r="L1686" s="515">
        <v>1</v>
      </c>
      <c r="M1686">
        <v>0</v>
      </c>
      <c r="N1686">
        <v>0</v>
      </c>
      <c r="O1686" t="s">
        <v>625</v>
      </c>
      <c r="P1686">
        <f t="shared" si="236"/>
        <v>18.273803565652177</v>
      </c>
      <c r="Q1686">
        <f t="shared" si="237"/>
        <v>2.0450000000000006E-2</v>
      </c>
      <c r="R1686">
        <f t="shared" si="238"/>
        <v>7.2846153846153852E-2</v>
      </c>
      <c r="S1686">
        <f t="shared" si="239"/>
        <v>1</v>
      </c>
      <c r="T1686">
        <f t="shared" si="240"/>
        <v>2.2191326312692303</v>
      </c>
      <c r="U1686">
        <f t="shared" si="241"/>
        <v>23.914999999999999</v>
      </c>
      <c r="V1686">
        <f t="shared" si="242"/>
        <v>0.11835714285714286</v>
      </c>
      <c r="W1686">
        <f t="shared" si="243"/>
        <v>8.5526315789473686E-2</v>
      </c>
      <c r="X1686">
        <f t="shared" si="244"/>
        <v>0.94647826086956499</v>
      </c>
      <c r="Y1686">
        <v>36.427164009999998</v>
      </c>
      <c r="Z1686">
        <v>0</v>
      </c>
      <c r="AA1686">
        <v>21149</v>
      </c>
      <c r="AB1686">
        <v>6968</v>
      </c>
      <c r="AC1686">
        <v>1.6645858999999999E-2</v>
      </c>
      <c r="AD1686">
        <v>0.89069218999999999</v>
      </c>
      <c r="AG1686">
        <v>0</v>
      </c>
      <c r="AH1686">
        <v>0</v>
      </c>
      <c r="AI1686">
        <v>1</v>
      </c>
      <c r="AK1686">
        <v>23.914999999999999</v>
      </c>
    </row>
    <row r="1687" spans="1:40">
      <c r="A1687">
        <v>3755</v>
      </c>
      <c r="B1687" t="s">
        <v>692</v>
      </c>
      <c r="C1687" t="s">
        <v>693</v>
      </c>
      <c r="D1687" t="s">
        <v>694</v>
      </c>
      <c r="E1687">
        <v>265</v>
      </c>
      <c r="F1687">
        <v>761</v>
      </c>
      <c r="G1687">
        <v>88.905952170000006</v>
      </c>
      <c r="H1687">
        <v>0</v>
      </c>
      <c r="I1687">
        <v>0.13896941300000001</v>
      </c>
      <c r="J1687">
        <v>761</v>
      </c>
      <c r="K1687">
        <v>5476.0251449999996</v>
      </c>
      <c r="L1687">
        <v>0.874</v>
      </c>
      <c r="M1687">
        <v>0</v>
      </c>
      <c r="N1687">
        <v>0</v>
      </c>
      <c r="O1687" t="s">
        <v>620</v>
      </c>
      <c r="P1687">
        <f t="shared" si="236"/>
        <v>17.791269839999998</v>
      </c>
      <c r="Q1687">
        <f t="shared" si="237"/>
        <v>3.0000000000000001E-3</v>
      </c>
      <c r="R1687">
        <f t="shared" si="238"/>
        <v>0.01</v>
      </c>
      <c r="S1687">
        <f t="shared" si="239"/>
        <v>0.874</v>
      </c>
      <c r="T1687">
        <f t="shared" si="240"/>
        <v>2.3250000000000002</v>
      </c>
      <c r="U1687">
        <f t="shared" si="241"/>
        <v>7.9229640720000001</v>
      </c>
      <c r="V1687">
        <f t="shared" si="242"/>
        <v>4.1084210526315765E-2</v>
      </c>
      <c r="W1687">
        <f t="shared" si="243"/>
        <v>4.7929411764705873E-2</v>
      </c>
      <c r="X1687">
        <f t="shared" si="244"/>
        <v>1</v>
      </c>
      <c r="Y1687">
        <v>127.4883744</v>
      </c>
      <c r="Z1687">
        <v>0</v>
      </c>
      <c r="AA1687">
        <v>77808</v>
      </c>
      <c r="AB1687">
        <v>27489</v>
      </c>
      <c r="AC1687">
        <v>1.1225541E-2</v>
      </c>
      <c r="AD1687">
        <v>0.835708267</v>
      </c>
      <c r="AF1687">
        <v>17.791269839999998</v>
      </c>
      <c r="AG1687">
        <v>3.0000000000000001E-3</v>
      </c>
      <c r="AH1687">
        <v>0.01</v>
      </c>
      <c r="AI1687">
        <v>0.874</v>
      </c>
      <c r="AJ1687">
        <v>2.3250000000000002</v>
      </c>
      <c r="AK1687">
        <v>7.9229640720000001</v>
      </c>
      <c r="AL1687">
        <v>0</v>
      </c>
      <c r="AM1687">
        <v>0</v>
      </c>
      <c r="AN1687">
        <v>1</v>
      </c>
    </row>
    <row r="1688" spans="1:40">
      <c r="A1688">
        <v>3756</v>
      </c>
      <c r="B1688" t="s">
        <v>692</v>
      </c>
      <c r="C1688" t="s">
        <v>693</v>
      </c>
      <c r="D1688" t="s">
        <v>694</v>
      </c>
      <c r="E1688">
        <v>138</v>
      </c>
      <c r="F1688">
        <v>384</v>
      </c>
      <c r="G1688">
        <v>395.18486830000001</v>
      </c>
      <c r="H1688">
        <v>491</v>
      </c>
      <c r="I1688">
        <v>0.61770171600000001</v>
      </c>
      <c r="J1688">
        <v>875</v>
      </c>
      <c r="K1688">
        <v>1416.5413129999999</v>
      </c>
      <c r="L1688">
        <v>0.89300000000000002</v>
      </c>
      <c r="M1688">
        <v>0.78060413399999995</v>
      </c>
      <c r="N1688">
        <v>0</v>
      </c>
      <c r="O1688" t="s">
        <v>620</v>
      </c>
      <c r="P1688">
        <f t="shared" si="236"/>
        <v>15.03452381</v>
      </c>
      <c r="Q1688">
        <f t="shared" si="237"/>
        <v>0.01</v>
      </c>
      <c r="R1688">
        <f t="shared" si="238"/>
        <v>2.1000000000000001E-2</v>
      </c>
      <c r="S1688">
        <f t="shared" si="239"/>
        <v>0.89300000000000002</v>
      </c>
      <c r="T1688">
        <f t="shared" si="240"/>
        <v>3.6516666670000002</v>
      </c>
      <c r="U1688">
        <f t="shared" si="241"/>
        <v>10.09580448</v>
      </c>
      <c r="V1688">
        <f t="shared" si="242"/>
        <v>4.2999999999999997E-2</v>
      </c>
      <c r="W1688">
        <f t="shared" si="243"/>
        <v>2.9000000000000001E-2</v>
      </c>
      <c r="X1688">
        <f t="shared" si="244"/>
        <v>0.91300000000000003</v>
      </c>
      <c r="Y1688">
        <v>8.3577067560000007</v>
      </c>
      <c r="Z1688">
        <v>0</v>
      </c>
      <c r="AA1688">
        <v>77808</v>
      </c>
      <c r="AB1688">
        <v>27489</v>
      </c>
      <c r="AC1688">
        <v>1.1225541E-2</v>
      </c>
      <c r="AD1688">
        <v>0.835708267</v>
      </c>
      <c r="AF1688">
        <v>15.03452381</v>
      </c>
      <c r="AG1688">
        <v>0.01</v>
      </c>
      <c r="AH1688">
        <v>2.1000000000000001E-2</v>
      </c>
      <c r="AI1688">
        <v>0.89300000000000002</v>
      </c>
      <c r="AJ1688">
        <v>3.6516666670000002</v>
      </c>
      <c r="AK1688">
        <v>10.09580448</v>
      </c>
      <c r="AL1688">
        <v>4.2999999999999997E-2</v>
      </c>
      <c r="AM1688">
        <v>2.9000000000000001E-2</v>
      </c>
      <c r="AN1688">
        <v>0.91300000000000003</v>
      </c>
    </row>
    <row r="1689" spans="1:40">
      <c r="A1689">
        <v>3757</v>
      </c>
      <c r="B1689" t="s">
        <v>692</v>
      </c>
      <c r="C1689" t="s">
        <v>693</v>
      </c>
      <c r="D1689" t="s">
        <v>694</v>
      </c>
      <c r="E1689">
        <v>608</v>
      </c>
      <c r="F1689">
        <v>1726</v>
      </c>
      <c r="G1689">
        <v>40.12171146</v>
      </c>
      <c r="H1689">
        <v>398</v>
      </c>
      <c r="I1689">
        <v>6.2722018000000004E-2</v>
      </c>
      <c r="J1689">
        <v>2124</v>
      </c>
      <c r="K1689">
        <v>33863.706359999996</v>
      </c>
      <c r="L1689">
        <v>0.73199999999999998</v>
      </c>
      <c r="M1689">
        <v>0.39562624299999999</v>
      </c>
      <c r="N1689">
        <v>0</v>
      </c>
      <c r="O1689" t="s">
        <v>620</v>
      </c>
      <c r="P1689">
        <f t="shared" si="236"/>
        <v>15.79016129</v>
      </c>
      <c r="Q1689">
        <f t="shared" si="237"/>
        <v>1.7000000000000001E-2</v>
      </c>
      <c r="R1689">
        <f t="shared" si="238"/>
        <v>2.9000000000000001E-2</v>
      </c>
      <c r="S1689">
        <f t="shared" si="239"/>
        <v>0.73199999999999998</v>
      </c>
      <c r="T1689">
        <f t="shared" si="240"/>
        <v>1.624418605</v>
      </c>
      <c r="U1689">
        <f t="shared" si="241"/>
        <v>7.9840206189999998</v>
      </c>
      <c r="V1689">
        <f t="shared" si="242"/>
        <v>3.5999999999999997E-2</v>
      </c>
      <c r="W1689">
        <f t="shared" si="243"/>
        <v>0.08</v>
      </c>
      <c r="X1689">
        <f t="shared" si="244"/>
        <v>0.82699999999999996</v>
      </c>
      <c r="Y1689">
        <v>85.489019440000007</v>
      </c>
      <c r="Z1689">
        <v>0</v>
      </c>
      <c r="AA1689">
        <v>77808</v>
      </c>
      <c r="AB1689">
        <v>27489</v>
      </c>
      <c r="AC1689">
        <v>1.1225541E-2</v>
      </c>
      <c r="AD1689">
        <v>0.835708267</v>
      </c>
      <c r="AF1689">
        <v>15.79016129</v>
      </c>
      <c r="AG1689">
        <v>1.7000000000000001E-2</v>
      </c>
      <c r="AH1689">
        <v>2.9000000000000001E-2</v>
      </c>
      <c r="AI1689">
        <v>0.73199999999999998</v>
      </c>
      <c r="AJ1689">
        <v>1.624418605</v>
      </c>
      <c r="AK1689">
        <v>7.9840206189999998</v>
      </c>
      <c r="AL1689">
        <v>3.5999999999999997E-2</v>
      </c>
      <c r="AM1689">
        <v>0.08</v>
      </c>
      <c r="AN1689">
        <v>0.82699999999999996</v>
      </c>
    </row>
    <row r="1690" spans="1:40">
      <c r="A1690">
        <v>3758</v>
      </c>
      <c r="B1690" t="s">
        <v>692</v>
      </c>
      <c r="C1690" t="s">
        <v>693</v>
      </c>
      <c r="D1690" t="s">
        <v>694</v>
      </c>
      <c r="E1690">
        <v>42</v>
      </c>
      <c r="F1690">
        <v>103</v>
      </c>
      <c r="G1690">
        <v>72.42905974</v>
      </c>
      <c r="H1690">
        <v>1573</v>
      </c>
      <c r="I1690">
        <v>0.113212837</v>
      </c>
      <c r="J1690">
        <v>1676</v>
      </c>
      <c r="K1690">
        <v>14803.974920000001</v>
      </c>
      <c r="L1690">
        <v>0.77900000000000003</v>
      </c>
      <c r="M1690">
        <v>0.97399380800000002</v>
      </c>
      <c r="N1690">
        <v>0</v>
      </c>
      <c r="O1690" t="s">
        <v>620</v>
      </c>
      <c r="P1690">
        <f t="shared" si="236"/>
        <v>17.755783130000001</v>
      </c>
      <c r="Q1690">
        <f t="shared" si="237"/>
        <v>2E-3</v>
      </c>
      <c r="R1690">
        <f t="shared" si="238"/>
        <v>4.1000000000000002E-2</v>
      </c>
      <c r="S1690">
        <f t="shared" si="239"/>
        <v>0.77900000000000003</v>
      </c>
      <c r="T1690">
        <f t="shared" si="240"/>
        <v>2.6267999999999998</v>
      </c>
      <c r="U1690">
        <f t="shared" si="241"/>
        <v>9.6237433719999999</v>
      </c>
      <c r="V1690">
        <f t="shared" si="242"/>
        <v>7.8E-2</v>
      </c>
      <c r="W1690">
        <f t="shared" si="243"/>
        <v>4.7929411764705873E-2</v>
      </c>
      <c r="X1690">
        <f t="shared" si="244"/>
        <v>0.86499999999999999</v>
      </c>
      <c r="Y1690">
        <v>71.854013370000004</v>
      </c>
      <c r="Z1690">
        <v>0</v>
      </c>
      <c r="AA1690">
        <v>77808</v>
      </c>
      <c r="AB1690">
        <v>27489</v>
      </c>
      <c r="AC1690">
        <v>1.1225541E-2</v>
      </c>
      <c r="AD1690">
        <v>0.835708267</v>
      </c>
      <c r="AF1690">
        <v>17.755783130000001</v>
      </c>
      <c r="AG1690">
        <v>2E-3</v>
      </c>
      <c r="AH1690">
        <v>4.1000000000000002E-2</v>
      </c>
      <c r="AI1690">
        <v>0.77900000000000003</v>
      </c>
      <c r="AJ1690">
        <v>2.6267999999999998</v>
      </c>
      <c r="AK1690">
        <v>9.6237433719999999</v>
      </c>
      <c r="AL1690">
        <v>7.8E-2</v>
      </c>
      <c r="AM1690">
        <v>0</v>
      </c>
      <c r="AN1690">
        <v>0.86499999999999999</v>
      </c>
    </row>
    <row r="1691" spans="1:40">
      <c r="A1691">
        <v>3759</v>
      </c>
      <c r="B1691" t="s">
        <v>692</v>
      </c>
      <c r="C1691" t="s">
        <v>693</v>
      </c>
      <c r="D1691" t="s">
        <v>694</v>
      </c>
      <c r="E1691">
        <v>0</v>
      </c>
      <c r="F1691">
        <v>0</v>
      </c>
      <c r="G1691">
        <v>68.557605499999994</v>
      </c>
      <c r="H1691">
        <v>0</v>
      </c>
      <c r="I1691">
        <v>0.10717034</v>
      </c>
      <c r="J1691">
        <v>0</v>
      </c>
      <c r="K1691">
        <v>0</v>
      </c>
      <c r="L1691"/>
      <c r="M1691">
        <v>0</v>
      </c>
      <c r="N1691">
        <v>0</v>
      </c>
      <c r="O1691" t="s">
        <v>620</v>
      </c>
      <c r="P1691">
        <f t="shared" si="236"/>
        <v>16.11635377211865</v>
      </c>
      <c r="Q1691">
        <f t="shared" si="237"/>
        <v>1.2828282828282822E-2</v>
      </c>
      <c r="R1691">
        <f t="shared" si="238"/>
        <v>1.9814814814814796E-2</v>
      </c>
      <c r="S1691">
        <f t="shared" si="239"/>
        <v>0.84685714285714275</v>
      </c>
      <c r="T1691">
        <f t="shared" si="240"/>
        <v>2.2234128568796301</v>
      </c>
      <c r="U1691">
        <f t="shared" si="241"/>
        <v>8.5742020333697493</v>
      </c>
      <c r="V1691">
        <f t="shared" si="242"/>
        <v>4.1084210526315765E-2</v>
      </c>
      <c r="W1691">
        <f t="shared" si="243"/>
        <v>4.7929411764705873E-2</v>
      </c>
      <c r="X1691">
        <f t="shared" si="244"/>
        <v>0.89122881355932193</v>
      </c>
      <c r="Y1691">
        <v>112.38292730000001</v>
      </c>
      <c r="Z1691">
        <v>0</v>
      </c>
      <c r="AA1691">
        <v>77808</v>
      </c>
      <c r="AB1691">
        <v>27489</v>
      </c>
      <c r="AC1691">
        <v>1.1225541E-2</v>
      </c>
      <c r="AD1691">
        <v>0.835708267</v>
      </c>
    </row>
    <row r="1692" spans="1:40">
      <c r="A1692">
        <v>3760</v>
      </c>
      <c r="B1692" t="s">
        <v>692</v>
      </c>
      <c r="C1692" t="s">
        <v>693</v>
      </c>
      <c r="D1692" t="s">
        <v>694</v>
      </c>
      <c r="E1692">
        <v>1</v>
      </c>
      <c r="F1692">
        <v>3</v>
      </c>
      <c r="G1692">
        <v>51.326180389999998</v>
      </c>
      <c r="H1692">
        <v>0</v>
      </c>
      <c r="I1692">
        <v>8.0227417999999995E-2</v>
      </c>
      <c r="J1692">
        <v>3</v>
      </c>
      <c r="K1692">
        <v>37.393699990000002</v>
      </c>
      <c r="L1692" s="515">
        <v>1</v>
      </c>
      <c r="M1692">
        <v>0</v>
      </c>
      <c r="N1692">
        <v>0</v>
      </c>
      <c r="O1692" t="s">
        <v>625</v>
      </c>
      <c r="P1692">
        <f t="shared" si="236"/>
        <v>16.11635377211865</v>
      </c>
      <c r="Q1692">
        <f t="shared" si="237"/>
        <v>1.2828282828282822E-2</v>
      </c>
      <c r="R1692">
        <f t="shared" si="238"/>
        <v>1.9814814814814796E-2</v>
      </c>
      <c r="S1692">
        <f t="shared" si="239"/>
        <v>1</v>
      </c>
      <c r="T1692">
        <f t="shared" si="240"/>
        <v>2.2234128568796301</v>
      </c>
      <c r="U1692">
        <f t="shared" si="241"/>
        <v>6.6</v>
      </c>
      <c r="V1692">
        <f t="shared" si="242"/>
        <v>4.1084210526315765E-2</v>
      </c>
      <c r="W1692">
        <f t="shared" si="243"/>
        <v>4.7929411764705873E-2</v>
      </c>
      <c r="X1692">
        <f t="shared" si="244"/>
        <v>0.89122881355932193</v>
      </c>
      <c r="Y1692">
        <v>112.32165639999999</v>
      </c>
      <c r="Z1692">
        <v>0</v>
      </c>
      <c r="AA1692">
        <v>77808</v>
      </c>
      <c r="AB1692">
        <v>27489</v>
      </c>
      <c r="AC1692">
        <v>1.1225541E-2</v>
      </c>
      <c r="AD1692">
        <v>0.835708267</v>
      </c>
      <c r="AG1692">
        <v>0</v>
      </c>
      <c r="AH1692">
        <v>0</v>
      </c>
      <c r="AI1692">
        <v>1</v>
      </c>
      <c r="AK1692">
        <v>6.6</v>
      </c>
    </row>
    <row r="1693" spans="1:40">
      <c r="A1693">
        <v>3761</v>
      </c>
      <c r="B1693" t="s">
        <v>689</v>
      </c>
      <c r="C1693" t="s">
        <v>687</v>
      </c>
      <c r="D1693" t="s">
        <v>688</v>
      </c>
      <c r="E1693">
        <v>139</v>
      </c>
      <c r="F1693">
        <v>401</v>
      </c>
      <c r="G1693">
        <v>30.329245239999999</v>
      </c>
      <c r="H1693">
        <v>368</v>
      </c>
      <c r="I1693">
        <v>4.7408800000000001E-2</v>
      </c>
      <c r="J1693">
        <v>769</v>
      </c>
      <c r="K1693">
        <v>16220.617270000001</v>
      </c>
      <c r="L1693">
        <v>0.83799999999999997</v>
      </c>
      <c r="M1693">
        <v>0.72583826399999996</v>
      </c>
      <c r="N1693">
        <v>0</v>
      </c>
      <c r="O1693" t="s">
        <v>620</v>
      </c>
      <c r="P1693">
        <f t="shared" si="236"/>
        <v>15.11184211</v>
      </c>
      <c r="Q1693">
        <f t="shared" si="237"/>
        <v>1.7000000000000001E-2</v>
      </c>
      <c r="R1693">
        <f t="shared" si="238"/>
        <v>2.5000000000000001E-2</v>
      </c>
      <c r="S1693">
        <f t="shared" si="239"/>
        <v>0.83799999999999997</v>
      </c>
      <c r="T1693">
        <f t="shared" si="240"/>
        <v>2.985555556</v>
      </c>
      <c r="U1693">
        <f t="shared" si="241"/>
        <v>7.5192711860000001</v>
      </c>
      <c r="V1693">
        <f t="shared" si="242"/>
        <v>0.108</v>
      </c>
      <c r="W1693">
        <f t="shared" si="243"/>
        <v>3.2000000000000001E-2</v>
      </c>
      <c r="X1693">
        <f t="shared" si="244"/>
        <v>0.81699999999999995</v>
      </c>
      <c r="Y1693">
        <v>153.32960460000001</v>
      </c>
      <c r="Z1693">
        <v>0</v>
      </c>
      <c r="AA1693">
        <v>454184</v>
      </c>
      <c r="AB1693">
        <v>170596</v>
      </c>
      <c r="AC1693">
        <v>6.5715274000000004E-2</v>
      </c>
      <c r="AD1693">
        <v>0.72549415100000003</v>
      </c>
      <c r="AF1693">
        <v>15.11184211</v>
      </c>
      <c r="AG1693">
        <v>1.7000000000000001E-2</v>
      </c>
      <c r="AH1693">
        <v>2.5000000000000001E-2</v>
      </c>
      <c r="AI1693">
        <v>0.83799999999999997</v>
      </c>
      <c r="AJ1693">
        <v>2.985555556</v>
      </c>
      <c r="AK1693">
        <v>7.5192711860000001</v>
      </c>
      <c r="AL1693">
        <v>0.108</v>
      </c>
      <c r="AM1693">
        <v>3.2000000000000001E-2</v>
      </c>
      <c r="AN1693">
        <v>0.81699999999999995</v>
      </c>
    </row>
    <row r="1694" spans="1:40">
      <c r="A1694">
        <v>3762</v>
      </c>
      <c r="B1694" t="s">
        <v>689</v>
      </c>
      <c r="C1694" t="s">
        <v>687</v>
      </c>
      <c r="D1694" t="s">
        <v>688</v>
      </c>
      <c r="E1694">
        <v>82</v>
      </c>
      <c r="F1694">
        <v>275</v>
      </c>
      <c r="G1694">
        <v>25.374069720000001</v>
      </c>
      <c r="H1694">
        <v>870</v>
      </c>
      <c r="I1694">
        <v>3.9667696000000002E-2</v>
      </c>
      <c r="J1694">
        <v>1145</v>
      </c>
      <c r="K1694">
        <v>28864.797190000001</v>
      </c>
      <c r="L1694">
        <v>0.75700000000000001</v>
      </c>
      <c r="M1694">
        <v>0.91386554600000003</v>
      </c>
      <c r="N1694">
        <v>1</v>
      </c>
      <c r="O1694" t="s">
        <v>613</v>
      </c>
      <c r="P1694">
        <f t="shared" si="236"/>
        <v>12.62928571</v>
      </c>
      <c r="Q1694">
        <f t="shared" si="237"/>
        <v>6.4000000000000001E-2</v>
      </c>
      <c r="R1694">
        <f t="shared" si="238"/>
        <v>0.02</v>
      </c>
      <c r="S1694">
        <f t="shared" si="239"/>
        <v>0.75700000000000001</v>
      </c>
      <c r="T1694">
        <f t="shared" si="240"/>
        <v>2.391666667</v>
      </c>
      <c r="U1694">
        <f t="shared" si="241"/>
        <v>7.5332415900000003</v>
      </c>
      <c r="V1694">
        <f t="shared" si="242"/>
        <v>6.8000000000000005E-2</v>
      </c>
      <c r="W1694">
        <f t="shared" si="243"/>
        <v>0.16500000000000001</v>
      </c>
      <c r="X1694">
        <f t="shared" si="244"/>
        <v>0.71599999999999997</v>
      </c>
      <c r="Y1694">
        <v>203.50634529999999</v>
      </c>
      <c r="Z1694">
        <v>0</v>
      </c>
      <c r="AA1694">
        <v>454184</v>
      </c>
      <c r="AB1694">
        <v>170596</v>
      </c>
      <c r="AC1694">
        <v>6.5715274000000004E-2</v>
      </c>
      <c r="AD1694">
        <v>0.72549415100000003</v>
      </c>
      <c r="AF1694">
        <v>12.62928571</v>
      </c>
      <c r="AG1694">
        <v>6.4000000000000001E-2</v>
      </c>
      <c r="AH1694">
        <v>0.02</v>
      </c>
      <c r="AI1694">
        <v>0.75700000000000001</v>
      </c>
      <c r="AJ1694">
        <v>2.391666667</v>
      </c>
      <c r="AK1694">
        <v>7.5332415900000003</v>
      </c>
      <c r="AL1694">
        <v>6.8000000000000005E-2</v>
      </c>
      <c r="AM1694">
        <v>0.16500000000000001</v>
      </c>
      <c r="AN1694">
        <v>0.71599999999999997</v>
      </c>
    </row>
    <row r="1695" spans="1:40">
      <c r="A1695">
        <v>3763</v>
      </c>
      <c r="B1695" t="s">
        <v>689</v>
      </c>
      <c r="C1695" t="s">
        <v>687</v>
      </c>
      <c r="D1695" t="s">
        <v>688</v>
      </c>
      <c r="E1695">
        <v>0</v>
      </c>
      <c r="F1695">
        <v>36</v>
      </c>
      <c r="G1695">
        <v>37.843844850000004</v>
      </c>
      <c r="H1695">
        <v>793</v>
      </c>
      <c r="I1695">
        <v>5.9152896000000003E-2</v>
      </c>
      <c r="J1695">
        <v>829</v>
      </c>
      <c r="K1695">
        <v>14014.529399999999</v>
      </c>
      <c r="L1695">
        <v>0.81399999999999995</v>
      </c>
      <c r="M1695" s="515">
        <v>1</v>
      </c>
      <c r="N1695">
        <v>1</v>
      </c>
      <c r="O1695" t="s">
        <v>613</v>
      </c>
      <c r="P1695">
        <f t="shared" si="236"/>
        <v>12.58598039</v>
      </c>
      <c r="Q1695">
        <f t="shared" si="237"/>
        <v>7.0000000000000007E-2</v>
      </c>
      <c r="R1695">
        <f t="shared" si="238"/>
        <v>3.1E-2</v>
      </c>
      <c r="S1695">
        <f t="shared" si="239"/>
        <v>0.81399999999999995</v>
      </c>
      <c r="T1695">
        <f t="shared" si="240"/>
        <v>2.0305555559999999</v>
      </c>
      <c r="U1695">
        <f t="shared" si="241"/>
        <v>7.3521961620000003</v>
      </c>
      <c r="V1695">
        <f t="shared" si="242"/>
        <v>4.8000000000000001E-2</v>
      </c>
      <c r="W1695">
        <f t="shared" si="243"/>
        <v>0.21099999999999999</v>
      </c>
      <c r="X1695">
        <f t="shared" si="244"/>
        <v>0.69399999999999995</v>
      </c>
      <c r="Y1695">
        <v>79.226433110000002</v>
      </c>
      <c r="Z1695">
        <v>0</v>
      </c>
      <c r="AA1695">
        <v>454184</v>
      </c>
      <c r="AB1695">
        <v>170596</v>
      </c>
      <c r="AC1695">
        <v>6.5715274000000004E-2</v>
      </c>
      <c r="AD1695">
        <v>0.72549415100000003</v>
      </c>
      <c r="AF1695">
        <v>12.58598039</v>
      </c>
      <c r="AG1695">
        <v>7.0000000000000007E-2</v>
      </c>
      <c r="AH1695">
        <v>3.1E-2</v>
      </c>
      <c r="AI1695">
        <v>0.81399999999999995</v>
      </c>
      <c r="AJ1695">
        <v>2.0305555559999999</v>
      </c>
      <c r="AK1695">
        <v>7.3521961620000003</v>
      </c>
      <c r="AL1695">
        <v>4.8000000000000001E-2</v>
      </c>
      <c r="AM1695">
        <v>0.21099999999999999</v>
      </c>
      <c r="AN1695">
        <v>0.69399999999999995</v>
      </c>
    </row>
    <row r="1696" spans="1:40">
      <c r="A1696">
        <v>3764</v>
      </c>
      <c r="B1696" t="s">
        <v>689</v>
      </c>
      <c r="C1696" t="s">
        <v>687</v>
      </c>
      <c r="D1696" t="s">
        <v>688</v>
      </c>
      <c r="E1696">
        <v>116</v>
      </c>
      <c r="F1696">
        <v>285</v>
      </c>
      <c r="G1696">
        <v>106.0610379</v>
      </c>
      <c r="H1696">
        <v>5</v>
      </c>
      <c r="I1696">
        <v>0.16579503600000001</v>
      </c>
      <c r="J1696">
        <v>290</v>
      </c>
      <c r="K1696">
        <v>1749.1476640000001</v>
      </c>
      <c r="L1696">
        <v>0.90800000000000003</v>
      </c>
      <c r="M1696">
        <v>4.1322313999999999E-2</v>
      </c>
      <c r="N1696">
        <v>0</v>
      </c>
      <c r="O1696" t="s">
        <v>625</v>
      </c>
      <c r="P1696">
        <f t="shared" si="236"/>
        <v>16.223500000000001</v>
      </c>
      <c r="Q1696">
        <f t="shared" si="237"/>
        <v>4.5999999999999999E-2</v>
      </c>
      <c r="R1696">
        <f t="shared" si="238"/>
        <v>3.4000000000000002E-2</v>
      </c>
      <c r="S1696">
        <f t="shared" si="239"/>
        <v>0.90800000000000003</v>
      </c>
      <c r="T1696">
        <f t="shared" si="240"/>
        <v>3.5233333330000001</v>
      </c>
      <c r="U1696">
        <f t="shared" si="241"/>
        <v>11.228714289999999</v>
      </c>
      <c r="V1696">
        <f t="shared" si="242"/>
        <v>0.04</v>
      </c>
      <c r="W1696">
        <f t="shared" si="243"/>
        <v>0.16</v>
      </c>
      <c r="X1696">
        <f t="shared" si="244"/>
        <v>0.8</v>
      </c>
      <c r="Y1696">
        <v>73.007863450000002</v>
      </c>
      <c r="Z1696">
        <v>0</v>
      </c>
      <c r="AA1696">
        <v>454184</v>
      </c>
      <c r="AB1696">
        <v>170596</v>
      </c>
      <c r="AC1696">
        <v>6.5715274000000004E-2</v>
      </c>
      <c r="AD1696">
        <v>0.72549415100000003</v>
      </c>
      <c r="AF1696">
        <v>16.223500000000001</v>
      </c>
      <c r="AG1696">
        <v>4.5999999999999999E-2</v>
      </c>
      <c r="AH1696">
        <v>3.4000000000000002E-2</v>
      </c>
      <c r="AI1696">
        <v>0.90800000000000003</v>
      </c>
      <c r="AJ1696">
        <v>3.5233333330000001</v>
      </c>
      <c r="AK1696">
        <v>11.228714289999999</v>
      </c>
      <c r="AL1696">
        <v>0.04</v>
      </c>
      <c r="AM1696">
        <v>0.16</v>
      </c>
      <c r="AN1696">
        <v>0.8</v>
      </c>
    </row>
    <row r="1697" spans="1:40">
      <c r="A1697">
        <v>3765</v>
      </c>
      <c r="B1697" t="s">
        <v>689</v>
      </c>
      <c r="C1697" t="s">
        <v>687</v>
      </c>
      <c r="D1697" t="s">
        <v>688</v>
      </c>
      <c r="E1697">
        <v>49</v>
      </c>
      <c r="F1697">
        <v>162</v>
      </c>
      <c r="G1697">
        <v>7.1958350930000003</v>
      </c>
      <c r="H1697">
        <v>44</v>
      </c>
      <c r="I1697">
        <v>1.1245441E-2</v>
      </c>
      <c r="J1697">
        <v>206</v>
      </c>
      <c r="K1697">
        <v>18318.534599999999</v>
      </c>
      <c r="L1697">
        <v>0.68899999999999995</v>
      </c>
      <c r="M1697">
        <v>0.47311828</v>
      </c>
      <c r="N1697">
        <v>0</v>
      </c>
      <c r="O1697" t="s">
        <v>613</v>
      </c>
      <c r="P1697">
        <f t="shared" si="236"/>
        <v>19.15666667</v>
      </c>
      <c r="Q1697">
        <f t="shared" si="237"/>
        <v>1.9E-2</v>
      </c>
      <c r="R1697">
        <f t="shared" si="238"/>
        <v>3.7999999999999999E-2</v>
      </c>
      <c r="S1697">
        <f t="shared" si="239"/>
        <v>0.68899999999999995</v>
      </c>
      <c r="T1697">
        <f t="shared" si="240"/>
        <v>1.8149999999999999</v>
      </c>
      <c r="U1697">
        <f t="shared" si="241"/>
        <v>5.3476712329999998</v>
      </c>
      <c r="V1697">
        <f t="shared" si="242"/>
        <v>6.2414117647058849E-2</v>
      </c>
      <c r="W1697">
        <f t="shared" si="243"/>
        <v>0.17334782608695659</v>
      </c>
      <c r="X1697">
        <f t="shared" si="244"/>
        <v>0.42899999999999999</v>
      </c>
      <c r="Y1697">
        <v>130.50165179999999</v>
      </c>
      <c r="Z1697">
        <v>0</v>
      </c>
      <c r="AA1697">
        <v>454184</v>
      </c>
      <c r="AB1697">
        <v>170596</v>
      </c>
      <c r="AC1697">
        <v>6.5715274000000004E-2</v>
      </c>
      <c r="AD1697">
        <v>0.72549415100000003</v>
      </c>
      <c r="AF1697">
        <v>19.15666667</v>
      </c>
      <c r="AG1697">
        <v>1.9E-2</v>
      </c>
      <c r="AH1697">
        <v>3.7999999999999999E-2</v>
      </c>
      <c r="AI1697">
        <v>0.68899999999999995</v>
      </c>
      <c r="AJ1697">
        <v>1.8149999999999999</v>
      </c>
      <c r="AK1697">
        <v>5.3476712329999998</v>
      </c>
      <c r="AL1697">
        <v>0</v>
      </c>
      <c r="AM1697">
        <v>0</v>
      </c>
      <c r="AN1697">
        <v>0.42899999999999999</v>
      </c>
    </row>
    <row r="1698" spans="1:40">
      <c r="A1698">
        <v>3766</v>
      </c>
      <c r="B1698" t="s">
        <v>686</v>
      </c>
      <c r="C1698" t="s">
        <v>687</v>
      </c>
      <c r="D1698" t="s">
        <v>688</v>
      </c>
      <c r="E1698">
        <v>69</v>
      </c>
      <c r="F1698">
        <v>159</v>
      </c>
      <c r="G1698">
        <v>8.0787379319999992</v>
      </c>
      <c r="H1698">
        <v>0</v>
      </c>
      <c r="I1698">
        <v>1.2628194000000001E-2</v>
      </c>
      <c r="J1698">
        <v>159</v>
      </c>
      <c r="K1698">
        <v>12590.874040000001</v>
      </c>
      <c r="L1698">
        <v>0.73199999999999998</v>
      </c>
      <c r="M1698">
        <v>0</v>
      </c>
      <c r="N1698">
        <v>0</v>
      </c>
      <c r="O1698" t="s">
        <v>613</v>
      </c>
      <c r="P1698">
        <f t="shared" si="236"/>
        <v>11.283076919999999</v>
      </c>
      <c r="Q1698">
        <f t="shared" si="237"/>
        <v>1.4E-2</v>
      </c>
      <c r="R1698">
        <f t="shared" si="238"/>
        <v>2.9000000000000001E-2</v>
      </c>
      <c r="S1698">
        <f t="shared" si="239"/>
        <v>0.73199999999999998</v>
      </c>
      <c r="T1698">
        <f t="shared" si="240"/>
        <v>1.83</v>
      </c>
      <c r="U1698">
        <f t="shared" si="241"/>
        <v>5.516206897</v>
      </c>
      <c r="V1698">
        <f t="shared" si="242"/>
        <v>0.11799999999999999</v>
      </c>
      <c r="W1698">
        <f t="shared" si="243"/>
        <v>0.18733823529411764</v>
      </c>
      <c r="X1698">
        <f t="shared" si="244"/>
        <v>0.76500000000000001</v>
      </c>
      <c r="Y1698">
        <v>156.1315007</v>
      </c>
      <c r="Z1698">
        <v>1</v>
      </c>
      <c r="AA1698">
        <v>140316</v>
      </c>
      <c r="AB1698">
        <v>49638</v>
      </c>
      <c r="AC1698">
        <v>9.1283894000000004E-2</v>
      </c>
      <c r="AD1698">
        <v>0.60339869999999995</v>
      </c>
      <c r="AF1698">
        <v>11.283076919999999</v>
      </c>
      <c r="AG1698">
        <v>1.4E-2</v>
      </c>
      <c r="AH1698">
        <v>2.9000000000000001E-2</v>
      </c>
      <c r="AI1698">
        <v>0.73199999999999998</v>
      </c>
      <c r="AJ1698">
        <v>1.83</v>
      </c>
      <c r="AK1698">
        <v>5.516206897</v>
      </c>
      <c r="AL1698">
        <v>0.11799999999999999</v>
      </c>
      <c r="AM1698">
        <v>0</v>
      </c>
      <c r="AN1698">
        <v>0.76500000000000001</v>
      </c>
    </row>
    <row r="1699" spans="1:40">
      <c r="A1699">
        <v>3767</v>
      </c>
      <c r="B1699" t="s">
        <v>686</v>
      </c>
      <c r="C1699" t="s">
        <v>687</v>
      </c>
      <c r="D1699" t="s">
        <v>688</v>
      </c>
      <c r="E1699">
        <v>326</v>
      </c>
      <c r="F1699">
        <v>799</v>
      </c>
      <c r="G1699">
        <v>63.076522050000001</v>
      </c>
      <c r="H1699">
        <v>0</v>
      </c>
      <c r="I1699">
        <v>9.8600779999999999E-2</v>
      </c>
      <c r="J1699">
        <v>799</v>
      </c>
      <c r="K1699">
        <v>8103.384172</v>
      </c>
      <c r="L1699">
        <v>0.81799999999999995</v>
      </c>
      <c r="M1699">
        <v>0</v>
      </c>
      <c r="N1699">
        <v>0</v>
      </c>
      <c r="O1699" t="s">
        <v>620</v>
      </c>
      <c r="P1699">
        <f t="shared" si="236"/>
        <v>11.253548390000001</v>
      </c>
      <c r="Q1699">
        <f t="shared" si="237"/>
        <v>2.3E-2</v>
      </c>
      <c r="R1699">
        <f t="shared" si="238"/>
        <v>3.5000000000000003E-2</v>
      </c>
      <c r="S1699">
        <f t="shared" si="239"/>
        <v>0.81799999999999995</v>
      </c>
      <c r="T1699">
        <f t="shared" si="240"/>
        <v>2.497142857</v>
      </c>
      <c r="U1699">
        <f t="shared" si="241"/>
        <v>6.5420711970000003</v>
      </c>
      <c r="V1699">
        <f t="shared" si="242"/>
        <v>5.6000000000000001E-2</v>
      </c>
      <c r="W1699">
        <f t="shared" si="243"/>
        <v>8.3000000000000004E-2</v>
      </c>
      <c r="X1699">
        <f t="shared" si="244"/>
        <v>0.86099999999999999</v>
      </c>
      <c r="Y1699">
        <v>101.5644836</v>
      </c>
      <c r="Z1699">
        <v>1</v>
      </c>
      <c r="AA1699">
        <v>140316</v>
      </c>
      <c r="AB1699">
        <v>49638</v>
      </c>
      <c r="AC1699">
        <v>9.1283894000000004E-2</v>
      </c>
      <c r="AD1699">
        <v>0.60339869999999995</v>
      </c>
      <c r="AF1699">
        <v>11.253548390000001</v>
      </c>
      <c r="AG1699">
        <v>2.3E-2</v>
      </c>
      <c r="AH1699">
        <v>3.5000000000000003E-2</v>
      </c>
      <c r="AI1699">
        <v>0.81799999999999995</v>
      </c>
      <c r="AJ1699">
        <v>2.497142857</v>
      </c>
      <c r="AK1699">
        <v>6.5420711970000003</v>
      </c>
      <c r="AL1699">
        <v>5.6000000000000001E-2</v>
      </c>
      <c r="AM1699">
        <v>8.3000000000000004E-2</v>
      </c>
      <c r="AN1699">
        <v>0.86099999999999999</v>
      </c>
    </row>
    <row r="1700" spans="1:40">
      <c r="A1700">
        <v>3768</v>
      </c>
      <c r="B1700" t="s">
        <v>686</v>
      </c>
      <c r="C1700" t="s">
        <v>687</v>
      </c>
      <c r="D1700" t="s">
        <v>688</v>
      </c>
      <c r="E1700">
        <v>244</v>
      </c>
      <c r="F1700">
        <v>520</v>
      </c>
      <c r="G1700">
        <v>20.926852400000001</v>
      </c>
      <c r="H1700">
        <v>199</v>
      </c>
      <c r="I1700">
        <v>3.2713263999999999E-2</v>
      </c>
      <c r="J1700">
        <v>719</v>
      </c>
      <c r="K1700">
        <v>21978.852370000001</v>
      </c>
      <c r="L1700">
        <v>0.66900000000000004</v>
      </c>
      <c r="M1700">
        <v>0.44920993199999998</v>
      </c>
      <c r="N1700">
        <v>0</v>
      </c>
      <c r="O1700" t="s">
        <v>613</v>
      </c>
      <c r="P1700">
        <f t="shared" si="236"/>
        <v>12.691698110000001</v>
      </c>
      <c r="Q1700">
        <f t="shared" si="237"/>
        <v>6.4000000000000001E-2</v>
      </c>
      <c r="R1700">
        <f t="shared" si="238"/>
        <v>3.9E-2</v>
      </c>
      <c r="S1700">
        <f t="shared" si="239"/>
        <v>0.66900000000000004</v>
      </c>
      <c r="T1700">
        <f t="shared" si="240"/>
        <v>1.83</v>
      </c>
      <c r="U1700">
        <f t="shared" si="241"/>
        <v>6.3725698319999999</v>
      </c>
      <c r="V1700">
        <f t="shared" si="242"/>
        <v>5.0999999999999997E-2</v>
      </c>
      <c r="W1700">
        <f t="shared" si="243"/>
        <v>0.22800000000000001</v>
      </c>
      <c r="X1700">
        <f t="shared" si="244"/>
        <v>0.67100000000000004</v>
      </c>
      <c r="Y1700">
        <v>210.29371320000001</v>
      </c>
      <c r="Z1700">
        <v>1</v>
      </c>
      <c r="AA1700">
        <v>140316</v>
      </c>
      <c r="AB1700">
        <v>49638</v>
      </c>
      <c r="AC1700">
        <v>9.1283894000000004E-2</v>
      </c>
      <c r="AD1700">
        <v>0.60339869999999995</v>
      </c>
      <c r="AF1700">
        <v>12.691698110000001</v>
      </c>
      <c r="AG1700">
        <v>6.4000000000000001E-2</v>
      </c>
      <c r="AH1700">
        <v>3.9E-2</v>
      </c>
      <c r="AI1700">
        <v>0.66900000000000004</v>
      </c>
      <c r="AJ1700">
        <v>1.83</v>
      </c>
      <c r="AK1700">
        <v>6.3725698319999999</v>
      </c>
      <c r="AL1700">
        <v>5.0999999999999997E-2</v>
      </c>
      <c r="AM1700">
        <v>0.22800000000000001</v>
      </c>
      <c r="AN1700">
        <v>0.67100000000000004</v>
      </c>
    </row>
    <row r="1701" spans="1:40">
      <c r="A1701">
        <v>3769</v>
      </c>
      <c r="B1701" t="s">
        <v>686</v>
      </c>
      <c r="C1701" t="s">
        <v>687</v>
      </c>
      <c r="D1701" t="s">
        <v>688</v>
      </c>
      <c r="E1701">
        <v>232</v>
      </c>
      <c r="F1701">
        <v>481</v>
      </c>
      <c r="G1701">
        <v>14.91556151</v>
      </c>
      <c r="H1701">
        <v>199</v>
      </c>
      <c r="I1701">
        <v>2.3314708E-2</v>
      </c>
      <c r="J1701">
        <v>680</v>
      </c>
      <c r="K1701">
        <v>29166.13839</v>
      </c>
      <c r="L1701">
        <v>0.61299999999999999</v>
      </c>
      <c r="M1701">
        <v>0.46171693699999999</v>
      </c>
      <c r="N1701">
        <v>0</v>
      </c>
      <c r="O1701" t="s">
        <v>606</v>
      </c>
      <c r="P1701">
        <f t="shared" si="236"/>
        <v>12.329122809999999</v>
      </c>
      <c r="Q1701">
        <f t="shared" si="237"/>
        <v>5.3999999999999999E-2</v>
      </c>
      <c r="R1701">
        <f t="shared" si="238"/>
        <v>5.0999999999999997E-2</v>
      </c>
      <c r="S1701">
        <f t="shared" si="239"/>
        <v>0.61299999999999999</v>
      </c>
      <c r="T1701">
        <f t="shared" si="240"/>
        <v>1.4059999999999999</v>
      </c>
      <c r="U1701">
        <f t="shared" si="241"/>
        <v>6.3670326409999998</v>
      </c>
      <c r="V1701">
        <f t="shared" si="242"/>
        <v>0.127</v>
      </c>
      <c r="W1701">
        <f t="shared" si="243"/>
        <v>0.17299999999999999</v>
      </c>
      <c r="X1701">
        <f t="shared" si="244"/>
        <v>0.51800000000000002</v>
      </c>
      <c r="Y1701">
        <v>134.5226116</v>
      </c>
      <c r="Z1701">
        <v>1</v>
      </c>
      <c r="AA1701">
        <v>140316</v>
      </c>
      <c r="AB1701">
        <v>49638</v>
      </c>
      <c r="AC1701">
        <v>9.1283894000000004E-2</v>
      </c>
      <c r="AD1701">
        <v>0.60339869999999995</v>
      </c>
      <c r="AF1701">
        <v>12.329122809999999</v>
      </c>
      <c r="AG1701">
        <v>5.3999999999999999E-2</v>
      </c>
      <c r="AH1701">
        <v>5.0999999999999997E-2</v>
      </c>
      <c r="AI1701">
        <v>0.61299999999999999</v>
      </c>
      <c r="AJ1701">
        <v>1.4059999999999999</v>
      </c>
      <c r="AK1701">
        <v>6.3670326409999998</v>
      </c>
      <c r="AL1701">
        <v>0.127</v>
      </c>
      <c r="AM1701">
        <v>0.17299999999999999</v>
      </c>
      <c r="AN1701">
        <v>0.51800000000000002</v>
      </c>
    </row>
    <row r="1702" spans="1:40">
      <c r="A1702">
        <v>3770</v>
      </c>
      <c r="B1702" t="s">
        <v>686</v>
      </c>
      <c r="C1702" t="s">
        <v>687</v>
      </c>
      <c r="D1702" t="s">
        <v>688</v>
      </c>
      <c r="E1702">
        <v>476</v>
      </c>
      <c r="F1702">
        <v>1132</v>
      </c>
      <c r="G1702">
        <v>25.735203500000001</v>
      </c>
      <c r="H1702">
        <v>140</v>
      </c>
      <c r="I1702">
        <v>4.0224948000000003E-2</v>
      </c>
      <c r="J1702">
        <v>1272</v>
      </c>
      <c r="K1702">
        <v>31622.166420000001</v>
      </c>
      <c r="L1702">
        <v>0.56499999999999995</v>
      </c>
      <c r="M1702">
        <v>0.22727272700000001</v>
      </c>
      <c r="N1702">
        <v>0</v>
      </c>
      <c r="O1702" t="s">
        <v>606</v>
      </c>
      <c r="P1702">
        <f t="shared" si="236"/>
        <v>8.4472000000000005</v>
      </c>
      <c r="Q1702">
        <f t="shared" si="237"/>
        <v>8.8999999999999996E-2</v>
      </c>
      <c r="R1702">
        <f t="shared" si="238"/>
        <v>4.2999999999999997E-2</v>
      </c>
      <c r="S1702">
        <f t="shared" si="239"/>
        <v>0.56499999999999995</v>
      </c>
      <c r="T1702">
        <f t="shared" si="240"/>
        <v>1.295277778</v>
      </c>
      <c r="U1702">
        <f t="shared" si="241"/>
        <v>5.1304921700000001</v>
      </c>
      <c r="V1702">
        <f t="shared" si="242"/>
        <v>0.13100000000000001</v>
      </c>
      <c r="W1702">
        <f t="shared" si="243"/>
        <v>0.192</v>
      </c>
      <c r="X1702">
        <f t="shared" si="244"/>
        <v>0.505</v>
      </c>
      <c r="Y1702">
        <v>176.53112150000001</v>
      </c>
      <c r="Z1702">
        <v>1</v>
      </c>
      <c r="AA1702">
        <v>140316</v>
      </c>
      <c r="AB1702">
        <v>49638</v>
      </c>
      <c r="AC1702">
        <v>9.1283894000000004E-2</v>
      </c>
      <c r="AD1702">
        <v>0.60339869999999995</v>
      </c>
      <c r="AF1702">
        <v>8.4472000000000005</v>
      </c>
      <c r="AG1702">
        <v>8.8999999999999996E-2</v>
      </c>
      <c r="AH1702">
        <v>4.2999999999999997E-2</v>
      </c>
      <c r="AI1702">
        <v>0.56499999999999995</v>
      </c>
      <c r="AJ1702">
        <v>1.295277778</v>
      </c>
      <c r="AK1702">
        <v>5.1304921700000001</v>
      </c>
      <c r="AL1702">
        <v>0.13100000000000001</v>
      </c>
      <c r="AM1702">
        <v>0.192</v>
      </c>
      <c r="AN1702">
        <v>0.505</v>
      </c>
    </row>
    <row r="1703" spans="1:40">
      <c r="A1703">
        <v>3771</v>
      </c>
      <c r="B1703" t="s">
        <v>686</v>
      </c>
      <c r="C1703" t="s">
        <v>687</v>
      </c>
      <c r="D1703" t="s">
        <v>688</v>
      </c>
      <c r="E1703">
        <v>449</v>
      </c>
      <c r="F1703">
        <v>1049</v>
      </c>
      <c r="G1703">
        <v>22.625452930000002</v>
      </c>
      <c r="H1703">
        <v>91</v>
      </c>
      <c r="I1703">
        <v>3.5366162999999999E-2</v>
      </c>
      <c r="J1703">
        <v>1140</v>
      </c>
      <c r="K1703">
        <v>32234.200809999998</v>
      </c>
      <c r="L1703">
        <v>0.50900000000000001</v>
      </c>
      <c r="M1703">
        <v>0.16851851900000001</v>
      </c>
      <c r="N1703">
        <v>0</v>
      </c>
      <c r="O1703" t="s">
        <v>606</v>
      </c>
      <c r="P1703">
        <f t="shared" si="236"/>
        <v>9.6407017540000002</v>
      </c>
      <c r="Q1703">
        <f t="shared" si="237"/>
        <v>8.5999999999999993E-2</v>
      </c>
      <c r="R1703">
        <f t="shared" si="238"/>
        <v>4.3999999999999997E-2</v>
      </c>
      <c r="S1703">
        <f t="shared" si="239"/>
        <v>0.50900000000000001</v>
      </c>
      <c r="T1703">
        <f t="shared" si="240"/>
        <v>1.583928571</v>
      </c>
      <c r="U1703">
        <f t="shared" si="241"/>
        <v>5.3368789809999999</v>
      </c>
      <c r="V1703">
        <f t="shared" si="242"/>
        <v>0.10299999999999999</v>
      </c>
      <c r="W1703">
        <f t="shared" si="243"/>
        <v>0.17899999999999999</v>
      </c>
      <c r="X1703">
        <f t="shared" si="244"/>
        <v>0.48699999999999999</v>
      </c>
      <c r="Y1703">
        <v>175.20558120000001</v>
      </c>
      <c r="Z1703">
        <v>1</v>
      </c>
      <c r="AA1703">
        <v>140316</v>
      </c>
      <c r="AB1703">
        <v>49638</v>
      </c>
      <c r="AC1703">
        <v>9.1283894000000004E-2</v>
      </c>
      <c r="AD1703">
        <v>0.60339869999999995</v>
      </c>
      <c r="AF1703">
        <v>9.6407017540000002</v>
      </c>
      <c r="AG1703">
        <v>8.5999999999999993E-2</v>
      </c>
      <c r="AH1703">
        <v>4.3999999999999997E-2</v>
      </c>
      <c r="AI1703">
        <v>0.50900000000000001</v>
      </c>
      <c r="AJ1703">
        <v>1.583928571</v>
      </c>
      <c r="AK1703">
        <v>5.3368789809999999</v>
      </c>
      <c r="AL1703">
        <v>0.10299999999999999</v>
      </c>
      <c r="AM1703">
        <v>0.17899999999999999</v>
      </c>
      <c r="AN1703">
        <v>0.48699999999999999</v>
      </c>
    </row>
    <row r="1704" spans="1:40">
      <c r="A1704">
        <v>3772</v>
      </c>
      <c r="B1704" t="s">
        <v>686</v>
      </c>
      <c r="C1704" t="s">
        <v>687</v>
      </c>
      <c r="D1704" t="s">
        <v>688</v>
      </c>
      <c r="E1704">
        <v>264</v>
      </c>
      <c r="F1704">
        <v>693</v>
      </c>
      <c r="G1704">
        <v>20.98078533</v>
      </c>
      <c r="H1704">
        <v>74</v>
      </c>
      <c r="I1704">
        <v>3.2798282999999998E-2</v>
      </c>
      <c r="J1704">
        <v>767</v>
      </c>
      <c r="K1704">
        <v>23385.370510000001</v>
      </c>
      <c r="L1704">
        <v>0.69699999999999995</v>
      </c>
      <c r="M1704">
        <v>0.21893491100000001</v>
      </c>
      <c r="N1704">
        <v>1</v>
      </c>
      <c r="O1704" t="s">
        <v>613</v>
      </c>
      <c r="P1704">
        <f t="shared" si="236"/>
        <v>8.0881818180000007</v>
      </c>
      <c r="Q1704">
        <f t="shared" si="237"/>
        <v>6.9000000000000006E-2</v>
      </c>
      <c r="R1704">
        <f t="shared" si="238"/>
        <v>0.03</v>
      </c>
      <c r="S1704">
        <f t="shared" si="239"/>
        <v>0.69699999999999995</v>
      </c>
      <c r="T1704">
        <f t="shared" si="240"/>
        <v>1.9319999999999999</v>
      </c>
      <c r="U1704">
        <f t="shared" si="241"/>
        <v>5.1208883829999996</v>
      </c>
      <c r="V1704">
        <f t="shared" si="242"/>
        <v>4.3999999999999997E-2</v>
      </c>
      <c r="W1704">
        <f t="shared" si="243"/>
        <v>0.20899999999999999</v>
      </c>
      <c r="X1704">
        <f t="shared" si="244"/>
        <v>0.72499999999999998</v>
      </c>
      <c r="Y1704">
        <v>171.8783608</v>
      </c>
      <c r="Z1704">
        <v>1</v>
      </c>
      <c r="AA1704">
        <v>140316</v>
      </c>
      <c r="AB1704">
        <v>49638</v>
      </c>
      <c r="AC1704">
        <v>9.1283894000000004E-2</v>
      </c>
      <c r="AD1704">
        <v>0.60339869999999995</v>
      </c>
      <c r="AF1704">
        <v>8.0881818180000007</v>
      </c>
      <c r="AG1704">
        <v>6.9000000000000006E-2</v>
      </c>
      <c r="AH1704">
        <v>0.03</v>
      </c>
      <c r="AI1704">
        <v>0.69699999999999995</v>
      </c>
      <c r="AJ1704">
        <v>1.9319999999999999</v>
      </c>
      <c r="AK1704">
        <v>5.1208883829999996</v>
      </c>
      <c r="AL1704">
        <v>4.3999999999999997E-2</v>
      </c>
      <c r="AM1704">
        <v>0.20899999999999999</v>
      </c>
      <c r="AN1704">
        <v>0.72499999999999998</v>
      </c>
    </row>
    <row r="1705" spans="1:40">
      <c r="A1705">
        <v>3773</v>
      </c>
      <c r="B1705" t="s">
        <v>689</v>
      </c>
      <c r="C1705" t="s">
        <v>687</v>
      </c>
      <c r="D1705" t="s">
        <v>688</v>
      </c>
      <c r="E1705">
        <v>264</v>
      </c>
      <c r="F1705">
        <v>548</v>
      </c>
      <c r="G1705">
        <v>34.126412780000003</v>
      </c>
      <c r="H1705">
        <v>96</v>
      </c>
      <c r="I1705">
        <v>5.3343582E-2</v>
      </c>
      <c r="J1705">
        <v>644</v>
      </c>
      <c r="K1705">
        <v>12072.68008</v>
      </c>
      <c r="L1705">
        <v>0.70099999999999996</v>
      </c>
      <c r="M1705">
        <v>0.26666666700000002</v>
      </c>
      <c r="N1705">
        <v>0</v>
      </c>
      <c r="O1705" t="s">
        <v>613</v>
      </c>
      <c r="P1705">
        <f t="shared" si="236"/>
        <v>9.0518918920000004</v>
      </c>
      <c r="Q1705">
        <f t="shared" si="237"/>
        <v>7.3999999999999996E-2</v>
      </c>
      <c r="R1705">
        <f t="shared" si="238"/>
        <v>1.2999999999999999E-2</v>
      </c>
      <c r="S1705">
        <f t="shared" si="239"/>
        <v>0.70099999999999996</v>
      </c>
      <c r="T1705">
        <f t="shared" si="240"/>
        <v>1.881666667</v>
      </c>
      <c r="U1705">
        <f t="shared" si="241"/>
        <v>5.3606070289999996</v>
      </c>
      <c r="V1705">
        <f t="shared" si="242"/>
        <v>3.1E-2</v>
      </c>
      <c r="W1705">
        <f t="shared" si="243"/>
        <v>0.26200000000000001</v>
      </c>
      <c r="X1705">
        <f t="shared" si="244"/>
        <v>0.56899999999999995</v>
      </c>
      <c r="Y1705">
        <v>175.64371629999999</v>
      </c>
      <c r="Z1705">
        <v>0</v>
      </c>
      <c r="AA1705">
        <v>454184</v>
      </c>
      <c r="AB1705">
        <v>170596</v>
      </c>
      <c r="AC1705">
        <v>6.5715274000000004E-2</v>
      </c>
      <c r="AD1705">
        <v>0.72549415100000003</v>
      </c>
      <c r="AF1705">
        <v>9.0518918920000004</v>
      </c>
      <c r="AG1705">
        <v>7.3999999999999996E-2</v>
      </c>
      <c r="AH1705">
        <v>1.2999999999999999E-2</v>
      </c>
      <c r="AI1705">
        <v>0.70099999999999996</v>
      </c>
      <c r="AJ1705">
        <v>1.881666667</v>
      </c>
      <c r="AK1705">
        <v>5.3606070289999996</v>
      </c>
      <c r="AL1705">
        <v>3.1E-2</v>
      </c>
      <c r="AM1705">
        <v>0.26200000000000001</v>
      </c>
      <c r="AN1705">
        <v>0.56899999999999995</v>
      </c>
    </row>
    <row r="1706" spans="1:40">
      <c r="A1706">
        <v>3774</v>
      </c>
      <c r="B1706" t="s">
        <v>689</v>
      </c>
      <c r="C1706" t="s">
        <v>687</v>
      </c>
      <c r="D1706" t="s">
        <v>688</v>
      </c>
      <c r="E1706">
        <v>102</v>
      </c>
      <c r="F1706">
        <v>263</v>
      </c>
      <c r="G1706">
        <v>11.261912840000001</v>
      </c>
      <c r="H1706">
        <v>6</v>
      </c>
      <c r="I1706">
        <v>1.7607861999999998E-2</v>
      </c>
      <c r="J1706">
        <v>269</v>
      </c>
      <c r="K1706">
        <v>15277.26648</v>
      </c>
      <c r="L1706">
        <v>0.5</v>
      </c>
      <c r="M1706">
        <v>5.5555555999999999E-2</v>
      </c>
      <c r="N1706">
        <v>0</v>
      </c>
      <c r="O1706" t="s">
        <v>613</v>
      </c>
      <c r="P1706">
        <f t="shared" si="236"/>
        <v>6.9649999999999999</v>
      </c>
      <c r="Q1706">
        <f t="shared" si="237"/>
        <v>0.14499999999999999</v>
      </c>
      <c r="R1706">
        <f t="shared" si="238"/>
        <v>6.4000000000000001E-2</v>
      </c>
      <c r="S1706">
        <f t="shared" si="239"/>
        <v>0.5</v>
      </c>
      <c r="T1706">
        <f t="shared" si="240"/>
        <v>2.7242857140000001</v>
      </c>
      <c r="U1706">
        <f t="shared" si="241"/>
        <v>6.461818182</v>
      </c>
      <c r="V1706">
        <f t="shared" si="242"/>
        <v>0.219</v>
      </c>
      <c r="W1706">
        <f t="shared" si="243"/>
        <v>0.28100000000000003</v>
      </c>
      <c r="X1706">
        <f t="shared" si="244"/>
        <v>0.375</v>
      </c>
      <c r="Y1706">
        <v>225.26229069999999</v>
      </c>
      <c r="Z1706">
        <v>0</v>
      </c>
      <c r="AA1706">
        <v>454184</v>
      </c>
      <c r="AB1706">
        <v>170596</v>
      </c>
      <c r="AC1706">
        <v>6.5715274000000004E-2</v>
      </c>
      <c r="AD1706">
        <v>0.72549415100000003</v>
      </c>
      <c r="AF1706">
        <v>6.9649999999999999</v>
      </c>
      <c r="AG1706">
        <v>0.14499999999999999</v>
      </c>
      <c r="AH1706">
        <v>6.4000000000000001E-2</v>
      </c>
      <c r="AI1706">
        <v>0.5</v>
      </c>
      <c r="AJ1706">
        <v>2.7242857140000001</v>
      </c>
      <c r="AK1706">
        <v>6.461818182</v>
      </c>
      <c r="AL1706">
        <v>0.219</v>
      </c>
      <c r="AM1706">
        <v>0.28100000000000003</v>
      </c>
      <c r="AN1706">
        <v>0.375</v>
      </c>
    </row>
    <row r="1707" spans="1:40">
      <c r="A1707">
        <v>3775</v>
      </c>
      <c r="B1707" t="s">
        <v>689</v>
      </c>
      <c r="C1707" t="s">
        <v>687</v>
      </c>
      <c r="D1707" t="s">
        <v>688</v>
      </c>
      <c r="E1707">
        <v>137</v>
      </c>
      <c r="F1707">
        <v>340</v>
      </c>
      <c r="G1707">
        <v>17.189044190000001</v>
      </c>
      <c r="H1707">
        <v>29</v>
      </c>
      <c r="I1707">
        <v>2.6869563999999999E-2</v>
      </c>
      <c r="J1707">
        <v>369</v>
      </c>
      <c r="K1707">
        <v>13733.010329999999</v>
      </c>
      <c r="L1707">
        <v>0.65600000000000003</v>
      </c>
      <c r="M1707">
        <v>0.17469879499999999</v>
      </c>
      <c r="N1707">
        <v>1</v>
      </c>
      <c r="O1707" t="s">
        <v>613</v>
      </c>
      <c r="P1707">
        <f t="shared" si="236"/>
        <v>8.1530000000000005</v>
      </c>
      <c r="Q1707">
        <f t="shared" si="237"/>
        <v>9.7000000000000003E-2</v>
      </c>
      <c r="R1707">
        <f t="shared" si="238"/>
        <v>1.9E-2</v>
      </c>
      <c r="S1707">
        <f t="shared" si="239"/>
        <v>0.65600000000000003</v>
      </c>
      <c r="T1707">
        <f t="shared" si="240"/>
        <v>2.0183333330000002</v>
      </c>
      <c r="U1707">
        <f t="shared" si="241"/>
        <v>4.4784158420000004</v>
      </c>
      <c r="V1707">
        <f t="shared" si="242"/>
        <v>5.8999999999999997E-2</v>
      </c>
      <c r="W1707">
        <f t="shared" si="243"/>
        <v>0.29399999999999998</v>
      </c>
      <c r="X1707">
        <f t="shared" si="244"/>
        <v>0.58799999999999997</v>
      </c>
      <c r="Y1707">
        <v>85.676934070000001</v>
      </c>
      <c r="Z1707">
        <v>0</v>
      </c>
      <c r="AA1707">
        <v>454184</v>
      </c>
      <c r="AB1707">
        <v>170596</v>
      </c>
      <c r="AC1707">
        <v>6.5715274000000004E-2</v>
      </c>
      <c r="AD1707">
        <v>0.72549415100000003</v>
      </c>
      <c r="AF1707">
        <v>8.1530000000000005</v>
      </c>
      <c r="AG1707">
        <v>9.7000000000000003E-2</v>
      </c>
      <c r="AH1707">
        <v>1.9E-2</v>
      </c>
      <c r="AI1707">
        <v>0.65600000000000003</v>
      </c>
      <c r="AJ1707">
        <v>2.0183333330000002</v>
      </c>
      <c r="AK1707">
        <v>4.4784158420000004</v>
      </c>
      <c r="AL1707">
        <v>5.8999999999999997E-2</v>
      </c>
      <c r="AM1707">
        <v>0.29399999999999998</v>
      </c>
      <c r="AN1707">
        <v>0.58799999999999997</v>
      </c>
    </row>
    <row r="1708" spans="1:40">
      <c r="A1708">
        <v>3776</v>
      </c>
      <c r="B1708" t="s">
        <v>689</v>
      </c>
      <c r="C1708" t="s">
        <v>687</v>
      </c>
      <c r="D1708" t="s">
        <v>688</v>
      </c>
      <c r="E1708">
        <v>428</v>
      </c>
      <c r="F1708">
        <v>1250</v>
      </c>
      <c r="G1708">
        <v>40.291414709999998</v>
      </c>
      <c r="H1708">
        <v>162</v>
      </c>
      <c r="I1708">
        <v>6.2982273000000005E-2</v>
      </c>
      <c r="J1708">
        <v>1412</v>
      </c>
      <c r="K1708">
        <v>22419.006689999998</v>
      </c>
      <c r="L1708">
        <v>0.63800000000000001</v>
      </c>
      <c r="M1708">
        <v>0.27457627099999998</v>
      </c>
      <c r="N1708">
        <v>0</v>
      </c>
      <c r="O1708" t="s">
        <v>613</v>
      </c>
      <c r="P1708">
        <f t="shared" si="236"/>
        <v>9.5147422679999991</v>
      </c>
      <c r="Q1708">
        <f t="shared" si="237"/>
        <v>5.3999999999999999E-2</v>
      </c>
      <c r="R1708">
        <f t="shared" si="238"/>
        <v>3.2000000000000001E-2</v>
      </c>
      <c r="S1708">
        <f t="shared" si="239"/>
        <v>0.63800000000000001</v>
      </c>
      <c r="T1708">
        <f t="shared" si="240"/>
        <v>2.3278571430000001</v>
      </c>
      <c r="U1708">
        <f t="shared" si="241"/>
        <v>5.6486200379999998</v>
      </c>
      <c r="V1708">
        <f t="shared" si="242"/>
        <v>0.107</v>
      </c>
      <c r="W1708">
        <f t="shared" si="243"/>
        <v>0.1</v>
      </c>
      <c r="X1708">
        <f t="shared" si="244"/>
        <v>0.64700000000000002</v>
      </c>
      <c r="Y1708">
        <v>236.79607480000001</v>
      </c>
      <c r="Z1708">
        <v>0</v>
      </c>
      <c r="AA1708">
        <v>454184</v>
      </c>
      <c r="AB1708">
        <v>170596</v>
      </c>
      <c r="AC1708">
        <v>6.5715274000000004E-2</v>
      </c>
      <c r="AD1708">
        <v>0.72549415100000003</v>
      </c>
      <c r="AF1708">
        <v>9.5147422679999991</v>
      </c>
      <c r="AG1708">
        <v>5.3999999999999999E-2</v>
      </c>
      <c r="AH1708">
        <v>3.2000000000000001E-2</v>
      </c>
      <c r="AI1708">
        <v>0.63800000000000001</v>
      </c>
      <c r="AJ1708">
        <v>2.3278571430000001</v>
      </c>
      <c r="AK1708">
        <v>5.6486200379999998</v>
      </c>
      <c r="AL1708">
        <v>0.107</v>
      </c>
      <c r="AM1708">
        <v>0.1</v>
      </c>
      <c r="AN1708">
        <v>0.64700000000000002</v>
      </c>
    </row>
    <row r="1709" spans="1:40">
      <c r="A1709">
        <v>3777</v>
      </c>
      <c r="B1709" t="s">
        <v>689</v>
      </c>
      <c r="C1709" t="s">
        <v>687</v>
      </c>
      <c r="D1709" t="s">
        <v>688</v>
      </c>
      <c r="E1709">
        <v>373</v>
      </c>
      <c r="F1709">
        <v>1069</v>
      </c>
      <c r="G1709">
        <v>33.13212867</v>
      </c>
      <c r="H1709">
        <v>281</v>
      </c>
      <c r="I1709">
        <v>5.1792581999999997E-2</v>
      </c>
      <c r="J1709">
        <v>1350</v>
      </c>
      <c r="K1709">
        <v>26065.508760000001</v>
      </c>
      <c r="L1709">
        <v>0.70499999999999996</v>
      </c>
      <c r="M1709">
        <v>0.429663609</v>
      </c>
      <c r="N1709">
        <v>0</v>
      </c>
      <c r="O1709" t="s">
        <v>606</v>
      </c>
      <c r="P1709">
        <f t="shared" si="236"/>
        <v>9.3463333330000005</v>
      </c>
      <c r="Q1709">
        <f t="shared" si="237"/>
        <v>4.9000000000000002E-2</v>
      </c>
      <c r="R1709">
        <f t="shared" si="238"/>
        <v>0.04</v>
      </c>
      <c r="S1709">
        <f t="shared" si="239"/>
        <v>0.70499999999999996</v>
      </c>
      <c r="T1709">
        <f t="shared" si="240"/>
        <v>2.0417647059999999</v>
      </c>
      <c r="U1709">
        <f t="shared" si="241"/>
        <v>6.1107521370000004</v>
      </c>
      <c r="V1709">
        <f t="shared" si="242"/>
        <v>8.2000000000000003E-2</v>
      </c>
      <c r="W1709">
        <f t="shared" si="243"/>
        <v>0.13900000000000001</v>
      </c>
      <c r="X1709">
        <f t="shared" si="244"/>
        <v>0.61899999999999999</v>
      </c>
      <c r="Y1709">
        <v>230.9197533</v>
      </c>
      <c r="Z1709">
        <v>0</v>
      </c>
      <c r="AA1709">
        <v>454184</v>
      </c>
      <c r="AB1709">
        <v>170596</v>
      </c>
      <c r="AC1709">
        <v>6.5715274000000004E-2</v>
      </c>
      <c r="AD1709">
        <v>0.72549415100000003</v>
      </c>
      <c r="AF1709">
        <v>9.3463333330000005</v>
      </c>
      <c r="AG1709">
        <v>4.9000000000000002E-2</v>
      </c>
      <c r="AH1709">
        <v>0.04</v>
      </c>
      <c r="AI1709">
        <v>0.70499999999999996</v>
      </c>
      <c r="AJ1709">
        <v>2.0417647059999999</v>
      </c>
      <c r="AK1709">
        <v>6.1107521370000004</v>
      </c>
      <c r="AL1709">
        <v>8.2000000000000003E-2</v>
      </c>
      <c r="AM1709">
        <v>0.13900000000000001</v>
      </c>
      <c r="AN1709">
        <v>0.61899999999999999</v>
      </c>
    </row>
    <row r="1710" spans="1:40">
      <c r="A1710">
        <v>3778</v>
      </c>
      <c r="B1710" t="s">
        <v>689</v>
      </c>
      <c r="C1710" t="s">
        <v>687</v>
      </c>
      <c r="D1710" t="s">
        <v>688</v>
      </c>
      <c r="E1710">
        <v>362</v>
      </c>
      <c r="F1710">
        <v>1337</v>
      </c>
      <c r="G1710">
        <v>43.223325869999996</v>
      </c>
      <c r="H1710">
        <v>957</v>
      </c>
      <c r="I1710">
        <v>6.7571457000000001E-2</v>
      </c>
      <c r="J1710">
        <v>2294</v>
      </c>
      <c r="K1710">
        <v>33949.245759999998</v>
      </c>
      <c r="L1710">
        <v>0.64900000000000002</v>
      </c>
      <c r="M1710">
        <v>0.72554965900000001</v>
      </c>
      <c r="N1710">
        <v>0</v>
      </c>
      <c r="O1710" t="s">
        <v>606</v>
      </c>
      <c r="P1710">
        <f t="shared" si="236"/>
        <v>10.437311319999999</v>
      </c>
      <c r="Q1710">
        <f t="shared" si="237"/>
        <v>9.1999999999999998E-2</v>
      </c>
      <c r="R1710">
        <f t="shared" si="238"/>
        <v>2.5000000000000001E-2</v>
      </c>
      <c r="S1710">
        <f t="shared" si="239"/>
        <v>0.64900000000000002</v>
      </c>
      <c r="T1710">
        <f t="shared" si="240"/>
        <v>2.0249999999999999</v>
      </c>
      <c r="U1710">
        <f t="shared" si="241"/>
        <v>6.8037120470000003</v>
      </c>
      <c r="V1710">
        <f t="shared" si="242"/>
        <v>6.3E-2</v>
      </c>
      <c r="W1710">
        <f t="shared" si="243"/>
        <v>0.247</v>
      </c>
      <c r="X1710">
        <f t="shared" si="244"/>
        <v>0.55600000000000005</v>
      </c>
      <c r="Y1710">
        <v>148.7908673</v>
      </c>
      <c r="Z1710">
        <v>0</v>
      </c>
      <c r="AA1710">
        <v>454184</v>
      </c>
      <c r="AB1710">
        <v>170596</v>
      </c>
      <c r="AC1710">
        <v>6.5715274000000004E-2</v>
      </c>
      <c r="AD1710">
        <v>0.72549415100000003</v>
      </c>
      <c r="AF1710">
        <v>10.437311319999999</v>
      </c>
      <c r="AG1710">
        <v>9.1999999999999998E-2</v>
      </c>
      <c r="AH1710">
        <v>2.5000000000000001E-2</v>
      </c>
      <c r="AI1710">
        <v>0.64900000000000002</v>
      </c>
      <c r="AJ1710">
        <v>2.0249999999999999</v>
      </c>
      <c r="AK1710">
        <v>6.8037120470000003</v>
      </c>
      <c r="AL1710">
        <v>6.3E-2</v>
      </c>
      <c r="AM1710">
        <v>0.247</v>
      </c>
      <c r="AN1710">
        <v>0.55600000000000005</v>
      </c>
    </row>
    <row r="1711" spans="1:40">
      <c r="A1711">
        <v>3779</v>
      </c>
      <c r="B1711" t="s">
        <v>689</v>
      </c>
      <c r="C1711" t="s">
        <v>687</v>
      </c>
      <c r="D1711" t="s">
        <v>688</v>
      </c>
      <c r="E1711">
        <v>19</v>
      </c>
      <c r="F1711">
        <v>184</v>
      </c>
      <c r="G1711">
        <v>21.435217770000001</v>
      </c>
      <c r="H1711">
        <v>647</v>
      </c>
      <c r="I1711">
        <v>3.3503245000000001E-2</v>
      </c>
      <c r="J1711">
        <v>831</v>
      </c>
      <c r="K1711">
        <v>24803.56754</v>
      </c>
      <c r="L1711">
        <v>0.89700000000000002</v>
      </c>
      <c r="M1711">
        <v>0.97147147099999998</v>
      </c>
      <c r="N1711">
        <v>0</v>
      </c>
      <c r="O1711" t="s">
        <v>613</v>
      </c>
      <c r="P1711">
        <f t="shared" si="236"/>
        <v>15.04840708</v>
      </c>
      <c r="Q1711">
        <f t="shared" si="237"/>
        <v>6.0000000000000001E-3</v>
      </c>
      <c r="R1711">
        <f t="shared" si="238"/>
        <v>7.0000000000000001E-3</v>
      </c>
      <c r="S1711">
        <f t="shared" si="239"/>
        <v>0.89700000000000002</v>
      </c>
      <c r="T1711">
        <f t="shared" si="240"/>
        <v>3.5274999999999999</v>
      </c>
      <c r="U1711">
        <f t="shared" si="241"/>
        <v>8.9782467530000005</v>
      </c>
      <c r="V1711">
        <f t="shared" si="242"/>
        <v>1.6E-2</v>
      </c>
      <c r="W1711">
        <f t="shared" si="243"/>
        <v>8.0000000000000002E-3</v>
      </c>
      <c r="X1711">
        <f t="shared" si="244"/>
        <v>0.89</v>
      </c>
      <c r="Y1711">
        <v>148.40242259999999</v>
      </c>
      <c r="Z1711">
        <v>0</v>
      </c>
      <c r="AA1711">
        <v>454184</v>
      </c>
      <c r="AB1711">
        <v>170596</v>
      </c>
      <c r="AC1711">
        <v>6.5715274000000004E-2</v>
      </c>
      <c r="AD1711">
        <v>0.72549415100000003</v>
      </c>
      <c r="AF1711">
        <v>15.04840708</v>
      </c>
      <c r="AG1711">
        <v>6.0000000000000001E-3</v>
      </c>
      <c r="AH1711">
        <v>7.0000000000000001E-3</v>
      </c>
      <c r="AI1711">
        <v>0.89700000000000002</v>
      </c>
      <c r="AJ1711">
        <v>3.5274999999999999</v>
      </c>
      <c r="AK1711">
        <v>8.9782467530000005</v>
      </c>
      <c r="AL1711">
        <v>1.6E-2</v>
      </c>
      <c r="AM1711">
        <v>8.0000000000000002E-3</v>
      </c>
      <c r="AN1711">
        <v>0.89</v>
      </c>
    </row>
    <row r="1712" spans="1:40">
      <c r="A1712">
        <v>3780</v>
      </c>
      <c r="B1712" t="s">
        <v>689</v>
      </c>
      <c r="C1712" t="s">
        <v>687</v>
      </c>
      <c r="D1712" t="s">
        <v>688</v>
      </c>
      <c r="E1712">
        <v>311</v>
      </c>
      <c r="F1712">
        <v>872</v>
      </c>
      <c r="G1712">
        <v>69.77254078</v>
      </c>
      <c r="H1712">
        <v>205</v>
      </c>
      <c r="I1712">
        <v>0.109064167</v>
      </c>
      <c r="J1712">
        <v>1077</v>
      </c>
      <c r="K1712">
        <v>9874.9206969999996</v>
      </c>
      <c r="L1712">
        <v>0.85599999999999998</v>
      </c>
      <c r="M1712">
        <v>0.39728682199999998</v>
      </c>
      <c r="N1712">
        <v>0</v>
      </c>
      <c r="O1712" t="s">
        <v>620</v>
      </c>
      <c r="P1712">
        <f t="shared" si="236"/>
        <v>9.7086956519999994</v>
      </c>
      <c r="Q1712">
        <f t="shared" si="237"/>
        <v>1.4999999999999999E-2</v>
      </c>
      <c r="R1712">
        <f t="shared" si="238"/>
        <v>3.5000000000000003E-2</v>
      </c>
      <c r="S1712">
        <f t="shared" si="239"/>
        <v>0.85599999999999998</v>
      </c>
      <c r="T1712">
        <f t="shared" si="240"/>
        <v>2.2769565219999999</v>
      </c>
      <c r="U1712">
        <f t="shared" si="241"/>
        <v>6.6552840910000004</v>
      </c>
      <c r="V1712">
        <f t="shared" si="242"/>
        <v>5.3999999999999999E-2</v>
      </c>
      <c r="W1712">
        <f t="shared" si="243"/>
        <v>3.9E-2</v>
      </c>
      <c r="X1712">
        <f t="shared" si="244"/>
        <v>0.89100000000000001</v>
      </c>
      <c r="Y1712">
        <v>94.957970079999996</v>
      </c>
      <c r="Z1712">
        <v>0</v>
      </c>
      <c r="AA1712">
        <v>454184</v>
      </c>
      <c r="AB1712">
        <v>170596</v>
      </c>
      <c r="AC1712">
        <v>6.5715274000000004E-2</v>
      </c>
      <c r="AD1712">
        <v>0.72549415100000003</v>
      </c>
      <c r="AF1712">
        <v>9.7086956519999994</v>
      </c>
      <c r="AG1712">
        <v>1.4999999999999999E-2</v>
      </c>
      <c r="AH1712">
        <v>3.5000000000000003E-2</v>
      </c>
      <c r="AI1712">
        <v>0.85599999999999998</v>
      </c>
      <c r="AJ1712">
        <v>2.2769565219999999</v>
      </c>
      <c r="AK1712">
        <v>6.6552840910000004</v>
      </c>
      <c r="AL1712">
        <v>5.3999999999999999E-2</v>
      </c>
      <c r="AM1712">
        <v>3.9E-2</v>
      </c>
      <c r="AN1712">
        <v>0.89100000000000001</v>
      </c>
    </row>
    <row r="1713" spans="1:40">
      <c r="A1713">
        <v>3781</v>
      </c>
      <c r="B1713" t="s">
        <v>689</v>
      </c>
      <c r="C1713" t="s">
        <v>687</v>
      </c>
      <c r="D1713" t="s">
        <v>688</v>
      </c>
      <c r="E1713">
        <v>244</v>
      </c>
      <c r="F1713">
        <v>677</v>
      </c>
      <c r="G1713">
        <v>41.379876619999997</v>
      </c>
      <c r="H1713">
        <v>0</v>
      </c>
      <c r="I1713">
        <v>6.4680244999999997E-2</v>
      </c>
      <c r="J1713">
        <v>677</v>
      </c>
      <c r="K1713">
        <v>10466.874390000001</v>
      </c>
      <c r="L1713">
        <v>0.70399999999999996</v>
      </c>
      <c r="M1713">
        <v>0</v>
      </c>
      <c r="N1713">
        <v>0</v>
      </c>
      <c r="O1713" t="s">
        <v>613</v>
      </c>
      <c r="P1713">
        <f t="shared" si="236"/>
        <v>8.3984848480000007</v>
      </c>
      <c r="Q1713">
        <f t="shared" si="237"/>
        <v>3.6999999999999998E-2</v>
      </c>
      <c r="R1713">
        <f t="shared" si="238"/>
        <v>7.9000000000000001E-2</v>
      </c>
      <c r="S1713">
        <f t="shared" si="239"/>
        <v>0.70399999999999996</v>
      </c>
      <c r="T1713">
        <f t="shared" si="240"/>
        <v>2.4239999999999999</v>
      </c>
      <c r="U1713">
        <f t="shared" si="241"/>
        <v>5.9087732339999999</v>
      </c>
      <c r="V1713">
        <f t="shared" si="242"/>
        <v>0.107</v>
      </c>
      <c r="W1713">
        <f t="shared" si="243"/>
        <v>8.3000000000000004E-2</v>
      </c>
      <c r="X1713">
        <f t="shared" si="244"/>
        <v>0.78600000000000003</v>
      </c>
      <c r="Y1713">
        <v>123.5107957</v>
      </c>
      <c r="Z1713">
        <v>0</v>
      </c>
      <c r="AA1713">
        <v>454184</v>
      </c>
      <c r="AB1713">
        <v>170596</v>
      </c>
      <c r="AC1713">
        <v>6.5715274000000004E-2</v>
      </c>
      <c r="AD1713">
        <v>0.72549415100000003</v>
      </c>
      <c r="AF1713">
        <v>8.3984848480000007</v>
      </c>
      <c r="AG1713">
        <v>3.6999999999999998E-2</v>
      </c>
      <c r="AH1713">
        <v>7.9000000000000001E-2</v>
      </c>
      <c r="AI1713">
        <v>0.70399999999999996</v>
      </c>
      <c r="AJ1713">
        <v>2.4239999999999999</v>
      </c>
      <c r="AK1713">
        <v>5.9087732339999999</v>
      </c>
      <c r="AL1713">
        <v>0.107</v>
      </c>
      <c r="AM1713">
        <v>8.3000000000000004E-2</v>
      </c>
      <c r="AN1713">
        <v>0.78600000000000003</v>
      </c>
    </row>
    <row r="1714" spans="1:40">
      <c r="A1714">
        <v>3782</v>
      </c>
      <c r="B1714" t="s">
        <v>689</v>
      </c>
      <c r="C1714" t="s">
        <v>687</v>
      </c>
      <c r="D1714" t="s">
        <v>688</v>
      </c>
      <c r="E1714">
        <v>337</v>
      </c>
      <c r="F1714">
        <v>761</v>
      </c>
      <c r="G1714">
        <v>39.625751180000002</v>
      </c>
      <c r="H1714">
        <v>0</v>
      </c>
      <c r="I1714">
        <v>6.1939191999999997E-2</v>
      </c>
      <c r="J1714">
        <v>761</v>
      </c>
      <c r="K1714">
        <v>12286.24358</v>
      </c>
      <c r="L1714">
        <v>0.85399999999999998</v>
      </c>
      <c r="M1714">
        <v>0</v>
      </c>
      <c r="N1714">
        <v>0</v>
      </c>
      <c r="O1714" t="s">
        <v>620</v>
      </c>
      <c r="P1714">
        <f t="shared" si="236"/>
        <v>11.950333329999999</v>
      </c>
      <c r="Q1714">
        <f t="shared" si="237"/>
        <v>3.6999999999999998E-2</v>
      </c>
      <c r="R1714">
        <f t="shared" si="238"/>
        <v>1.7000000000000001E-2</v>
      </c>
      <c r="S1714">
        <f t="shared" si="239"/>
        <v>0.85399999999999998</v>
      </c>
      <c r="T1714">
        <f t="shared" si="240"/>
        <v>2.3487499999999999</v>
      </c>
      <c r="U1714">
        <f t="shared" si="241"/>
        <v>7.194021448</v>
      </c>
      <c r="V1714">
        <f t="shared" si="242"/>
        <v>8.9999999999999993E-3</v>
      </c>
      <c r="W1714">
        <f t="shared" si="243"/>
        <v>0.14000000000000001</v>
      </c>
      <c r="X1714">
        <f t="shared" si="244"/>
        <v>0.84099999999999997</v>
      </c>
      <c r="Y1714">
        <v>155.7722292</v>
      </c>
      <c r="Z1714">
        <v>0</v>
      </c>
      <c r="AA1714">
        <v>454184</v>
      </c>
      <c r="AB1714">
        <v>170596</v>
      </c>
      <c r="AC1714">
        <v>6.5715274000000004E-2</v>
      </c>
      <c r="AD1714">
        <v>0.72549415100000003</v>
      </c>
      <c r="AF1714">
        <v>11.950333329999999</v>
      </c>
      <c r="AG1714">
        <v>3.6999999999999998E-2</v>
      </c>
      <c r="AH1714">
        <v>1.7000000000000001E-2</v>
      </c>
      <c r="AI1714">
        <v>0.85399999999999998</v>
      </c>
      <c r="AJ1714">
        <v>2.3487499999999999</v>
      </c>
      <c r="AK1714">
        <v>7.194021448</v>
      </c>
      <c r="AL1714">
        <v>8.9999999999999993E-3</v>
      </c>
      <c r="AM1714">
        <v>0.14000000000000001</v>
      </c>
      <c r="AN1714">
        <v>0.84099999999999997</v>
      </c>
    </row>
    <row r="1715" spans="1:40">
      <c r="A1715">
        <v>3783</v>
      </c>
      <c r="B1715" t="s">
        <v>689</v>
      </c>
      <c r="C1715" t="s">
        <v>687</v>
      </c>
      <c r="D1715" t="s">
        <v>688</v>
      </c>
      <c r="E1715">
        <v>529</v>
      </c>
      <c r="F1715">
        <v>1530</v>
      </c>
      <c r="G1715">
        <v>49.021486680000002</v>
      </c>
      <c r="H1715">
        <v>123</v>
      </c>
      <c r="I1715">
        <v>7.6632250999999998E-2</v>
      </c>
      <c r="J1715">
        <v>1653</v>
      </c>
      <c r="K1715">
        <v>21570.552589999999</v>
      </c>
      <c r="L1715">
        <v>0.69399999999999995</v>
      </c>
      <c r="M1715">
        <v>0.18865030699999999</v>
      </c>
      <c r="N1715">
        <v>0</v>
      </c>
      <c r="O1715" t="s">
        <v>613</v>
      </c>
      <c r="P1715">
        <f t="shared" si="236"/>
        <v>9.4494067800000003</v>
      </c>
      <c r="Q1715">
        <f t="shared" si="237"/>
        <v>4.9000000000000002E-2</v>
      </c>
      <c r="R1715">
        <f t="shared" si="238"/>
        <v>4.7E-2</v>
      </c>
      <c r="S1715">
        <f t="shared" si="239"/>
        <v>0.69399999999999995</v>
      </c>
      <c r="T1715">
        <f t="shared" si="240"/>
        <v>2.093863636</v>
      </c>
      <c r="U1715">
        <f t="shared" si="241"/>
        <v>5.5771875</v>
      </c>
      <c r="V1715">
        <f t="shared" si="242"/>
        <v>0.12</v>
      </c>
      <c r="W1715">
        <f t="shared" si="243"/>
        <v>0.15</v>
      </c>
      <c r="X1715">
        <f t="shared" si="244"/>
        <v>0.70699999999999996</v>
      </c>
      <c r="Y1715">
        <v>83.203092670000004</v>
      </c>
      <c r="Z1715">
        <v>0</v>
      </c>
      <c r="AA1715">
        <v>454184</v>
      </c>
      <c r="AB1715">
        <v>170596</v>
      </c>
      <c r="AC1715">
        <v>6.5715274000000004E-2</v>
      </c>
      <c r="AD1715">
        <v>0.72549415100000003</v>
      </c>
      <c r="AF1715">
        <v>9.4494067800000003</v>
      </c>
      <c r="AG1715">
        <v>4.9000000000000002E-2</v>
      </c>
      <c r="AH1715">
        <v>4.7E-2</v>
      </c>
      <c r="AI1715">
        <v>0.69399999999999995</v>
      </c>
      <c r="AJ1715">
        <v>2.093863636</v>
      </c>
      <c r="AK1715">
        <v>5.5771875</v>
      </c>
      <c r="AL1715">
        <v>0.12</v>
      </c>
      <c r="AM1715">
        <v>0.15</v>
      </c>
      <c r="AN1715">
        <v>0.70699999999999996</v>
      </c>
    </row>
    <row r="1716" spans="1:40">
      <c r="A1716">
        <v>3784</v>
      </c>
      <c r="B1716" t="s">
        <v>689</v>
      </c>
      <c r="C1716" t="s">
        <v>687</v>
      </c>
      <c r="D1716" t="s">
        <v>688</v>
      </c>
      <c r="E1716">
        <v>78</v>
      </c>
      <c r="F1716">
        <v>224</v>
      </c>
      <c r="G1716">
        <v>16.35500704</v>
      </c>
      <c r="H1716">
        <v>6</v>
      </c>
      <c r="I1716">
        <v>2.5568967000000001E-2</v>
      </c>
      <c r="J1716">
        <v>230</v>
      </c>
      <c r="K1716">
        <v>8995.2793170000004</v>
      </c>
      <c r="L1716">
        <v>0.72099999999999997</v>
      </c>
      <c r="M1716">
        <v>7.1428570999999996E-2</v>
      </c>
      <c r="N1716">
        <v>0</v>
      </c>
      <c r="O1716" t="s">
        <v>613</v>
      </c>
      <c r="P1716">
        <f t="shared" si="236"/>
        <v>5.29</v>
      </c>
      <c r="Q1716">
        <f t="shared" si="237"/>
        <v>6.0302483069977368E-2</v>
      </c>
      <c r="R1716">
        <f t="shared" si="238"/>
        <v>2.3E-2</v>
      </c>
      <c r="S1716">
        <f t="shared" si="239"/>
        <v>0.72099999999999997</v>
      </c>
      <c r="T1716">
        <f t="shared" si="240"/>
        <v>3.49</v>
      </c>
      <c r="U1716">
        <f t="shared" si="241"/>
        <v>5.2055172409999999</v>
      </c>
      <c r="V1716">
        <f t="shared" si="242"/>
        <v>6.2414117647058849E-2</v>
      </c>
      <c r="W1716">
        <f t="shared" si="243"/>
        <v>0.17334782608695659</v>
      </c>
      <c r="X1716">
        <f t="shared" si="244"/>
        <v>1</v>
      </c>
      <c r="Y1716">
        <v>115.211929</v>
      </c>
      <c r="Z1716">
        <v>0</v>
      </c>
      <c r="AA1716">
        <v>454184</v>
      </c>
      <c r="AB1716">
        <v>170596</v>
      </c>
      <c r="AC1716">
        <v>6.5715274000000004E-2</v>
      </c>
      <c r="AD1716">
        <v>0.72549415100000003</v>
      </c>
      <c r="AF1716">
        <v>5.29</v>
      </c>
      <c r="AG1716">
        <v>0</v>
      </c>
      <c r="AH1716">
        <v>2.3E-2</v>
      </c>
      <c r="AI1716">
        <v>0.72099999999999997</v>
      </c>
      <c r="AJ1716">
        <v>3.49</v>
      </c>
      <c r="AK1716">
        <v>5.2055172409999999</v>
      </c>
      <c r="AL1716">
        <v>0</v>
      </c>
      <c r="AM1716">
        <v>0</v>
      </c>
      <c r="AN1716">
        <v>1</v>
      </c>
    </row>
    <row r="1717" spans="1:40">
      <c r="A1717">
        <v>3785</v>
      </c>
      <c r="B1717" t="s">
        <v>689</v>
      </c>
      <c r="C1717" t="s">
        <v>687</v>
      </c>
      <c r="D1717" t="s">
        <v>688</v>
      </c>
      <c r="E1717">
        <v>319</v>
      </c>
      <c r="F1717">
        <v>843</v>
      </c>
      <c r="G1717">
        <v>17.998056269999999</v>
      </c>
      <c r="H1717">
        <v>0</v>
      </c>
      <c r="I1717">
        <v>2.8132613000000001E-2</v>
      </c>
      <c r="J1717">
        <v>843</v>
      </c>
      <c r="K1717">
        <v>29965.22221</v>
      </c>
      <c r="L1717">
        <v>0.65</v>
      </c>
      <c r="M1717">
        <v>0</v>
      </c>
      <c r="N1717">
        <v>0</v>
      </c>
      <c r="O1717" t="s">
        <v>613</v>
      </c>
      <c r="P1717">
        <f t="shared" si="236"/>
        <v>10.61188679</v>
      </c>
      <c r="Q1717">
        <f t="shared" si="237"/>
        <v>6.9000000000000006E-2</v>
      </c>
      <c r="R1717">
        <f t="shared" si="238"/>
        <v>5.6000000000000001E-2</v>
      </c>
      <c r="S1717">
        <f t="shared" si="239"/>
        <v>0.65</v>
      </c>
      <c r="T1717">
        <f t="shared" si="240"/>
        <v>2.37</v>
      </c>
      <c r="U1717">
        <f t="shared" si="241"/>
        <v>5.813179012</v>
      </c>
      <c r="V1717">
        <f t="shared" si="242"/>
        <v>0.14099999999999999</v>
      </c>
      <c r="W1717">
        <f t="shared" si="243"/>
        <v>0.23499999999999999</v>
      </c>
      <c r="X1717">
        <f t="shared" si="244"/>
        <v>0.624</v>
      </c>
      <c r="Y1717">
        <v>132.1854591</v>
      </c>
      <c r="Z1717">
        <v>0</v>
      </c>
      <c r="AA1717">
        <v>454184</v>
      </c>
      <c r="AB1717">
        <v>170596</v>
      </c>
      <c r="AC1717">
        <v>6.5715274000000004E-2</v>
      </c>
      <c r="AD1717">
        <v>0.72549415100000003</v>
      </c>
      <c r="AF1717">
        <v>10.61188679</v>
      </c>
      <c r="AG1717">
        <v>6.9000000000000006E-2</v>
      </c>
      <c r="AH1717">
        <v>5.6000000000000001E-2</v>
      </c>
      <c r="AI1717">
        <v>0.65</v>
      </c>
      <c r="AJ1717">
        <v>2.37</v>
      </c>
      <c r="AK1717">
        <v>5.813179012</v>
      </c>
      <c r="AL1717">
        <v>0.14099999999999999</v>
      </c>
      <c r="AM1717">
        <v>0.23499999999999999</v>
      </c>
      <c r="AN1717">
        <v>0.624</v>
      </c>
    </row>
    <row r="1718" spans="1:40">
      <c r="A1718">
        <v>3786</v>
      </c>
      <c r="B1718" t="s">
        <v>689</v>
      </c>
      <c r="C1718" t="s">
        <v>687</v>
      </c>
      <c r="D1718" t="s">
        <v>688</v>
      </c>
      <c r="E1718">
        <v>352</v>
      </c>
      <c r="F1718">
        <v>882</v>
      </c>
      <c r="G1718">
        <v>51.727047200000001</v>
      </c>
      <c r="H1718">
        <v>0</v>
      </c>
      <c r="I1718">
        <v>8.0856567000000004E-2</v>
      </c>
      <c r="J1718">
        <v>882</v>
      </c>
      <c r="K1718">
        <v>10908.204900000001</v>
      </c>
      <c r="L1718">
        <v>0.73799999999999999</v>
      </c>
      <c r="M1718">
        <v>0</v>
      </c>
      <c r="N1718">
        <v>0</v>
      </c>
      <c r="O1718" t="s">
        <v>613</v>
      </c>
      <c r="P1718">
        <f t="shared" si="236"/>
        <v>9.9803658540000004</v>
      </c>
      <c r="Q1718">
        <f t="shared" si="237"/>
        <v>3.9E-2</v>
      </c>
      <c r="R1718">
        <f t="shared" si="238"/>
        <v>3.9E-2</v>
      </c>
      <c r="S1718">
        <f t="shared" si="239"/>
        <v>0.73799999999999999</v>
      </c>
      <c r="T1718">
        <f t="shared" si="240"/>
        <v>2.5219047620000001</v>
      </c>
      <c r="U1718">
        <f t="shared" si="241"/>
        <v>5.9989095739999998</v>
      </c>
      <c r="V1718">
        <f t="shared" si="242"/>
        <v>0.04</v>
      </c>
      <c r="W1718">
        <f t="shared" si="243"/>
        <v>8.8999999999999996E-2</v>
      </c>
      <c r="X1718">
        <f t="shared" si="244"/>
        <v>0.81200000000000006</v>
      </c>
      <c r="Y1718">
        <v>205.9026308</v>
      </c>
      <c r="Z1718">
        <v>0</v>
      </c>
      <c r="AA1718">
        <v>454184</v>
      </c>
      <c r="AB1718">
        <v>170596</v>
      </c>
      <c r="AC1718">
        <v>6.5715274000000004E-2</v>
      </c>
      <c r="AD1718">
        <v>0.72549415100000003</v>
      </c>
      <c r="AF1718">
        <v>9.9803658540000004</v>
      </c>
      <c r="AG1718">
        <v>3.9E-2</v>
      </c>
      <c r="AH1718">
        <v>3.9E-2</v>
      </c>
      <c r="AI1718">
        <v>0.73799999999999999</v>
      </c>
      <c r="AJ1718">
        <v>2.5219047620000001</v>
      </c>
      <c r="AK1718">
        <v>5.9989095739999998</v>
      </c>
      <c r="AL1718">
        <v>0.04</v>
      </c>
      <c r="AM1718">
        <v>8.8999999999999996E-2</v>
      </c>
      <c r="AN1718">
        <v>0.81200000000000006</v>
      </c>
    </row>
    <row r="1719" spans="1:40">
      <c r="A1719">
        <v>3787</v>
      </c>
      <c r="B1719" t="s">
        <v>689</v>
      </c>
      <c r="C1719" t="s">
        <v>687</v>
      </c>
      <c r="D1719" t="s">
        <v>688</v>
      </c>
      <c r="E1719">
        <v>404</v>
      </c>
      <c r="F1719">
        <v>1013</v>
      </c>
      <c r="G1719">
        <v>50.131264790000003</v>
      </c>
      <c r="H1719">
        <v>135</v>
      </c>
      <c r="I1719">
        <v>7.8359292999999997E-2</v>
      </c>
      <c r="J1719">
        <v>1148</v>
      </c>
      <c r="K1719">
        <v>14650.46399</v>
      </c>
      <c r="L1719">
        <v>0.69699999999999995</v>
      </c>
      <c r="M1719">
        <v>0.250463822</v>
      </c>
      <c r="N1719">
        <v>0</v>
      </c>
      <c r="O1719" t="s">
        <v>613</v>
      </c>
      <c r="P1719">
        <f t="shared" si="236"/>
        <v>13.69974684</v>
      </c>
      <c r="Q1719">
        <f t="shared" si="237"/>
        <v>5.1999999999999998E-2</v>
      </c>
      <c r="R1719">
        <f t="shared" si="238"/>
        <v>3.5999999999999997E-2</v>
      </c>
      <c r="S1719">
        <f t="shared" si="239"/>
        <v>0.69699999999999995</v>
      </c>
      <c r="T1719">
        <f t="shared" si="240"/>
        <v>2.2007692310000002</v>
      </c>
      <c r="U1719">
        <f t="shared" si="241"/>
        <v>6.6825159909999998</v>
      </c>
      <c r="V1719">
        <f t="shared" si="242"/>
        <v>8.3000000000000004E-2</v>
      </c>
      <c r="W1719">
        <f t="shared" si="243"/>
        <v>0.19800000000000001</v>
      </c>
      <c r="X1719">
        <f t="shared" si="244"/>
        <v>0.65300000000000002</v>
      </c>
      <c r="Y1719">
        <v>161.87867729999999</v>
      </c>
      <c r="Z1719">
        <v>0</v>
      </c>
      <c r="AA1719">
        <v>454184</v>
      </c>
      <c r="AB1719">
        <v>170596</v>
      </c>
      <c r="AC1719">
        <v>6.5715274000000004E-2</v>
      </c>
      <c r="AD1719">
        <v>0.72549415100000003</v>
      </c>
      <c r="AF1719">
        <v>13.69974684</v>
      </c>
      <c r="AG1719">
        <v>5.1999999999999998E-2</v>
      </c>
      <c r="AH1719">
        <v>3.5999999999999997E-2</v>
      </c>
      <c r="AI1719">
        <v>0.69699999999999995</v>
      </c>
      <c r="AJ1719">
        <v>2.2007692310000002</v>
      </c>
      <c r="AK1719">
        <v>6.6825159909999998</v>
      </c>
      <c r="AL1719">
        <v>8.3000000000000004E-2</v>
      </c>
      <c r="AM1719">
        <v>0.19800000000000001</v>
      </c>
      <c r="AN1719">
        <v>0.65300000000000002</v>
      </c>
    </row>
    <row r="1720" spans="1:40">
      <c r="A1720">
        <v>3788</v>
      </c>
      <c r="B1720" t="s">
        <v>690</v>
      </c>
      <c r="C1720" t="s">
        <v>687</v>
      </c>
      <c r="D1720" t="s">
        <v>688</v>
      </c>
      <c r="E1720">
        <v>353</v>
      </c>
      <c r="F1720">
        <v>788</v>
      </c>
      <c r="G1720">
        <v>36.083061219999998</v>
      </c>
      <c r="H1720">
        <v>68</v>
      </c>
      <c r="I1720">
        <v>5.6401916000000003E-2</v>
      </c>
      <c r="J1720">
        <v>856</v>
      </c>
      <c r="K1720">
        <v>15176.78938</v>
      </c>
      <c r="L1720">
        <v>0.76700000000000002</v>
      </c>
      <c r="M1720">
        <v>0.16152019000000001</v>
      </c>
      <c r="N1720">
        <v>0</v>
      </c>
      <c r="O1720" t="s">
        <v>613</v>
      </c>
      <c r="P1720">
        <f t="shared" si="236"/>
        <v>9.9303846149999995</v>
      </c>
      <c r="Q1720">
        <f t="shared" si="237"/>
        <v>6.7000000000000004E-2</v>
      </c>
      <c r="R1720">
        <f t="shared" si="238"/>
        <v>0.03</v>
      </c>
      <c r="S1720">
        <f t="shared" si="239"/>
        <v>0.76700000000000002</v>
      </c>
      <c r="T1720">
        <f t="shared" si="240"/>
        <v>2.7305882349999999</v>
      </c>
      <c r="U1720">
        <f t="shared" si="241"/>
        <v>6.3260047850000003</v>
      </c>
      <c r="V1720">
        <f t="shared" si="242"/>
        <v>7.0000000000000007E-2</v>
      </c>
      <c r="W1720">
        <f t="shared" si="243"/>
        <v>0.183</v>
      </c>
      <c r="X1720">
        <f t="shared" si="244"/>
        <v>0.73199999999999998</v>
      </c>
      <c r="Y1720">
        <v>130.3952768</v>
      </c>
      <c r="Z1720">
        <v>0</v>
      </c>
      <c r="AA1720">
        <v>82284</v>
      </c>
      <c r="AB1720">
        <v>32030</v>
      </c>
      <c r="AC1720">
        <v>4.7570397E-2</v>
      </c>
      <c r="AD1720">
        <v>0.78974696300000002</v>
      </c>
      <c r="AF1720">
        <v>9.9303846149999995</v>
      </c>
      <c r="AG1720">
        <v>6.7000000000000004E-2</v>
      </c>
      <c r="AH1720">
        <v>0.03</v>
      </c>
      <c r="AI1720">
        <v>0.76700000000000002</v>
      </c>
      <c r="AJ1720">
        <v>2.7305882349999999</v>
      </c>
      <c r="AK1720">
        <v>6.3260047850000003</v>
      </c>
      <c r="AL1720">
        <v>7.0000000000000007E-2</v>
      </c>
      <c r="AM1720">
        <v>0.183</v>
      </c>
      <c r="AN1720">
        <v>0.73199999999999998</v>
      </c>
    </row>
    <row r="1721" spans="1:40">
      <c r="A1721">
        <v>3789</v>
      </c>
      <c r="B1721" t="s">
        <v>690</v>
      </c>
      <c r="C1721" t="s">
        <v>687</v>
      </c>
      <c r="D1721" t="s">
        <v>688</v>
      </c>
      <c r="E1721">
        <v>336</v>
      </c>
      <c r="F1721">
        <v>986</v>
      </c>
      <c r="G1721">
        <v>27.531788720000002</v>
      </c>
      <c r="H1721">
        <v>225</v>
      </c>
      <c r="I1721">
        <v>4.3036167E-2</v>
      </c>
      <c r="J1721">
        <v>1211</v>
      </c>
      <c r="K1721">
        <v>28139.123080000001</v>
      </c>
      <c r="L1721">
        <v>0.70499999999999996</v>
      </c>
      <c r="M1721">
        <v>0.40106951899999999</v>
      </c>
      <c r="N1721">
        <v>0</v>
      </c>
      <c r="O1721" t="s">
        <v>613</v>
      </c>
      <c r="P1721">
        <f t="shared" si="236"/>
        <v>13.297575760000001</v>
      </c>
      <c r="Q1721">
        <f t="shared" si="237"/>
        <v>4.4999999999999998E-2</v>
      </c>
      <c r="R1721">
        <f t="shared" si="238"/>
        <v>0.02</v>
      </c>
      <c r="S1721">
        <f t="shared" si="239"/>
        <v>0.70499999999999996</v>
      </c>
      <c r="T1721">
        <f t="shared" si="240"/>
        <v>1.8618749999999999</v>
      </c>
      <c r="U1721">
        <f t="shared" si="241"/>
        <v>6.1999452550000003</v>
      </c>
      <c r="V1721">
        <f t="shared" si="242"/>
        <v>4.4999999999999998E-2</v>
      </c>
      <c r="W1721">
        <f t="shared" si="243"/>
        <v>0.17199999999999999</v>
      </c>
      <c r="X1721">
        <f t="shared" si="244"/>
        <v>0.73899999999999999</v>
      </c>
      <c r="Y1721">
        <v>171.9577649</v>
      </c>
      <c r="Z1721">
        <v>0</v>
      </c>
      <c r="AA1721">
        <v>82284</v>
      </c>
      <c r="AB1721">
        <v>32030</v>
      </c>
      <c r="AC1721">
        <v>4.7570397E-2</v>
      </c>
      <c r="AD1721">
        <v>0.78974696300000002</v>
      </c>
      <c r="AF1721">
        <v>13.297575760000001</v>
      </c>
      <c r="AG1721">
        <v>4.4999999999999998E-2</v>
      </c>
      <c r="AH1721">
        <v>0.02</v>
      </c>
      <c r="AI1721">
        <v>0.70499999999999996</v>
      </c>
      <c r="AJ1721">
        <v>1.8618749999999999</v>
      </c>
      <c r="AK1721">
        <v>6.1999452550000003</v>
      </c>
      <c r="AL1721">
        <v>4.4999999999999998E-2</v>
      </c>
      <c r="AM1721">
        <v>0.17199999999999999</v>
      </c>
      <c r="AN1721">
        <v>0.73899999999999999</v>
      </c>
    </row>
    <row r="1722" spans="1:40">
      <c r="A1722">
        <v>3790</v>
      </c>
      <c r="B1722" t="s">
        <v>690</v>
      </c>
      <c r="C1722" t="s">
        <v>687</v>
      </c>
      <c r="D1722" t="s">
        <v>688</v>
      </c>
      <c r="E1722">
        <v>413</v>
      </c>
      <c r="F1722">
        <v>1199</v>
      </c>
      <c r="G1722">
        <v>90.058084789999995</v>
      </c>
      <c r="H1722">
        <v>1242</v>
      </c>
      <c r="I1722">
        <v>0.14076946400000001</v>
      </c>
      <c r="J1722">
        <v>2441</v>
      </c>
      <c r="K1722">
        <v>17340.408429999999</v>
      </c>
      <c r="L1722">
        <v>0.82799999999999996</v>
      </c>
      <c r="M1722">
        <v>0.75045317199999995</v>
      </c>
      <c r="N1722">
        <v>0</v>
      </c>
      <c r="O1722" t="s">
        <v>613</v>
      </c>
      <c r="P1722">
        <f t="shared" si="236"/>
        <v>10.966491939999999</v>
      </c>
      <c r="Q1722">
        <f t="shared" si="237"/>
        <v>3.1E-2</v>
      </c>
      <c r="R1722">
        <f t="shared" si="238"/>
        <v>2.3E-2</v>
      </c>
      <c r="S1722">
        <f t="shared" si="239"/>
        <v>0.82799999999999996</v>
      </c>
      <c r="T1722">
        <f t="shared" si="240"/>
        <v>2.3641304349999999</v>
      </c>
      <c r="U1722">
        <f t="shared" si="241"/>
        <v>6.2549937729999998</v>
      </c>
      <c r="V1722">
        <f t="shared" si="242"/>
        <v>7.0000000000000007E-2</v>
      </c>
      <c r="W1722">
        <f t="shared" si="243"/>
        <v>0.11799999999999999</v>
      </c>
      <c r="X1722">
        <f t="shared" si="244"/>
        <v>0.752</v>
      </c>
      <c r="Y1722">
        <v>300.36287440000001</v>
      </c>
      <c r="Z1722">
        <v>0</v>
      </c>
      <c r="AA1722">
        <v>82284</v>
      </c>
      <c r="AB1722">
        <v>32030</v>
      </c>
      <c r="AC1722">
        <v>4.7570397E-2</v>
      </c>
      <c r="AD1722">
        <v>0.78974696300000002</v>
      </c>
      <c r="AF1722">
        <v>10.966491939999999</v>
      </c>
      <c r="AG1722">
        <v>3.1E-2</v>
      </c>
      <c r="AH1722">
        <v>2.3E-2</v>
      </c>
      <c r="AI1722">
        <v>0.82799999999999996</v>
      </c>
      <c r="AJ1722">
        <v>2.3641304349999999</v>
      </c>
      <c r="AK1722">
        <v>6.2549937729999998</v>
      </c>
      <c r="AL1722">
        <v>7.0000000000000007E-2</v>
      </c>
      <c r="AM1722">
        <v>0.11799999999999999</v>
      </c>
      <c r="AN1722">
        <v>0.752</v>
      </c>
    </row>
    <row r="1723" spans="1:40">
      <c r="A1723">
        <v>3791</v>
      </c>
      <c r="B1723" t="s">
        <v>690</v>
      </c>
      <c r="C1723" t="s">
        <v>687</v>
      </c>
      <c r="D1723" t="s">
        <v>688</v>
      </c>
      <c r="E1723">
        <v>268</v>
      </c>
      <c r="F1723">
        <v>718</v>
      </c>
      <c r="G1723">
        <v>27.283418900000001</v>
      </c>
      <c r="H1723">
        <v>25</v>
      </c>
      <c r="I1723">
        <v>4.2648208E-2</v>
      </c>
      <c r="J1723">
        <v>743</v>
      </c>
      <c r="K1723">
        <v>17421.59952</v>
      </c>
      <c r="L1723">
        <v>0.81799999999999995</v>
      </c>
      <c r="M1723">
        <v>8.5324232E-2</v>
      </c>
      <c r="N1723">
        <v>0</v>
      </c>
      <c r="O1723" t="s">
        <v>613</v>
      </c>
      <c r="P1723">
        <f t="shared" si="236"/>
        <v>9.4712857140000004</v>
      </c>
      <c r="Q1723">
        <f t="shared" si="237"/>
        <v>3.5999999999999997E-2</v>
      </c>
      <c r="R1723">
        <f t="shared" si="238"/>
        <v>3.3000000000000002E-2</v>
      </c>
      <c r="S1723">
        <f t="shared" si="239"/>
        <v>0.81799999999999995</v>
      </c>
      <c r="T1723">
        <f t="shared" si="240"/>
        <v>1.759285714</v>
      </c>
      <c r="U1723">
        <f t="shared" si="241"/>
        <v>6.5263030300000002</v>
      </c>
      <c r="V1723">
        <f t="shared" si="242"/>
        <v>4.7E-2</v>
      </c>
      <c r="W1723">
        <f t="shared" si="243"/>
        <v>0.128</v>
      </c>
      <c r="X1723">
        <f t="shared" si="244"/>
        <v>0.81399999999999995</v>
      </c>
      <c r="Y1723">
        <v>189.93522150000001</v>
      </c>
      <c r="Z1723">
        <v>0</v>
      </c>
      <c r="AA1723">
        <v>82284</v>
      </c>
      <c r="AB1723">
        <v>32030</v>
      </c>
      <c r="AC1723">
        <v>4.7570397E-2</v>
      </c>
      <c r="AD1723">
        <v>0.78974696300000002</v>
      </c>
      <c r="AF1723">
        <v>9.4712857140000004</v>
      </c>
      <c r="AG1723">
        <v>3.5999999999999997E-2</v>
      </c>
      <c r="AH1723">
        <v>3.3000000000000002E-2</v>
      </c>
      <c r="AI1723">
        <v>0.81799999999999995</v>
      </c>
      <c r="AJ1723">
        <v>1.759285714</v>
      </c>
      <c r="AK1723">
        <v>6.5263030300000002</v>
      </c>
      <c r="AL1723">
        <v>4.7E-2</v>
      </c>
      <c r="AM1723">
        <v>0.128</v>
      </c>
      <c r="AN1723">
        <v>0.81399999999999995</v>
      </c>
    </row>
    <row r="1724" spans="1:40">
      <c r="A1724">
        <v>3792</v>
      </c>
      <c r="B1724" t="s">
        <v>689</v>
      </c>
      <c r="C1724" t="s">
        <v>687</v>
      </c>
      <c r="D1724" t="s">
        <v>688</v>
      </c>
      <c r="E1724">
        <v>169</v>
      </c>
      <c r="F1724">
        <v>613</v>
      </c>
      <c r="G1724">
        <v>22.663333300000001</v>
      </c>
      <c r="H1724">
        <v>95</v>
      </c>
      <c r="I1724">
        <v>3.5421629000000003E-2</v>
      </c>
      <c r="J1724">
        <v>708</v>
      </c>
      <c r="K1724">
        <v>19987.787690000001</v>
      </c>
      <c r="L1724">
        <v>0.754</v>
      </c>
      <c r="M1724">
        <v>0.359848485</v>
      </c>
      <c r="N1724">
        <v>0</v>
      </c>
      <c r="O1724" t="s">
        <v>613</v>
      </c>
      <c r="P1724">
        <f t="shared" si="236"/>
        <v>12.255964909999999</v>
      </c>
      <c r="Q1724">
        <f t="shared" si="237"/>
        <v>4.4999999999999998E-2</v>
      </c>
      <c r="R1724">
        <f t="shared" si="238"/>
        <v>1.2999999999999999E-2</v>
      </c>
      <c r="S1724">
        <f t="shared" si="239"/>
        <v>0.754</v>
      </c>
      <c r="T1724">
        <f t="shared" si="240"/>
        <v>2.29</v>
      </c>
      <c r="U1724">
        <f t="shared" si="241"/>
        <v>6.1124172190000001</v>
      </c>
      <c r="V1724">
        <f t="shared" si="242"/>
        <v>5.1999999999999998E-2</v>
      </c>
      <c r="W1724">
        <f t="shared" si="243"/>
        <v>0.182</v>
      </c>
      <c r="X1724">
        <f t="shared" si="244"/>
        <v>0.74</v>
      </c>
      <c r="Y1724">
        <v>79.042968509999994</v>
      </c>
      <c r="Z1724">
        <v>0</v>
      </c>
      <c r="AA1724">
        <v>454184</v>
      </c>
      <c r="AB1724">
        <v>170596</v>
      </c>
      <c r="AC1724">
        <v>6.5715274000000004E-2</v>
      </c>
      <c r="AD1724">
        <v>0.72549415100000003</v>
      </c>
      <c r="AF1724">
        <v>12.255964909999999</v>
      </c>
      <c r="AG1724">
        <v>4.4999999999999998E-2</v>
      </c>
      <c r="AH1724">
        <v>1.2999999999999999E-2</v>
      </c>
      <c r="AI1724">
        <v>0.754</v>
      </c>
      <c r="AJ1724">
        <v>2.29</v>
      </c>
      <c r="AK1724">
        <v>6.1124172190000001</v>
      </c>
      <c r="AL1724">
        <v>5.1999999999999998E-2</v>
      </c>
      <c r="AM1724">
        <v>0.182</v>
      </c>
      <c r="AN1724">
        <v>0.74</v>
      </c>
    </row>
    <row r="1725" spans="1:40">
      <c r="A1725">
        <v>3793</v>
      </c>
      <c r="B1725" t="s">
        <v>705</v>
      </c>
      <c r="C1725" t="s">
        <v>696</v>
      </c>
      <c r="D1725" t="s">
        <v>697</v>
      </c>
      <c r="E1725">
        <v>88</v>
      </c>
      <c r="F1725">
        <v>331</v>
      </c>
      <c r="G1725">
        <v>17.838474470000001</v>
      </c>
      <c r="H1725">
        <v>100</v>
      </c>
      <c r="I1725">
        <v>2.7880075000000001E-2</v>
      </c>
      <c r="J1725">
        <v>431</v>
      </c>
      <c r="K1725">
        <v>15459.06889</v>
      </c>
      <c r="L1725">
        <v>0.80700000000000005</v>
      </c>
      <c r="M1725">
        <v>0.53191489400000003</v>
      </c>
      <c r="N1725">
        <v>1</v>
      </c>
      <c r="O1725" t="s">
        <v>620</v>
      </c>
      <c r="P1725">
        <f t="shared" si="236"/>
        <v>14.59052632</v>
      </c>
      <c r="Q1725">
        <f t="shared" si="237"/>
        <v>5.1999999999999998E-2</v>
      </c>
      <c r="R1725">
        <f t="shared" si="238"/>
        <v>0.04</v>
      </c>
      <c r="S1725">
        <f t="shared" si="239"/>
        <v>0.80700000000000005</v>
      </c>
      <c r="T1725">
        <f t="shared" si="240"/>
        <v>1.665882353</v>
      </c>
      <c r="U1725">
        <f t="shared" si="241"/>
        <v>6.8868059700000002</v>
      </c>
      <c r="V1725">
        <f t="shared" si="242"/>
        <v>2.1000000000000001E-2</v>
      </c>
      <c r="W1725">
        <f t="shared" si="243"/>
        <v>0.17</v>
      </c>
      <c r="X1725">
        <f t="shared" si="244"/>
        <v>0.80900000000000005</v>
      </c>
      <c r="Y1725">
        <v>102.8788448</v>
      </c>
      <c r="Z1725">
        <v>0</v>
      </c>
      <c r="AA1725">
        <v>152832</v>
      </c>
      <c r="AB1725">
        <v>45686</v>
      </c>
      <c r="AC1725">
        <v>2.1596295000000001E-2</v>
      </c>
      <c r="AD1725">
        <v>0.84212384500000004</v>
      </c>
      <c r="AF1725">
        <v>14.59052632</v>
      </c>
      <c r="AG1725">
        <v>5.1999999999999998E-2</v>
      </c>
      <c r="AH1725">
        <v>0.04</v>
      </c>
      <c r="AI1725">
        <v>0.80700000000000005</v>
      </c>
      <c r="AJ1725">
        <v>1.665882353</v>
      </c>
      <c r="AK1725">
        <v>6.8868059700000002</v>
      </c>
      <c r="AL1725">
        <v>2.1000000000000001E-2</v>
      </c>
      <c r="AM1725">
        <v>0.17</v>
      </c>
      <c r="AN1725">
        <v>0.80900000000000005</v>
      </c>
    </row>
    <row r="1726" spans="1:40">
      <c r="A1726">
        <v>3794</v>
      </c>
      <c r="B1726" t="s">
        <v>707</v>
      </c>
      <c r="C1726" t="s">
        <v>684</v>
      </c>
      <c r="D1726" t="s">
        <v>685</v>
      </c>
      <c r="E1726">
        <v>0</v>
      </c>
      <c r="F1726">
        <v>0</v>
      </c>
      <c r="G1726">
        <v>96.920220459999996</v>
      </c>
      <c r="H1726">
        <v>0</v>
      </c>
      <c r="I1726">
        <v>0.151492134</v>
      </c>
      <c r="J1726">
        <v>0</v>
      </c>
      <c r="K1726">
        <v>0</v>
      </c>
      <c r="L1726"/>
      <c r="M1726">
        <v>0</v>
      </c>
      <c r="N1726">
        <v>0</v>
      </c>
      <c r="O1726" t="s">
        <v>625</v>
      </c>
      <c r="P1726">
        <f t="shared" si="236"/>
        <v>18.273803565652177</v>
      </c>
      <c r="Q1726">
        <f t="shared" si="237"/>
        <v>2.0450000000000006E-2</v>
      </c>
      <c r="R1726">
        <f t="shared" si="238"/>
        <v>7.2846153846153852E-2</v>
      </c>
      <c r="S1726">
        <f t="shared" si="239"/>
        <v>0.9342307692307692</v>
      </c>
      <c r="T1726">
        <f t="shared" si="240"/>
        <v>2.2191326312692303</v>
      </c>
      <c r="U1726">
        <f t="shared" si="241"/>
        <v>11.877651061423077</v>
      </c>
      <c r="V1726">
        <f t="shared" si="242"/>
        <v>0.11835714285714286</v>
      </c>
      <c r="W1726">
        <f t="shared" si="243"/>
        <v>8.5526315789473686E-2</v>
      </c>
      <c r="X1726">
        <f t="shared" si="244"/>
        <v>0.94647826086956499</v>
      </c>
      <c r="Y1726">
        <v>8.5737728749999995</v>
      </c>
      <c r="Z1726">
        <v>0</v>
      </c>
      <c r="AA1726">
        <v>21149</v>
      </c>
      <c r="AB1726">
        <v>6968</v>
      </c>
      <c r="AC1726">
        <v>1.6645858999999999E-2</v>
      </c>
      <c r="AD1726">
        <v>0.89069218999999999</v>
      </c>
    </row>
    <row r="1727" spans="1:40">
      <c r="A1727">
        <v>3795</v>
      </c>
      <c r="B1727" t="s">
        <v>706</v>
      </c>
      <c r="C1727" t="s">
        <v>684</v>
      </c>
      <c r="D1727" t="s">
        <v>685</v>
      </c>
      <c r="E1727">
        <v>95</v>
      </c>
      <c r="F1727">
        <v>297</v>
      </c>
      <c r="G1727">
        <v>65.778161280000006</v>
      </c>
      <c r="H1727">
        <v>35</v>
      </c>
      <c r="I1727">
        <v>0.10281354099999999</v>
      </c>
      <c r="J1727">
        <v>332</v>
      </c>
      <c r="K1727">
        <v>3229.1466350000001</v>
      </c>
      <c r="L1727">
        <v>0.84</v>
      </c>
      <c r="M1727">
        <v>0.26923076899999998</v>
      </c>
      <c r="N1727">
        <v>0</v>
      </c>
      <c r="O1727" t="s">
        <v>620</v>
      </c>
      <c r="P1727">
        <f t="shared" si="236"/>
        <v>11.57222222</v>
      </c>
      <c r="Q1727">
        <f t="shared" si="237"/>
        <v>1.4851851851851857E-2</v>
      </c>
      <c r="R1727">
        <f t="shared" si="238"/>
        <v>1.6E-2</v>
      </c>
      <c r="S1727">
        <f t="shared" si="239"/>
        <v>0.84</v>
      </c>
      <c r="T1727">
        <f t="shared" si="240"/>
        <v>2.39</v>
      </c>
      <c r="U1727">
        <f t="shared" si="241"/>
        <v>6.7119</v>
      </c>
      <c r="V1727">
        <f t="shared" si="242"/>
        <v>2.642857142857144E-2</v>
      </c>
      <c r="W1727">
        <f t="shared" si="243"/>
        <v>4.6111111111111124E-2</v>
      </c>
      <c r="X1727">
        <f t="shared" si="244"/>
        <v>1</v>
      </c>
      <c r="Y1727">
        <v>85.204165529999997</v>
      </c>
      <c r="Z1727">
        <v>0</v>
      </c>
      <c r="AA1727">
        <v>47401</v>
      </c>
      <c r="AB1727">
        <v>14616</v>
      </c>
      <c r="AC1727">
        <v>1.1721782E-2</v>
      </c>
      <c r="AD1727">
        <v>0.85588417900000002</v>
      </c>
      <c r="AF1727">
        <v>11.57222222</v>
      </c>
      <c r="AG1727">
        <v>0</v>
      </c>
      <c r="AH1727">
        <v>1.6E-2</v>
      </c>
      <c r="AI1727">
        <v>0.84</v>
      </c>
      <c r="AJ1727">
        <v>2.39</v>
      </c>
      <c r="AK1727">
        <v>6.7119</v>
      </c>
      <c r="AL1727">
        <v>0</v>
      </c>
      <c r="AM1727">
        <v>0</v>
      </c>
      <c r="AN1727">
        <v>1</v>
      </c>
    </row>
    <row r="1728" spans="1:40">
      <c r="A1728">
        <v>3796</v>
      </c>
      <c r="B1728" t="s">
        <v>683</v>
      </c>
      <c r="C1728" t="s">
        <v>684</v>
      </c>
      <c r="D1728" t="s">
        <v>685</v>
      </c>
      <c r="E1728">
        <v>36</v>
      </c>
      <c r="F1728">
        <v>114</v>
      </c>
      <c r="G1728">
        <v>16.845666269999999</v>
      </c>
      <c r="H1728">
        <v>2</v>
      </c>
      <c r="I1728">
        <v>2.6328635999999999E-2</v>
      </c>
      <c r="J1728">
        <v>116</v>
      </c>
      <c r="K1728">
        <v>4405.8492050000004</v>
      </c>
      <c r="L1728">
        <v>0.97399999999999998</v>
      </c>
      <c r="M1728">
        <v>5.2631578999999998E-2</v>
      </c>
      <c r="N1728">
        <v>0</v>
      </c>
      <c r="O1728" t="s">
        <v>620</v>
      </c>
      <c r="P1728">
        <f t="shared" si="236"/>
        <v>17.855</v>
      </c>
      <c r="Q1728">
        <f t="shared" si="237"/>
        <v>2.4425925925925924E-2</v>
      </c>
      <c r="R1728">
        <f t="shared" si="238"/>
        <v>1.8490909090909103E-2</v>
      </c>
      <c r="S1728">
        <f t="shared" si="239"/>
        <v>0.97399999999999998</v>
      </c>
      <c r="T1728">
        <f t="shared" si="240"/>
        <v>2.1850628673454549</v>
      </c>
      <c r="U1728">
        <f t="shared" si="241"/>
        <v>8.8248648650000003</v>
      </c>
      <c r="V1728">
        <f t="shared" si="242"/>
        <v>3.4119999999999984E-2</v>
      </c>
      <c r="W1728">
        <f t="shared" si="243"/>
        <v>7.91132075471698E-2</v>
      </c>
      <c r="X1728">
        <f t="shared" si="244"/>
        <v>1</v>
      </c>
      <c r="Y1728">
        <v>117.7610481</v>
      </c>
      <c r="Z1728">
        <v>0</v>
      </c>
      <c r="AA1728">
        <v>75370</v>
      </c>
      <c r="AB1728">
        <v>21403</v>
      </c>
      <c r="AC1728">
        <v>2.4597187E-2</v>
      </c>
      <c r="AD1728">
        <v>0.84342094400000001</v>
      </c>
      <c r="AF1728">
        <v>17.855</v>
      </c>
      <c r="AG1728">
        <v>0</v>
      </c>
      <c r="AH1728">
        <v>0</v>
      </c>
      <c r="AI1728">
        <v>0.97399999999999998</v>
      </c>
      <c r="AK1728">
        <v>8.8248648650000003</v>
      </c>
      <c r="AL1728">
        <v>0</v>
      </c>
      <c r="AM1728">
        <v>0</v>
      </c>
      <c r="AN1728">
        <v>1</v>
      </c>
    </row>
    <row r="1729" spans="1:40">
      <c r="A1729">
        <v>3797</v>
      </c>
      <c r="B1729" t="s">
        <v>691</v>
      </c>
      <c r="C1729" t="s">
        <v>684</v>
      </c>
      <c r="D1729" t="s">
        <v>685</v>
      </c>
      <c r="E1729">
        <v>481</v>
      </c>
      <c r="F1729">
        <v>1391</v>
      </c>
      <c r="G1729">
        <v>47.99328379</v>
      </c>
      <c r="H1729">
        <v>37</v>
      </c>
      <c r="I1729">
        <v>7.5012575999999997E-2</v>
      </c>
      <c r="J1729">
        <v>1428</v>
      </c>
      <c r="K1729">
        <v>19036.80791</v>
      </c>
      <c r="L1729">
        <v>0.90300000000000002</v>
      </c>
      <c r="M1729">
        <v>7.1428570999999996E-2</v>
      </c>
      <c r="N1729">
        <v>0</v>
      </c>
      <c r="O1729" t="s">
        <v>620</v>
      </c>
      <c r="P1729">
        <f t="shared" si="236"/>
        <v>14.750975609999999</v>
      </c>
      <c r="Q1729">
        <f t="shared" si="237"/>
        <v>1.2E-2</v>
      </c>
      <c r="R1729">
        <f t="shared" si="238"/>
        <v>8.0000000000000002E-3</v>
      </c>
      <c r="S1729">
        <f t="shared" si="239"/>
        <v>0.90300000000000002</v>
      </c>
      <c r="T1729">
        <f t="shared" si="240"/>
        <v>3.78</v>
      </c>
      <c r="U1729">
        <f t="shared" si="241"/>
        <v>8.7511802579999998</v>
      </c>
      <c r="V1729">
        <f t="shared" si="242"/>
        <v>4.4999999999999998E-2</v>
      </c>
      <c r="W1729">
        <f t="shared" si="243"/>
        <v>2.3E-2</v>
      </c>
      <c r="X1729">
        <f t="shared" si="244"/>
        <v>0.93200000000000005</v>
      </c>
      <c r="Y1729">
        <v>134.110882</v>
      </c>
      <c r="Z1729">
        <v>0</v>
      </c>
      <c r="AA1729">
        <v>236250</v>
      </c>
      <c r="AB1729">
        <v>76158</v>
      </c>
      <c r="AC1729">
        <v>1.7652984E-2</v>
      </c>
      <c r="AD1729">
        <v>0.84750225300000004</v>
      </c>
      <c r="AF1729">
        <v>14.750975609999999</v>
      </c>
      <c r="AG1729">
        <v>1.2E-2</v>
      </c>
      <c r="AH1729">
        <v>8.0000000000000002E-3</v>
      </c>
      <c r="AI1729">
        <v>0.90300000000000002</v>
      </c>
      <c r="AJ1729">
        <v>3.78</v>
      </c>
      <c r="AK1729">
        <v>8.7511802579999998</v>
      </c>
      <c r="AL1729">
        <v>4.4999999999999998E-2</v>
      </c>
      <c r="AM1729">
        <v>2.3E-2</v>
      </c>
      <c r="AN1729">
        <v>0.93200000000000005</v>
      </c>
    </row>
    <row r="1730" spans="1:40">
      <c r="A1730">
        <v>3798</v>
      </c>
      <c r="B1730" t="s">
        <v>691</v>
      </c>
      <c r="C1730" t="s">
        <v>684</v>
      </c>
      <c r="D1730" t="s">
        <v>685</v>
      </c>
      <c r="E1730">
        <v>162</v>
      </c>
      <c r="F1730">
        <v>540</v>
      </c>
      <c r="G1730">
        <v>44.56664842</v>
      </c>
      <c r="H1730">
        <v>0</v>
      </c>
      <c r="I1730">
        <v>6.9656458000000004E-2</v>
      </c>
      <c r="J1730">
        <v>540</v>
      </c>
      <c r="K1730">
        <v>7752.3321669999996</v>
      </c>
      <c r="L1730">
        <v>0.879</v>
      </c>
      <c r="M1730">
        <v>0</v>
      </c>
      <c r="N1730">
        <v>0</v>
      </c>
      <c r="O1730" t="s">
        <v>625</v>
      </c>
      <c r="P1730">
        <f t="shared" si="236"/>
        <v>12.983333330000001</v>
      </c>
      <c r="Q1730">
        <f t="shared" si="237"/>
        <v>6.0000000000000001E-3</v>
      </c>
      <c r="R1730">
        <f t="shared" si="238"/>
        <v>1.7999999999999999E-2</v>
      </c>
      <c r="S1730">
        <f t="shared" si="239"/>
        <v>0.879</v>
      </c>
      <c r="T1730">
        <f t="shared" si="240"/>
        <v>2.29</v>
      </c>
      <c r="U1730">
        <f t="shared" si="241"/>
        <v>7.7126116839999996</v>
      </c>
      <c r="V1730">
        <f t="shared" si="242"/>
        <v>3.5151315789473656E-2</v>
      </c>
      <c r="W1730">
        <f t="shared" si="243"/>
        <v>3.4000000000000002E-2</v>
      </c>
      <c r="X1730">
        <f t="shared" si="244"/>
        <v>0.96599999999999997</v>
      </c>
      <c r="Y1730">
        <v>38.871040170000001</v>
      </c>
      <c r="Z1730">
        <v>0</v>
      </c>
      <c r="AA1730">
        <v>236250</v>
      </c>
      <c r="AB1730">
        <v>76158</v>
      </c>
      <c r="AC1730">
        <v>1.7652984E-2</v>
      </c>
      <c r="AD1730">
        <v>0.84750225300000004</v>
      </c>
      <c r="AF1730">
        <v>12.983333330000001</v>
      </c>
      <c r="AG1730">
        <v>6.0000000000000001E-3</v>
      </c>
      <c r="AH1730">
        <v>1.7999999999999999E-2</v>
      </c>
      <c r="AI1730">
        <v>0.879</v>
      </c>
      <c r="AJ1730">
        <v>2.29</v>
      </c>
      <c r="AK1730">
        <v>7.7126116839999996</v>
      </c>
      <c r="AL1730">
        <v>0</v>
      </c>
      <c r="AM1730">
        <v>3.4000000000000002E-2</v>
      </c>
      <c r="AN1730">
        <v>0.96599999999999997</v>
      </c>
    </row>
    <row r="1731" spans="1:40">
      <c r="A1731">
        <v>3799</v>
      </c>
      <c r="B1731" t="s">
        <v>699</v>
      </c>
      <c r="C1731" t="s">
        <v>687</v>
      </c>
      <c r="D1731" t="s">
        <v>688</v>
      </c>
      <c r="E1731">
        <v>0</v>
      </c>
      <c r="F1731">
        <v>22</v>
      </c>
      <c r="G1731">
        <v>8.3937107960000006</v>
      </c>
      <c r="H1731">
        <v>0</v>
      </c>
      <c r="I1731">
        <v>1.3121684E-2</v>
      </c>
      <c r="J1731">
        <v>22</v>
      </c>
      <c r="K1731">
        <v>1676.614069</v>
      </c>
      <c r="L1731"/>
      <c r="M1731">
        <v>0</v>
      </c>
      <c r="N1731">
        <v>0</v>
      </c>
      <c r="O1731" t="s">
        <v>613</v>
      </c>
      <c r="P1731">
        <f t="shared" si="236"/>
        <v>11.793472575352942</v>
      </c>
      <c r="Q1731">
        <f t="shared" si="237"/>
        <v>5.8764705882352948E-2</v>
      </c>
      <c r="R1731">
        <f t="shared" si="238"/>
        <v>2.7647058823529417E-2</v>
      </c>
      <c r="S1731">
        <f t="shared" si="239"/>
        <v>0.74476470588235311</v>
      </c>
      <c r="T1731">
        <f t="shared" si="240"/>
        <v>2.2627847083529415</v>
      </c>
      <c r="U1731">
        <f t="shared" si="241"/>
        <v>6.6668877137058828</v>
      </c>
      <c r="V1731">
        <f t="shared" si="242"/>
        <v>6.0187500000000012E-2</v>
      </c>
      <c r="W1731">
        <f t="shared" si="243"/>
        <v>0.16511764705882354</v>
      </c>
      <c r="X1731">
        <f t="shared" si="244"/>
        <v>0.72935294117647065</v>
      </c>
      <c r="Y1731">
        <v>187.344596</v>
      </c>
      <c r="Z1731">
        <v>0</v>
      </c>
      <c r="AA1731">
        <v>20912</v>
      </c>
      <c r="AB1731">
        <v>7469</v>
      </c>
      <c r="AC1731">
        <v>5.5261644999999998E-2</v>
      </c>
      <c r="AD1731">
        <v>0.74284071299999999</v>
      </c>
    </row>
    <row r="1732" spans="1:40">
      <c r="A1732">
        <v>3800</v>
      </c>
      <c r="B1732" t="s">
        <v>686</v>
      </c>
      <c r="C1732" t="s">
        <v>687</v>
      </c>
      <c r="D1732" t="s">
        <v>688</v>
      </c>
      <c r="E1732">
        <v>6</v>
      </c>
      <c r="F1732">
        <v>12</v>
      </c>
      <c r="G1732">
        <v>9.8412713289999996</v>
      </c>
      <c r="H1732">
        <v>283</v>
      </c>
      <c r="I1732">
        <v>1.5383203999999999E-2</v>
      </c>
      <c r="J1732">
        <v>295</v>
      </c>
      <c r="K1732">
        <v>19176.759279999998</v>
      </c>
      <c r="L1732">
        <v>0.85099999999999998</v>
      </c>
      <c r="M1732">
        <v>0.97923875400000004</v>
      </c>
      <c r="N1732">
        <v>0</v>
      </c>
      <c r="O1732" t="s">
        <v>606</v>
      </c>
      <c r="P1732">
        <f t="shared" si="236"/>
        <v>17.762452830000001</v>
      </c>
      <c r="Q1732">
        <f t="shared" si="237"/>
        <v>2.1999999999999999E-2</v>
      </c>
      <c r="R1732">
        <f t="shared" si="238"/>
        <v>4.0659259259259235E-2</v>
      </c>
      <c r="S1732">
        <f t="shared" si="239"/>
        <v>0.85099999999999998</v>
      </c>
      <c r="T1732">
        <f t="shared" si="240"/>
        <v>1.9264575557555557</v>
      </c>
      <c r="U1732">
        <f t="shared" si="241"/>
        <v>9.9329716979999993</v>
      </c>
      <c r="V1732">
        <f t="shared" si="242"/>
        <v>8.2500000000000018E-2</v>
      </c>
      <c r="W1732">
        <f t="shared" si="243"/>
        <v>7.0000000000000007E-2</v>
      </c>
      <c r="X1732">
        <f t="shared" si="244"/>
        <v>0.93</v>
      </c>
      <c r="Y1732">
        <v>180.44370900000001</v>
      </c>
      <c r="Z1732">
        <v>1</v>
      </c>
      <c r="AA1732">
        <v>140316</v>
      </c>
      <c r="AB1732">
        <v>49638</v>
      </c>
      <c r="AC1732">
        <v>9.1283894000000004E-2</v>
      </c>
      <c r="AD1732">
        <v>0.60339869999999995</v>
      </c>
      <c r="AF1732">
        <v>17.762452830000001</v>
      </c>
      <c r="AG1732">
        <v>2.1999999999999999E-2</v>
      </c>
      <c r="AH1732">
        <v>0</v>
      </c>
      <c r="AI1732">
        <v>0.85099999999999998</v>
      </c>
      <c r="AK1732">
        <v>9.9329716979999993</v>
      </c>
      <c r="AL1732">
        <v>0</v>
      </c>
      <c r="AM1732">
        <v>7.0000000000000007E-2</v>
      </c>
      <c r="AN1732">
        <v>0.93</v>
      </c>
    </row>
    <row r="1733" spans="1:40">
      <c r="A1733">
        <v>3801</v>
      </c>
      <c r="B1733" t="s">
        <v>689</v>
      </c>
      <c r="C1733" t="s">
        <v>687</v>
      </c>
      <c r="D1733" t="s">
        <v>688</v>
      </c>
      <c r="E1733">
        <v>171</v>
      </c>
      <c r="F1733">
        <v>242</v>
      </c>
      <c r="G1733">
        <v>20.750268139999999</v>
      </c>
      <c r="H1733">
        <v>2559</v>
      </c>
      <c r="I1733">
        <v>3.2436464999999998E-2</v>
      </c>
      <c r="J1733">
        <v>2801</v>
      </c>
      <c r="K1733">
        <v>86353.429699999993</v>
      </c>
      <c r="L1733">
        <v>0.55600000000000005</v>
      </c>
      <c r="M1733">
        <v>0.937362637</v>
      </c>
      <c r="N1733">
        <v>1</v>
      </c>
      <c r="O1733" t="s">
        <v>606</v>
      </c>
      <c r="P1733">
        <f t="shared" si="236"/>
        <v>13.88607595</v>
      </c>
      <c r="Q1733">
        <f t="shared" si="237"/>
        <v>0.16500000000000001</v>
      </c>
      <c r="R1733">
        <f t="shared" si="238"/>
        <v>3.4000000000000002E-2</v>
      </c>
      <c r="S1733">
        <f t="shared" si="239"/>
        <v>0.55600000000000005</v>
      </c>
      <c r="T1733">
        <f t="shared" si="240"/>
        <v>2.1969230770000001</v>
      </c>
      <c r="U1733">
        <f t="shared" si="241"/>
        <v>8.0331268149999993</v>
      </c>
      <c r="V1733">
        <f t="shared" si="242"/>
        <v>7.0999999999999994E-2</v>
      </c>
      <c r="W1733">
        <f t="shared" si="243"/>
        <v>0.34300000000000003</v>
      </c>
      <c r="X1733">
        <f t="shared" si="244"/>
        <v>0.46899999999999997</v>
      </c>
      <c r="Y1733">
        <v>415.15664650000002</v>
      </c>
      <c r="Z1733">
        <v>0</v>
      </c>
      <c r="AA1733">
        <v>454184</v>
      </c>
      <c r="AB1733">
        <v>170596</v>
      </c>
      <c r="AC1733">
        <v>6.5715274000000004E-2</v>
      </c>
      <c r="AD1733">
        <v>0.72549415100000003</v>
      </c>
      <c r="AF1733">
        <v>13.88607595</v>
      </c>
      <c r="AG1733">
        <v>0.16500000000000001</v>
      </c>
      <c r="AH1733">
        <v>3.4000000000000002E-2</v>
      </c>
      <c r="AI1733">
        <v>0.55600000000000005</v>
      </c>
      <c r="AJ1733">
        <v>2.1969230770000001</v>
      </c>
      <c r="AK1733">
        <v>8.0331268149999993</v>
      </c>
      <c r="AL1733">
        <v>7.0999999999999994E-2</v>
      </c>
      <c r="AM1733">
        <v>0.34300000000000003</v>
      </c>
      <c r="AN1733">
        <v>0.46899999999999997</v>
      </c>
    </row>
    <row r="1734" spans="1:40">
      <c r="A1734">
        <v>3802</v>
      </c>
      <c r="B1734" t="s">
        <v>689</v>
      </c>
      <c r="C1734" t="s">
        <v>687</v>
      </c>
      <c r="D1734" t="s">
        <v>688</v>
      </c>
      <c r="E1734">
        <v>510</v>
      </c>
      <c r="F1734">
        <v>1295</v>
      </c>
      <c r="G1734">
        <v>64.838060929999997</v>
      </c>
      <c r="H1734">
        <v>873</v>
      </c>
      <c r="I1734">
        <v>0.101351175</v>
      </c>
      <c r="J1734">
        <v>2168</v>
      </c>
      <c r="K1734">
        <v>21390.970549999998</v>
      </c>
      <c r="L1734">
        <v>0.71399999999999997</v>
      </c>
      <c r="M1734">
        <v>0.63123644300000004</v>
      </c>
      <c r="N1734">
        <v>1</v>
      </c>
      <c r="O1734" t="s">
        <v>613</v>
      </c>
      <c r="P1734">
        <f t="shared" si="236"/>
        <v>10.665075379999999</v>
      </c>
      <c r="Q1734">
        <f t="shared" si="237"/>
        <v>5.8000000000000003E-2</v>
      </c>
      <c r="R1734">
        <f t="shared" si="238"/>
        <v>2.9000000000000001E-2</v>
      </c>
      <c r="S1734">
        <f t="shared" si="239"/>
        <v>0.71399999999999997</v>
      </c>
      <c r="T1734">
        <f t="shared" si="240"/>
        <v>2.0282</v>
      </c>
      <c r="U1734">
        <f t="shared" si="241"/>
        <v>6.2858946490000003</v>
      </c>
      <c r="V1734">
        <f t="shared" si="242"/>
        <v>6.3E-2</v>
      </c>
      <c r="W1734">
        <f t="shared" si="243"/>
        <v>0.18</v>
      </c>
      <c r="X1734">
        <f t="shared" si="244"/>
        <v>0.70099999999999996</v>
      </c>
      <c r="Y1734">
        <v>180.35559499999999</v>
      </c>
      <c r="Z1734">
        <v>0</v>
      </c>
      <c r="AA1734">
        <v>454184</v>
      </c>
      <c r="AB1734">
        <v>170596</v>
      </c>
      <c r="AC1734">
        <v>6.5715274000000004E-2</v>
      </c>
      <c r="AD1734">
        <v>0.72549415100000003</v>
      </c>
      <c r="AF1734">
        <v>10.665075379999999</v>
      </c>
      <c r="AG1734">
        <v>5.8000000000000003E-2</v>
      </c>
      <c r="AH1734">
        <v>2.9000000000000001E-2</v>
      </c>
      <c r="AI1734">
        <v>0.71399999999999997</v>
      </c>
      <c r="AJ1734">
        <v>2.0282</v>
      </c>
      <c r="AK1734">
        <v>6.2858946490000003</v>
      </c>
      <c r="AL1734">
        <v>6.3E-2</v>
      </c>
      <c r="AM1734">
        <v>0.18</v>
      </c>
      <c r="AN1734">
        <v>0.70099999999999996</v>
      </c>
    </row>
    <row r="1735" spans="1:40">
      <c r="A1735">
        <v>3803</v>
      </c>
      <c r="B1735" t="s">
        <v>690</v>
      </c>
      <c r="C1735" t="s">
        <v>687</v>
      </c>
      <c r="D1735" t="s">
        <v>688</v>
      </c>
      <c r="E1735">
        <v>657</v>
      </c>
      <c r="F1735">
        <v>1223</v>
      </c>
      <c r="G1735">
        <v>148.09226570000001</v>
      </c>
      <c r="H1735">
        <v>1592</v>
      </c>
      <c r="I1735">
        <v>0.23149481499999999</v>
      </c>
      <c r="J1735">
        <v>2815</v>
      </c>
      <c r="K1735">
        <v>12160.09957</v>
      </c>
      <c r="L1735">
        <v>0.79500000000000004</v>
      </c>
      <c r="M1735">
        <v>0.707870165</v>
      </c>
      <c r="N1735">
        <v>0</v>
      </c>
      <c r="O1735" t="s">
        <v>620</v>
      </c>
      <c r="P1735">
        <f t="shared" si="236"/>
        <v>15.29276423</v>
      </c>
      <c r="Q1735">
        <f t="shared" si="237"/>
        <v>3.4000000000000002E-2</v>
      </c>
      <c r="R1735">
        <f t="shared" si="238"/>
        <v>1.7999999999999999E-2</v>
      </c>
      <c r="S1735">
        <f t="shared" si="239"/>
        <v>0.79500000000000004</v>
      </c>
      <c r="T1735">
        <f t="shared" si="240"/>
        <v>2.7112500000000002</v>
      </c>
      <c r="U1735">
        <f t="shared" si="241"/>
        <v>9.0120593870000008</v>
      </c>
      <c r="V1735">
        <f t="shared" si="242"/>
        <v>3.2000000000000001E-2</v>
      </c>
      <c r="W1735">
        <f t="shared" si="243"/>
        <v>6.0999999999999999E-2</v>
      </c>
      <c r="X1735">
        <f t="shared" si="244"/>
        <v>0.88800000000000001</v>
      </c>
      <c r="Y1735">
        <v>43.964482390000001</v>
      </c>
      <c r="Z1735">
        <v>0</v>
      </c>
      <c r="AA1735">
        <v>82284</v>
      </c>
      <c r="AB1735">
        <v>32030</v>
      </c>
      <c r="AC1735">
        <v>4.7570397E-2</v>
      </c>
      <c r="AD1735">
        <v>0.78974696300000002</v>
      </c>
      <c r="AF1735">
        <v>15.29276423</v>
      </c>
      <c r="AG1735">
        <v>3.4000000000000002E-2</v>
      </c>
      <c r="AH1735">
        <v>1.7999999999999999E-2</v>
      </c>
      <c r="AI1735">
        <v>0.79500000000000004</v>
      </c>
      <c r="AJ1735">
        <v>2.7112500000000002</v>
      </c>
      <c r="AK1735">
        <v>9.0120593870000008</v>
      </c>
      <c r="AL1735">
        <v>3.2000000000000001E-2</v>
      </c>
      <c r="AM1735">
        <v>6.0999999999999999E-2</v>
      </c>
      <c r="AN1735">
        <v>0.88800000000000001</v>
      </c>
    </row>
    <row r="1736" spans="1:40">
      <c r="A1736">
        <v>3804</v>
      </c>
      <c r="B1736" t="s">
        <v>690</v>
      </c>
      <c r="C1736" t="s">
        <v>687</v>
      </c>
      <c r="D1736" t="s">
        <v>688</v>
      </c>
      <c r="E1736">
        <v>190</v>
      </c>
      <c r="F1736">
        <v>426</v>
      </c>
      <c r="G1736">
        <v>37.991195740000002</v>
      </c>
      <c r="H1736">
        <v>184</v>
      </c>
      <c r="I1736">
        <v>5.9384141000000001E-2</v>
      </c>
      <c r="J1736">
        <v>610</v>
      </c>
      <c r="K1736">
        <v>10272.102779999999</v>
      </c>
      <c r="L1736">
        <v>0.77300000000000002</v>
      </c>
      <c r="M1736">
        <v>0.49197860999999998</v>
      </c>
      <c r="N1736">
        <v>0</v>
      </c>
      <c r="O1736" t="s">
        <v>620</v>
      </c>
      <c r="P1736">
        <f t="shared" si="236"/>
        <v>11.716734689999999</v>
      </c>
      <c r="Q1736">
        <f t="shared" si="237"/>
        <v>6.7000000000000004E-2</v>
      </c>
      <c r="R1736">
        <f t="shared" si="238"/>
        <v>2.9000000000000001E-2</v>
      </c>
      <c r="S1736">
        <f t="shared" si="239"/>
        <v>0.77300000000000002</v>
      </c>
      <c r="T1736">
        <f t="shared" si="240"/>
        <v>3.0438888890000002</v>
      </c>
      <c r="U1736">
        <f t="shared" si="241"/>
        <v>5.9466666669999997</v>
      </c>
      <c r="V1736">
        <f t="shared" si="242"/>
        <v>4.1000000000000002E-2</v>
      </c>
      <c r="W1736">
        <f t="shared" si="243"/>
        <v>0.27</v>
      </c>
      <c r="X1736">
        <f t="shared" si="244"/>
        <v>0.66200000000000003</v>
      </c>
      <c r="Y1736">
        <v>276.13730809999998</v>
      </c>
      <c r="Z1736">
        <v>0</v>
      </c>
      <c r="AA1736">
        <v>82284</v>
      </c>
      <c r="AB1736">
        <v>32030</v>
      </c>
      <c r="AC1736">
        <v>4.7570397E-2</v>
      </c>
      <c r="AD1736">
        <v>0.78974696300000002</v>
      </c>
      <c r="AF1736">
        <v>11.716734689999999</v>
      </c>
      <c r="AG1736">
        <v>6.7000000000000004E-2</v>
      </c>
      <c r="AH1736">
        <v>2.9000000000000001E-2</v>
      </c>
      <c r="AI1736">
        <v>0.77300000000000002</v>
      </c>
      <c r="AJ1736">
        <v>3.0438888890000002</v>
      </c>
      <c r="AK1736">
        <v>5.9466666669999997</v>
      </c>
      <c r="AL1736">
        <v>4.1000000000000002E-2</v>
      </c>
      <c r="AM1736">
        <v>0.27</v>
      </c>
      <c r="AN1736">
        <v>0.66200000000000003</v>
      </c>
    </row>
    <row r="1737" spans="1:40">
      <c r="A1737">
        <v>3805</v>
      </c>
      <c r="B1737" t="s">
        <v>690</v>
      </c>
      <c r="C1737" t="s">
        <v>687</v>
      </c>
      <c r="D1737" t="s">
        <v>688</v>
      </c>
      <c r="E1737">
        <v>141</v>
      </c>
      <c r="F1737">
        <v>317</v>
      </c>
      <c r="G1737">
        <v>26.852906860000001</v>
      </c>
      <c r="H1737">
        <v>0</v>
      </c>
      <c r="I1737">
        <v>4.1973634000000003E-2</v>
      </c>
      <c r="J1737">
        <v>317</v>
      </c>
      <c r="K1737">
        <v>7552.3601319999998</v>
      </c>
      <c r="L1737">
        <v>0.72399999999999998</v>
      </c>
      <c r="M1737">
        <v>0</v>
      </c>
      <c r="N1737">
        <v>0</v>
      </c>
      <c r="O1737" t="s">
        <v>620</v>
      </c>
      <c r="P1737">
        <f t="shared" si="236"/>
        <v>10.02444444</v>
      </c>
      <c r="Q1737">
        <f t="shared" si="237"/>
        <v>0.10199999999999999</v>
      </c>
      <c r="R1737">
        <f t="shared" si="238"/>
        <v>3.1E-2</v>
      </c>
      <c r="S1737">
        <f t="shared" si="239"/>
        <v>0.72399999999999998</v>
      </c>
      <c r="T1737">
        <f t="shared" si="240"/>
        <v>2.9466666670000001</v>
      </c>
      <c r="U1737">
        <f t="shared" si="241"/>
        <v>5.5441666669999998</v>
      </c>
      <c r="V1737">
        <f t="shared" si="242"/>
        <v>0.15</v>
      </c>
      <c r="W1737">
        <f t="shared" si="243"/>
        <v>0.4</v>
      </c>
      <c r="X1737">
        <f t="shared" si="244"/>
        <v>0.45</v>
      </c>
      <c r="Y1737">
        <v>274.75867829999999</v>
      </c>
      <c r="Z1737">
        <v>0</v>
      </c>
      <c r="AA1737">
        <v>82284</v>
      </c>
      <c r="AB1737">
        <v>32030</v>
      </c>
      <c r="AC1737">
        <v>4.7570397E-2</v>
      </c>
      <c r="AD1737">
        <v>0.78974696300000002</v>
      </c>
      <c r="AF1737">
        <v>10.02444444</v>
      </c>
      <c r="AG1737">
        <v>0.10199999999999999</v>
      </c>
      <c r="AH1737">
        <v>3.1E-2</v>
      </c>
      <c r="AI1737">
        <v>0.72399999999999998</v>
      </c>
      <c r="AJ1737">
        <v>2.9466666670000001</v>
      </c>
      <c r="AK1737">
        <v>5.5441666669999998</v>
      </c>
      <c r="AL1737">
        <v>0.15</v>
      </c>
      <c r="AM1737">
        <v>0.4</v>
      </c>
      <c r="AN1737">
        <v>0.45</v>
      </c>
    </row>
    <row r="1738" spans="1:40">
      <c r="A1738">
        <v>3806</v>
      </c>
      <c r="B1738" t="s">
        <v>690</v>
      </c>
      <c r="C1738" t="s">
        <v>687</v>
      </c>
      <c r="D1738" t="s">
        <v>688</v>
      </c>
      <c r="E1738">
        <v>202</v>
      </c>
      <c r="F1738">
        <v>221</v>
      </c>
      <c r="G1738">
        <v>56.25381359</v>
      </c>
      <c r="H1738">
        <v>1845</v>
      </c>
      <c r="I1738">
        <v>8.7925940999999994E-2</v>
      </c>
      <c r="J1738">
        <v>2066</v>
      </c>
      <c r="K1738">
        <v>23497.04736</v>
      </c>
      <c r="L1738">
        <v>0.82099999999999995</v>
      </c>
      <c r="M1738">
        <v>0.90131900300000001</v>
      </c>
      <c r="N1738">
        <v>0</v>
      </c>
      <c r="O1738" t="s">
        <v>613</v>
      </c>
      <c r="P1738">
        <f t="shared" si="236"/>
        <v>16.239479549999999</v>
      </c>
      <c r="Q1738">
        <f t="shared" si="237"/>
        <v>0.04</v>
      </c>
      <c r="R1738">
        <f t="shared" si="238"/>
        <v>1.6E-2</v>
      </c>
      <c r="S1738">
        <f t="shared" si="239"/>
        <v>0.82099999999999995</v>
      </c>
      <c r="T1738">
        <f t="shared" si="240"/>
        <v>2.3770833329999999</v>
      </c>
      <c r="U1738">
        <f t="shared" si="241"/>
        <v>9.1728981940000001</v>
      </c>
      <c r="V1738">
        <f t="shared" si="242"/>
        <v>2.5000000000000001E-2</v>
      </c>
      <c r="W1738">
        <f t="shared" si="243"/>
        <v>0.10100000000000001</v>
      </c>
      <c r="X1738">
        <f t="shared" si="244"/>
        <v>0.85099999999999998</v>
      </c>
      <c r="Y1738">
        <v>246.65026080000001</v>
      </c>
      <c r="Z1738">
        <v>0</v>
      </c>
      <c r="AA1738">
        <v>82284</v>
      </c>
      <c r="AB1738">
        <v>32030</v>
      </c>
      <c r="AC1738">
        <v>4.7570397E-2</v>
      </c>
      <c r="AD1738">
        <v>0.78974696300000002</v>
      </c>
      <c r="AF1738">
        <v>16.239479549999999</v>
      </c>
      <c r="AG1738">
        <v>0.04</v>
      </c>
      <c r="AH1738">
        <v>1.6E-2</v>
      </c>
      <c r="AI1738">
        <v>0.82099999999999995</v>
      </c>
      <c r="AJ1738">
        <v>2.3770833329999999</v>
      </c>
      <c r="AK1738">
        <v>9.1728981940000001</v>
      </c>
      <c r="AL1738">
        <v>2.5000000000000001E-2</v>
      </c>
      <c r="AM1738">
        <v>0.10100000000000001</v>
      </c>
      <c r="AN1738">
        <v>0.85099999999999998</v>
      </c>
    </row>
    <row r="1739" spans="1:40">
      <c r="A1739">
        <v>3807</v>
      </c>
      <c r="B1739" t="s">
        <v>690</v>
      </c>
      <c r="C1739" t="s">
        <v>687</v>
      </c>
      <c r="D1739" t="s">
        <v>688</v>
      </c>
      <c r="E1739">
        <v>86</v>
      </c>
      <c r="F1739">
        <v>86</v>
      </c>
      <c r="G1739">
        <v>13.33876864</v>
      </c>
      <c r="H1739">
        <v>134</v>
      </c>
      <c r="I1739">
        <v>2.0850824E-2</v>
      </c>
      <c r="J1739">
        <v>220</v>
      </c>
      <c r="K1739">
        <v>10551.14177</v>
      </c>
      <c r="L1739">
        <v>0.80300000000000005</v>
      </c>
      <c r="M1739">
        <v>0.60909090899999996</v>
      </c>
      <c r="N1739">
        <v>0</v>
      </c>
      <c r="O1739" t="s">
        <v>613</v>
      </c>
      <c r="P1739">
        <f t="shared" si="236"/>
        <v>9.1838461539999994</v>
      </c>
      <c r="Q1739">
        <f t="shared" si="237"/>
        <v>4.8000000000000001E-2</v>
      </c>
      <c r="R1739">
        <f t="shared" si="238"/>
        <v>3.7999999999999999E-2</v>
      </c>
      <c r="S1739">
        <f t="shared" si="239"/>
        <v>0.80300000000000005</v>
      </c>
      <c r="T1739">
        <f t="shared" si="240"/>
        <v>0.96499999999999997</v>
      </c>
      <c r="U1739">
        <f t="shared" si="241"/>
        <v>6.4726993869999996</v>
      </c>
      <c r="V1739">
        <f t="shared" si="242"/>
        <v>5.034848484848483E-2</v>
      </c>
      <c r="W1739">
        <f t="shared" si="243"/>
        <v>0.17599999999999999</v>
      </c>
      <c r="X1739">
        <f t="shared" si="244"/>
        <v>0.76500000000000001</v>
      </c>
      <c r="Y1739">
        <v>141.71558329999999</v>
      </c>
      <c r="Z1739">
        <v>0</v>
      </c>
      <c r="AA1739">
        <v>82284</v>
      </c>
      <c r="AB1739">
        <v>32030</v>
      </c>
      <c r="AC1739">
        <v>4.7570397E-2</v>
      </c>
      <c r="AD1739">
        <v>0.78974696300000002</v>
      </c>
      <c r="AF1739">
        <v>9.1838461539999994</v>
      </c>
      <c r="AG1739">
        <v>4.8000000000000001E-2</v>
      </c>
      <c r="AH1739">
        <v>3.7999999999999999E-2</v>
      </c>
      <c r="AI1739">
        <v>0.80300000000000005</v>
      </c>
      <c r="AJ1739">
        <v>0.96499999999999997</v>
      </c>
      <c r="AK1739">
        <v>6.4726993869999996</v>
      </c>
      <c r="AL1739">
        <v>0</v>
      </c>
      <c r="AM1739">
        <v>0.17599999999999999</v>
      </c>
      <c r="AN1739">
        <v>0.76500000000000001</v>
      </c>
    </row>
    <row r="1740" spans="1:40">
      <c r="A1740">
        <v>3808</v>
      </c>
      <c r="B1740" t="s">
        <v>690</v>
      </c>
      <c r="C1740" t="s">
        <v>687</v>
      </c>
      <c r="D1740" t="s">
        <v>688</v>
      </c>
      <c r="E1740">
        <v>610</v>
      </c>
      <c r="F1740">
        <v>1819</v>
      </c>
      <c r="G1740">
        <v>73.751833059999996</v>
      </c>
      <c r="H1740">
        <v>131</v>
      </c>
      <c r="I1740">
        <v>0.115280887</v>
      </c>
      <c r="J1740">
        <v>1950</v>
      </c>
      <c r="K1740">
        <v>16915.206419999999</v>
      </c>
      <c r="L1740">
        <v>0.75</v>
      </c>
      <c r="M1740">
        <v>0.17678812399999999</v>
      </c>
      <c r="N1740">
        <v>0</v>
      </c>
      <c r="O1740" t="s">
        <v>613</v>
      </c>
      <c r="P1740">
        <f t="shared" ref="P1740:P1755" si="245">IF(OR(IFERROR(AF1740=0,TRUE),ISERROR(AF1740)),AVERAGEIFS(AF:AF,$B:$B,$B1740,AF:AF,"&gt;0"),AF1740)</f>
        <v>10.650526320000001</v>
      </c>
      <c r="Q1740">
        <f t="shared" ref="Q1740:Q1755" si="246">IF(OR(IFERROR(AG1740=0,TRUE),ISERROR(AG1740)),AVERAGEIFS(AG:AG,$B:$B,$B1740,AG:AG,"&gt;0"),AG1740)</f>
        <v>6.5000000000000002E-2</v>
      </c>
      <c r="R1740">
        <f t="shared" ref="R1740:R1755" si="247">IF(OR(IFERROR(AH1740=0,TRUE),ISERROR(AH1740)),AVERAGEIFS(AH:AH,$B:$B,$B1740,AH:AH,"&gt;0"),AH1740)</f>
        <v>4.2999999999999997E-2</v>
      </c>
      <c r="S1740">
        <f t="shared" ref="S1740:S1755" si="248">IF(OR(IFERROR(AI1740=0,TRUE),ISERROR(AI1740)),AVERAGEIFS(AI:AI,$B:$B,$B1740,AI:AI,"&gt;0"),AI1740)</f>
        <v>0.75</v>
      </c>
      <c r="T1740">
        <f t="shared" ref="T1740:T1755" si="249">IF(OR(IFERROR(AJ1740=0,TRUE),ISERROR(AJ1740)),AVERAGEIFS(AJ:AJ,$B:$B,$B1740,AJ:AJ,"&gt;0"),AJ1740)</f>
        <v>2.4133333330000002</v>
      </c>
      <c r="U1740">
        <f t="shared" ref="U1740:U1755" si="250">IF(OR(IFERROR(AK1740=0,TRUE),ISERROR(AK1740)),AVERAGEIFS(AK:AK,$B:$B,$B1740,AK:AK,"&gt;0"),AK1740)</f>
        <v>5.9251278410000001</v>
      </c>
      <c r="V1740">
        <f t="shared" ref="V1740:V1755" si="251">IF(OR(IFERROR(AL1740=0,TRUE),ISERROR(AL1740)),AVERAGEIFS(AL:AL,$B:$B,$B1740,AL:AL,"&gt;0"),AL1740)</f>
        <v>0.107</v>
      </c>
      <c r="W1740">
        <f t="shared" ref="W1740:W1755" si="252">IF(OR(IFERROR(AM1740=0,TRUE),ISERROR(AM1740)),AVERAGEIFS(AM:AM,$B:$B,$B1740,AM:AM,"&gt;0"),AM1740)</f>
        <v>0.187</v>
      </c>
      <c r="X1740">
        <f t="shared" ref="X1740:X1755" si="253">IF(OR(IFERROR(AN1740=0,TRUE),ISERROR(AN1740)),AVERAGEIFS(AN:AN,$B:$B,$B1740,AN:AN,"&gt;0"),AN1740)</f>
        <v>0.67600000000000005</v>
      </c>
      <c r="Y1740">
        <v>146.6021293</v>
      </c>
      <c r="Z1740">
        <v>0</v>
      </c>
      <c r="AA1740">
        <v>82284</v>
      </c>
      <c r="AB1740">
        <v>32030</v>
      </c>
      <c r="AC1740">
        <v>4.7570397E-2</v>
      </c>
      <c r="AD1740">
        <v>0.78974696300000002</v>
      </c>
      <c r="AF1740">
        <v>10.650526320000001</v>
      </c>
      <c r="AG1740">
        <v>6.5000000000000002E-2</v>
      </c>
      <c r="AH1740">
        <v>4.2999999999999997E-2</v>
      </c>
      <c r="AI1740">
        <v>0.75</v>
      </c>
      <c r="AJ1740">
        <v>2.4133333330000002</v>
      </c>
      <c r="AK1740">
        <v>5.9251278410000001</v>
      </c>
      <c r="AL1740">
        <v>0.107</v>
      </c>
      <c r="AM1740">
        <v>0.187</v>
      </c>
      <c r="AN1740">
        <v>0.67600000000000005</v>
      </c>
    </row>
    <row r="1741" spans="1:40">
      <c r="A1741">
        <v>3809</v>
      </c>
      <c r="B1741" t="s">
        <v>690</v>
      </c>
      <c r="C1741" t="s">
        <v>687</v>
      </c>
      <c r="D1741" t="s">
        <v>688</v>
      </c>
      <c r="E1741">
        <v>301</v>
      </c>
      <c r="F1741">
        <v>582</v>
      </c>
      <c r="G1741">
        <v>104.7625012</v>
      </c>
      <c r="H1741">
        <v>2397</v>
      </c>
      <c r="I1741">
        <v>0.16375711300000001</v>
      </c>
      <c r="J1741">
        <v>2979</v>
      </c>
      <c r="K1741">
        <v>18191.5762</v>
      </c>
      <c r="L1741">
        <v>0.81799999999999995</v>
      </c>
      <c r="M1741">
        <v>0.88843587800000001</v>
      </c>
      <c r="N1741">
        <v>0</v>
      </c>
      <c r="O1741" t="s">
        <v>613</v>
      </c>
      <c r="P1741">
        <f t="shared" si="245"/>
        <v>13.036885249999999</v>
      </c>
      <c r="Q1741">
        <f t="shared" si="246"/>
        <v>3.5999999999999997E-2</v>
      </c>
      <c r="R1741">
        <f t="shared" si="247"/>
        <v>1.2999999999999999E-2</v>
      </c>
      <c r="S1741">
        <f t="shared" si="248"/>
        <v>0.81799999999999995</v>
      </c>
      <c r="T1741">
        <f t="shared" si="249"/>
        <v>2.375</v>
      </c>
      <c r="U1741">
        <f t="shared" si="250"/>
        <v>7.5960252559999999</v>
      </c>
      <c r="V1741">
        <f t="shared" si="251"/>
        <v>2.1000000000000001E-2</v>
      </c>
      <c r="W1741">
        <f t="shared" si="252"/>
        <v>0.10100000000000001</v>
      </c>
      <c r="X1741">
        <f t="shared" si="253"/>
        <v>0.81100000000000005</v>
      </c>
      <c r="Y1741">
        <v>340.5472747</v>
      </c>
      <c r="Z1741">
        <v>0</v>
      </c>
      <c r="AA1741">
        <v>82284</v>
      </c>
      <c r="AB1741">
        <v>32030</v>
      </c>
      <c r="AC1741">
        <v>4.7570397E-2</v>
      </c>
      <c r="AD1741">
        <v>0.78974696300000002</v>
      </c>
      <c r="AF1741">
        <v>13.036885249999999</v>
      </c>
      <c r="AG1741">
        <v>3.5999999999999997E-2</v>
      </c>
      <c r="AH1741">
        <v>1.2999999999999999E-2</v>
      </c>
      <c r="AI1741">
        <v>0.81799999999999995</v>
      </c>
      <c r="AJ1741">
        <v>2.375</v>
      </c>
      <c r="AK1741">
        <v>7.5960252559999999</v>
      </c>
      <c r="AL1741">
        <v>2.1000000000000001E-2</v>
      </c>
      <c r="AM1741">
        <v>0.10100000000000001</v>
      </c>
      <c r="AN1741">
        <v>0.81100000000000005</v>
      </c>
    </row>
    <row r="1742" spans="1:40">
      <c r="A1742">
        <v>3810</v>
      </c>
      <c r="B1742" t="s">
        <v>689</v>
      </c>
      <c r="C1742" t="s">
        <v>687</v>
      </c>
      <c r="D1742" t="s">
        <v>688</v>
      </c>
      <c r="E1742">
        <v>0</v>
      </c>
      <c r="F1742">
        <v>0</v>
      </c>
      <c r="G1742">
        <v>16.41853412</v>
      </c>
      <c r="H1742">
        <v>216</v>
      </c>
      <c r="I1742">
        <v>2.5659960999999998E-2</v>
      </c>
      <c r="J1742">
        <v>216</v>
      </c>
      <c r="K1742">
        <v>8417.7836439999992</v>
      </c>
      <c r="L1742">
        <v>0.89100000000000001</v>
      </c>
      <c r="M1742" s="515">
        <v>1</v>
      </c>
      <c r="N1742">
        <v>1</v>
      </c>
      <c r="O1742" t="s">
        <v>613</v>
      </c>
      <c r="P1742">
        <f t="shared" si="245"/>
        <v>14.943137249999999</v>
      </c>
      <c r="Q1742">
        <f t="shared" si="246"/>
        <v>3.4000000000000002E-2</v>
      </c>
      <c r="R1742">
        <f t="shared" si="247"/>
        <v>1.9E-2</v>
      </c>
      <c r="S1742">
        <f t="shared" si="248"/>
        <v>0.89100000000000001</v>
      </c>
      <c r="T1742">
        <f t="shared" si="249"/>
        <v>2.8733333330000002</v>
      </c>
      <c r="U1742">
        <f t="shared" si="250"/>
        <v>8.2412167299999997</v>
      </c>
      <c r="V1742">
        <f t="shared" si="251"/>
        <v>6.6000000000000003E-2</v>
      </c>
      <c r="W1742">
        <f t="shared" si="252"/>
        <v>9.8000000000000004E-2</v>
      </c>
      <c r="X1742">
        <f t="shared" si="253"/>
        <v>0.83599999999999997</v>
      </c>
      <c r="Y1742">
        <v>97.328591160000002</v>
      </c>
      <c r="Z1742">
        <v>0</v>
      </c>
      <c r="AA1742">
        <v>454184</v>
      </c>
      <c r="AB1742">
        <v>170596</v>
      </c>
      <c r="AC1742">
        <v>6.5715274000000004E-2</v>
      </c>
      <c r="AD1742">
        <v>0.72549415100000003</v>
      </c>
      <c r="AF1742">
        <v>14.943137249999999</v>
      </c>
      <c r="AG1742">
        <v>3.4000000000000002E-2</v>
      </c>
      <c r="AH1742">
        <v>1.9E-2</v>
      </c>
      <c r="AI1742">
        <v>0.89100000000000001</v>
      </c>
      <c r="AJ1742">
        <v>2.8733333330000002</v>
      </c>
      <c r="AK1742">
        <v>8.2412167299999997</v>
      </c>
      <c r="AL1742">
        <v>6.6000000000000003E-2</v>
      </c>
      <c r="AM1742">
        <v>9.8000000000000004E-2</v>
      </c>
      <c r="AN1742">
        <v>0.83599999999999997</v>
      </c>
    </row>
    <row r="1743" spans="1:40">
      <c r="A1743">
        <v>3811</v>
      </c>
      <c r="B1743" t="s">
        <v>689</v>
      </c>
      <c r="C1743" t="s">
        <v>687</v>
      </c>
      <c r="D1743" t="s">
        <v>688</v>
      </c>
      <c r="E1743">
        <v>93</v>
      </c>
      <c r="F1743">
        <v>234</v>
      </c>
      <c r="G1743">
        <v>132.691891</v>
      </c>
      <c r="H1743">
        <v>54</v>
      </c>
      <c r="I1743">
        <v>0.20741807100000001</v>
      </c>
      <c r="J1743">
        <v>288</v>
      </c>
      <c r="K1743">
        <v>1388.500041</v>
      </c>
      <c r="L1743">
        <v>0.85699999999999998</v>
      </c>
      <c r="M1743">
        <v>0.36734693899999998</v>
      </c>
      <c r="N1743">
        <v>0</v>
      </c>
      <c r="O1743" t="s">
        <v>620</v>
      </c>
      <c r="P1743">
        <f t="shared" si="245"/>
        <v>14.903214289999999</v>
      </c>
      <c r="Q1743">
        <f t="shared" si="246"/>
        <v>4.3999999999999997E-2</v>
      </c>
      <c r="R1743">
        <f t="shared" si="247"/>
        <v>3.3000000000000002E-2</v>
      </c>
      <c r="S1743">
        <f t="shared" si="248"/>
        <v>0.85699999999999998</v>
      </c>
      <c r="T1743">
        <f t="shared" si="249"/>
        <v>3.76</v>
      </c>
      <c r="U1743">
        <f t="shared" si="250"/>
        <v>8.7992105259999995</v>
      </c>
      <c r="V1743">
        <f t="shared" si="251"/>
        <v>0.1</v>
      </c>
      <c r="W1743">
        <f t="shared" si="252"/>
        <v>0.2</v>
      </c>
      <c r="X1743">
        <f t="shared" si="253"/>
        <v>0.7</v>
      </c>
      <c r="Y1743">
        <v>114.6724681</v>
      </c>
      <c r="Z1743">
        <v>0</v>
      </c>
      <c r="AA1743">
        <v>454184</v>
      </c>
      <c r="AB1743">
        <v>170596</v>
      </c>
      <c r="AC1743">
        <v>6.5715274000000004E-2</v>
      </c>
      <c r="AD1743">
        <v>0.72549415100000003</v>
      </c>
      <c r="AF1743">
        <v>14.903214289999999</v>
      </c>
      <c r="AG1743">
        <v>4.3999999999999997E-2</v>
      </c>
      <c r="AH1743">
        <v>3.3000000000000002E-2</v>
      </c>
      <c r="AI1743">
        <v>0.85699999999999998</v>
      </c>
      <c r="AJ1743">
        <v>3.76</v>
      </c>
      <c r="AK1743">
        <v>8.7992105259999995</v>
      </c>
      <c r="AL1743">
        <v>0.1</v>
      </c>
      <c r="AM1743">
        <v>0.2</v>
      </c>
      <c r="AN1743">
        <v>0.7</v>
      </c>
    </row>
    <row r="1744" spans="1:40">
      <c r="A1744">
        <v>3812</v>
      </c>
      <c r="B1744" t="s">
        <v>683</v>
      </c>
      <c r="C1744" t="s">
        <v>684</v>
      </c>
      <c r="D1744" t="s">
        <v>685</v>
      </c>
      <c r="E1744">
        <v>339</v>
      </c>
      <c r="F1744">
        <v>1208</v>
      </c>
      <c r="G1744">
        <v>58.489865960000003</v>
      </c>
      <c r="H1744">
        <v>109</v>
      </c>
      <c r="I1744">
        <v>9.1427025999999995E-2</v>
      </c>
      <c r="J1744">
        <v>1317</v>
      </c>
      <c r="K1744">
        <v>14404.930990000001</v>
      </c>
      <c r="L1744">
        <v>0.82199999999999995</v>
      </c>
      <c r="M1744">
        <v>0.243303571</v>
      </c>
      <c r="N1744">
        <v>0</v>
      </c>
      <c r="O1744" t="s">
        <v>620</v>
      </c>
      <c r="P1744">
        <f t="shared" si="245"/>
        <v>12.568769229999999</v>
      </c>
      <c r="Q1744">
        <f t="shared" si="246"/>
        <v>2.5999999999999999E-2</v>
      </c>
      <c r="R1744">
        <f t="shared" si="247"/>
        <v>3.4000000000000002E-2</v>
      </c>
      <c r="S1744">
        <f t="shared" si="248"/>
        <v>0.82199999999999995</v>
      </c>
      <c r="T1744">
        <f t="shared" si="249"/>
        <v>1.3331034479999999</v>
      </c>
      <c r="U1744">
        <f t="shared" si="250"/>
        <v>7.2924024019999996</v>
      </c>
      <c r="V1744">
        <f t="shared" si="251"/>
        <v>1.4E-2</v>
      </c>
      <c r="W1744">
        <f t="shared" si="252"/>
        <v>7.0000000000000007E-2</v>
      </c>
      <c r="X1744">
        <f t="shared" si="253"/>
        <v>0.91500000000000004</v>
      </c>
      <c r="Y1744">
        <v>45.489665969999997</v>
      </c>
      <c r="Z1744">
        <v>0</v>
      </c>
      <c r="AA1744">
        <v>75370</v>
      </c>
      <c r="AB1744">
        <v>21403</v>
      </c>
      <c r="AC1744">
        <v>2.4597187E-2</v>
      </c>
      <c r="AD1744">
        <v>0.84342094400000001</v>
      </c>
      <c r="AF1744">
        <v>12.568769229999999</v>
      </c>
      <c r="AG1744">
        <v>2.5999999999999999E-2</v>
      </c>
      <c r="AH1744">
        <v>3.4000000000000002E-2</v>
      </c>
      <c r="AI1744">
        <v>0.82199999999999995</v>
      </c>
      <c r="AJ1744">
        <v>1.3331034479999999</v>
      </c>
      <c r="AK1744">
        <v>7.2924024019999996</v>
      </c>
      <c r="AL1744">
        <v>1.4E-2</v>
      </c>
      <c r="AM1744">
        <v>7.0000000000000007E-2</v>
      </c>
      <c r="AN1744">
        <v>0.91500000000000004</v>
      </c>
    </row>
    <row r="1745" spans="1:40">
      <c r="A1745">
        <v>3813</v>
      </c>
      <c r="B1745" t="s">
        <v>683</v>
      </c>
      <c r="C1745" t="s">
        <v>684</v>
      </c>
      <c r="D1745" t="s">
        <v>685</v>
      </c>
      <c r="E1745">
        <v>17</v>
      </c>
      <c r="F1745">
        <v>63</v>
      </c>
      <c r="G1745">
        <v>122.415724</v>
      </c>
      <c r="H1745">
        <v>2857</v>
      </c>
      <c r="I1745">
        <v>0.19135189699999999</v>
      </c>
      <c r="J1745">
        <v>2920</v>
      </c>
      <c r="K1745">
        <v>15259.843489999999</v>
      </c>
      <c r="L1745">
        <v>0.89700000000000002</v>
      </c>
      <c r="M1745">
        <v>0.99408489899999997</v>
      </c>
      <c r="N1745">
        <v>0</v>
      </c>
      <c r="O1745" t="s">
        <v>620</v>
      </c>
      <c r="P1745">
        <f t="shared" si="245"/>
        <v>14.114646459999999</v>
      </c>
      <c r="Q1745">
        <f t="shared" si="246"/>
        <v>8.0000000000000002E-3</v>
      </c>
      <c r="R1745">
        <f t="shared" si="247"/>
        <v>1.0999999999999999E-2</v>
      </c>
      <c r="S1745">
        <f t="shared" si="248"/>
        <v>0.89700000000000002</v>
      </c>
      <c r="T1745">
        <f t="shared" si="249"/>
        <v>3.1121739129999999</v>
      </c>
      <c r="U1745">
        <f t="shared" si="250"/>
        <v>8.8961743480000006</v>
      </c>
      <c r="V1745">
        <f t="shared" si="251"/>
        <v>0.03</v>
      </c>
      <c r="W1745">
        <f t="shared" si="252"/>
        <v>1.9E-2</v>
      </c>
      <c r="X1745">
        <f t="shared" si="253"/>
        <v>0.93600000000000005</v>
      </c>
      <c r="Y1745">
        <v>43.506282249999998</v>
      </c>
      <c r="Z1745">
        <v>0</v>
      </c>
      <c r="AA1745">
        <v>75370</v>
      </c>
      <c r="AB1745">
        <v>21403</v>
      </c>
      <c r="AC1745">
        <v>2.4597187E-2</v>
      </c>
      <c r="AD1745">
        <v>0.84342094400000001</v>
      </c>
      <c r="AF1745">
        <v>14.114646459999999</v>
      </c>
      <c r="AG1745">
        <v>8.0000000000000002E-3</v>
      </c>
      <c r="AH1745">
        <v>1.0999999999999999E-2</v>
      </c>
      <c r="AI1745">
        <v>0.89700000000000002</v>
      </c>
      <c r="AJ1745">
        <v>3.1121739129999999</v>
      </c>
      <c r="AK1745">
        <v>8.8961743480000006</v>
      </c>
      <c r="AL1745">
        <v>0.03</v>
      </c>
      <c r="AM1745">
        <v>1.9E-2</v>
      </c>
      <c r="AN1745">
        <v>0.93600000000000005</v>
      </c>
    </row>
    <row r="1746" spans="1:40">
      <c r="A1746">
        <v>3814</v>
      </c>
      <c r="B1746" t="s">
        <v>683</v>
      </c>
      <c r="C1746" t="s">
        <v>684</v>
      </c>
      <c r="D1746" t="s">
        <v>685</v>
      </c>
      <c r="E1746">
        <v>157</v>
      </c>
      <c r="F1746">
        <v>495</v>
      </c>
      <c r="G1746">
        <v>26.358874490000002</v>
      </c>
      <c r="H1746">
        <v>6</v>
      </c>
      <c r="I1746">
        <v>4.1195495999999998E-2</v>
      </c>
      <c r="J1746">
        <v>501</v>
      </c>
      <c r="K1746">
        <v>12161.52368</v>
      </c>
      <c r="L1746">
        <v>0.79200000000000004</v>
      </c>
      <c r="M1746">
        <v>3.6809816000000002E-2</v>
      </c>
      <c r="N1746">
        <v>0</v>
      </c>
      <c r="O1746" t="s">
        <v>620</v>
      </c>
      <c r="P1746">
        <f t="shared" si="245"/>
        <v>10.06765957</v>
      </c>
      <c r="Q1746">
        <f t="shared" si="246"/>
        <v>3.7999999999999999E-2</v>
      </c>
      <c r="R1746">
        <f t="shared" si="247"/>
        <v>1.7000000000000001E-2</v>
      </c>
      <c r="S1746">
        <f t="shared" si="248"/>
        <v>0.79200000000000004</v>
      </c>
      <c r="T1746">
        <f t="shared" si="249"/>
        <v>1.671666667</v>
      </c>
      <c r="U1746">
        <f t="shared" si="250"/>
        <v>6.0043018869999996</v>
      </c>
      <c r="V1746">
        <f t="shared" si="251"/>
        <v>7.0000000000000007E-2</v>
      </c>
      <c r="W1746">
        <f t="shared" si="252"/>
        <v>0.105</v>
      </c>
      <c r="X1746">
        <f t="shared" si="253"/>
        <v>0.82499999999999996</v>
      </c>
      <c r="Y1746">
        <v>142.88173420000001</v>
      </c>
      <c r="Z1746">
        <v>0</v>
      </c>
      <c r="AA1746">
        <v>75370</v>
      </c>
      <c r="AB1746">
        <v>21403</v>
      </c>
      <c r="AC1746">
        <v>2.4597187E-2</v>
      </c>
      <c r="AD1746">
        <v>0.84342094400000001</v>
      </c>
      <c r="AF1746">
        <v>10.06765957</v>
      </c>
      <c r="AG1746">
        <v>3.7999999999999999E-2</v>
      </c>
      <c r="AH1746">
        <v>1.7000000000000001E-2</v>
      </c>
      <c r="AI1746">
        <v>0.79200000000000004</v>
      </c>
      <c r="AJ1746">
        <v>1.671666667</v>
      </c>
      <c r="AK1746">
        <v>6.0043018869999996</v>
      </c>
      <c r="AL1746">
        <v>7.0000000000000007E-2</v>
      </c>
      <c r="AM1746">
        <v>0.105</v>
      </c>
      <c r="AN1746">
        <v>0.82499999999999996</v>
      </c>
    </row>
    <row r="1747" spans="1:40">
      <c r="A1747">
        <v>3815</v>
      </c>
      <c r="B1747" t="s">
        <v>691</v>
      </c>
      <c r="C1747" t="s">
        <v>684</v>
      </c>
      <c r="D1747" t="s">
        <v>685</v>
      </c>
      <c r="E1747">
        <v>570</v>
      </c>
      <c r="F1747">
        <v>1922</v>
      </c>
      <c r="G1747">
        <v>385.02587190000003</v>
      </c>
      <c r="H1747">
        <v>343</v>
      </c>
      <c r="I1747">
        <v>0.60182680200000005</v>
      </c>
      <c r="J1747">
        <v>2265</v>
      </c>
      <c r="K1747">
        <v>3763.5412590000001</v>
      </c>
      <c r="L1747">
        <v>0.89200000000000002</v>
      </c>
      <c r="M1747">
        <v>0.375684556</v>
      </c>
      <c r="N1747">
        <v>0</v>
      </c>
      <c r="O1747" t="s">
        <v>620</v>
      </c>
      <c r="P1747">
        <f t="shared" si="245"/>
        <v>14.54903743</v>
      </c>
      <c r="Q1747">
        <f t="shared" si="246"/>
        <v>1.9E-2</v>
      </c>
      <c r="R1747">
        <f t="shared" si="247"/>
        <v>2.1000000000000001E-2</v>
      </c>
      <c r="S1747">
        <f t="shared" si="248"/>
        <v>0.89200000000000002</v>
      </c>
      <c r="T1747">
        <f t="shared" si="249"/>
        <v>2.2108333330000001</v>
      </c>
      <c r="U1747">
        <f t="shared" si="250"/>
        <v>8.8541134750000001</v>
      </c>
      <c r="V1747">
        <f t="shared" si="251"/>
        <v>1.4999999999999999E-2</v>
      </c>
      <c r="W1747">
        <f t="shared" si="252"/>
        <v>7.2999999999999995E-2</v>
      </c>
      <c r="X1747">
        <f t="shared" si="253"/>
        <v>0.91200000000000003</v>
      </c>
      <c r="Y1747">
        <v>12.5269558</v>
      </c>
      <c r="Z1747">
        <v>0</v>
      </c>
      <c r="AA1747">
        <v>236250</v>
      </c>
      <c r="AB1747">
        <v>76158</v>
      </c>
      <c r="AC1747">
        <v>1.7652984E-2</v>
      </c>
      <c r="AD1747">
        <v>0.84750225300000004</v>
      </c>
      <c r="AF1747">
        <v>14.54903743</v>
      </c>
      <c r="AG1747">
        <v>1.9E-2</v>
      </c>
      <c r="AH1747">
        <v>2.1000000000000001E-2</v>
      </c>
      <c r="AI1747">
        <v>0.89200000000000002</v>
      </c>
      <c r="AJ1747">
        <v>2.2108333330000001</v>
      </c>
      <c r="AK1747">
        <v>8.8541134750000001</v>
      </c>
      <c r="AL1747">
        <v>1.4999999999999999E-2</v>
      </c>
      <c r="AM1747">
        <v>7.2999999999999995E-2</v>
      </c>
      <c r="AN1747">
        <v>0.91200000000000003</v>
      </c>
    </row>
    <row r="1748" spans="1:40">
      <c r="A1748">
        <v>3816</v>
      </c>
      <c r="B1748" t="s">
        <v>691</v>
      </c>
      <c r="C1748" t="s">
        <v>684</v>
      </c>
      <c r="D1748" t="s">
        <v>685</v>
      </c>
      <c r="E1748">
        <v>96</v>
      </c>
      <c r="F1748">
        <v>322</v>
      </c>
      <c r="G1748">
        <v>92.97998269</v>
      </c>
      <c r="H1748">
        <v>4</v>
      </c>
      <c r="I1748">
        <v>0.14532942700000001</v>
      </c>
      <c r="J1748">
        <v>326</v>
      </c>
      <c r="K1748">
        <v>2243.1795590000002</v>
      </c>
      <c r="L1748">
        <v>0.83199999999999996</v>
      </c>
      <c r="M1748">
        <v>0.04</v>
      </c>
      <c r="N1748">
        <v>0</v>
      </c>
      <c r="O1748" t="s">
        <v>625</v>
      </c>
      <c r="P1748">
        <f t="shared" si="245"/>
        <v>15.03612903</v>
      </c>
      <c r="Q1748">
        <f t="shared" si="246"/>
        <v>1.8070175438596476E-2</v>
      </c>
      <c r="R1748">
        <f t="shared" si="247"/>
        <v>1.9E-2</v>
      </c>
      <c r="S1748">
        <f t="shared" si="248"/>
        <v>0.83199999999999996</v>
      </c>
      <c r="T1748">
        <f t="shared" si="249"/>
        <v>3.1724999999999999</v>
      </c>
      <c r="U1748">
        <f t="shared" si="250"/>
        <v>9.2181818179999997</v>
      </c>
      <c r="V1748">
        <f t="shared" si="251"/>
        <v>3.5151315789473656E-2</v>
      </c>
      <c r="W1748">
        <f t="shared" si="252"/>
        <v>5.9146341463414652E-2</v>
      </c>
      <c r="X1748">
        <f t="shared" si="253"/>
        <v>1</v>
      </c>
      <c r="Y1748">
        <v>12.55877493</v>
      </c>
      <c r="Z1748">
        <v>0</v>
      </c>
      <c r="AA1748">
        <v>236250</v>
      </c>
      <c r="AB1748">
        <v>76158</v>
      </c>
      <c r="AC1748">
        <v>1.7652984E-2</v>
      </c>
      <c r="AD1748">
        <v>0.84750225300000004</v>
      </c>
      <c r="AF1748">
        <v>15.03612903</v>
      </c>
      <c r="AG1748">
        <v>0</v>
      </c>
      <c r="AH1748">
        <v>1.9E-2</v>
      </c>
      <c r="AI1748">
        <v>0.83199999999999996</v>
      </c>
      <c r="AJ1748">
        <v>3.1724999999999999</v>
      </c>
      <c r="AK1748">
        <v>9.2181818179999997</v>
      </c>
      <c r="AL1748">
        <v>0</v>
      </c>
      <c r="AM1748">
        <v>0</v>
      </c>
      <c r="AN1748">
        <v>1</v>
      </c>
    </row>
    <row r="1749" spans="1:40">
      <c r="A1749">
        <v>3817</v>
      </c>
      <c r="B1749" t="s">
        <v>706</v>
      </c>
      <c r="C1749" t="s">
        <v>684</v>
      </c>
      <c r="D1749" t="s">
        <v>685</v>
      </c>
      <c r="E1749">
        <v>0</v>
      </c>
      <c r="F1749">
        <v>0</v>
      </c>
      <c r="G1749">
        <v>15.40856497</v>
      </c>
      <c r="H1749">
        <v>277</v>
      </c>
      <c r="I1749">
        <v>2.4084679000000001E-2</v>
      </c>
      <c r="J1749">
        <v>277</v>
      </c>
      <c r="K1749">
        <v>11501.08748</v>
      </c>
      <c r="L1749">
        <v>0.93899999999999995</v>
      </c>
      <c r="M1749" s="515">
        <v>1</v>
      </c>
      <c r="N1749">
        <v>0</v>
      </c>
      <c r="O1749" t="s">
        <v>620</v>
      </c>
      <c r="P1749">
        <f t="shared" si="245"/>
        <v>14.987857139999999</v>
      </c>
      <c r="Q1749">
        <f t="shared" si="246"/>
        <v>1.4851851851851857E-2</v>
      </c>
      <c r="R1749">
        <f t="shared" si="247"/>
        <v>1.2E-2</v>
      </c>
      <c r="S1749">
        <f t="shared" si="248"/>
        <v>0.93899999999999995</v>
      </c>
      <c r="T1749">
        <f t="shared" si="249"/>
        <v>4.57</v>
      </c>
      <c r="U1749">
        <f t="shared" si="250"/>
        <v>10.401</v>
      </c>
      <c r="V1749">
        <f t="shared" si="251"/>
        <v>4.2999999999999997E-2</v>
      </c>
      <c r="W1749">
        <f t="shared" si="252"/>
        <v>4.6111111111111124E-2</v>
      </c>
      <c r="X1749">
        <f t="shared" si="253"/>
        <v>0.91300000000000003</v>
      </c>
      <c r="Y1749">
        <v>6.8102463220000002</v>
      </c>
      <c r="Z1749">
        <v>0</v>
      </c>
      <c r="AA1749">
        <v>47401</v>
      </c>
      <c r="AB1749">
        <v>14616</v>
      </c>
      <c r="AC1749">
        <v>1.1721782E-2</v>
      </c>
      <c r="AD1749">
        <v>0.85588417900000002</v>
      </c>
      <c r="AF1749">
        <v>14.987857139999999</v>
      </c>
      <c r="AG1749">
        <v>0</v>
      </c>
      <c r="AH1749">
        <v>1.2E-2</v>
      </c>
      <c r="AI1749">
        <v>0.93899999999999995</v>
      </c>
      <c r="AJ1749">
        <v>4.57</v>
      </c>
      <c r="AK1749">
        <v>10.401</v>
      </c>
      <c r="AL1749">
        <v>4.2999999999999997E-2</v>
      </c>
      <c r="AM1749">
        <v>0</v>
      </c>
      <c r="AN1749">
        <v>0.91300000000000003</v>
      </c>
    </row>
    <row r="1750" spans="1:40">
      <c r="A1750">
        <v>3818</v>
      </c>
      <c r="B1750" t="s">
        <v>706</v>
      </c>
      <c r="C1750" t="s">
        <v>684</v>
      </c>
      <c r="D1750" t="s">
        <v>685</v>
      </c>
      <c r="E1750">
        <v>2</v>
      </c>
      <c r="F1750">
        <v>8</v>
      </c>
      <c r="G1750">
        <v>55.06577514</v>
      </c>
      <c r="H1750">
        <v>638</v>
      </c>
      <c r="I1750">
        <v>8.6072600999999999E-2</v>
      </c>
      <c r="J1750">
        <v>646</v>
      </c>
      <c r="K1750">
        <v>7505.2919570000004</v>
      </c>
      <c r="L1750">
        <v>0.91100000000000003</v>
      </c>
      <c r="M1750">
        <v>0.99687499999999996</v>
      </c>
      <c r="N1750">
        <v>0</v>
      </c>
      <c r="O1750" t="s">
        <v>620</v>
      </c>
      <c r="P1750">
        <f t="shared" si="245"/>
        <v>16.299021740000001</v>
      </c>
      <c r="Q1750">
        <f t="shared" si="246"/>
        <v>1.7000000000000001E-2</v>
      </c>
      <c r="R1750">
        <f t="shared" si="247"/>
        <v>7.0000000000000001E-3</v>
      </c>
      <c r="S1750">
        <f t="shared" si="248"/>
        <v>0.91100000000000003</v>
      </c>
      <c r="T1750">
        <f t="shared" si="249"/>
        <v>5.56</v>
      </c>
      <c r="U1750">
        <f t="shared" si="250"/>
        <v>12.90109848</v>
      </c>
      <c r="V1750">
        <f t="shared" si="251"/>
        <v>0.02</v>
      </c>
      <c r="W1750">
        <f t="shared" si="252"/>
        <v>0.04</v>
      </c>
      <c r="X1750">
        <f t="shared" si="253"/>
        <v>0.92</v>
      </c>
      <c r="Y1750">
        <v>6.8102463220000002</v>
      </c>
      <c r="Z1750">
        <v>0</v>
      </c>
      <c r="AA1750">
        <v>47401</v>
      </c>
      <c r="AB1750">
        <v>14616</v>
      </c>
      <c r="AC1750">
        <v>1.1721782E-2</v>
      </c>
      <c r="AD1750">
        <v>0.85588417900000002</v>
      </c>
      <c r="AF1750">
        <v>16.299021740000001</v>
      </c>
      <c r="AG1750">
        <v>1.7000000000000001E-2</v>
      </c>
      <c r="AH1750">
        <v>7.0000000000000001E-3</v>
      </c>
      <c r="AI1750">
        <v>0.91100000000000003</v>
      </c>
      <c r="AJ1750">
        <v>5.56</v>
      </c>
      <c r="AK1750">
        <v>12.90109848</v>
      </c>
      <c r="AL1750">
        <v>0.02</v>
      </c>
      <c r="AM1750">
        <v>0.04</v>
      </c>
      <c r="AN1750">
        <v>0.92</v>
      </c>
    </row>
    <row r="1751" spans="1:40">
      <c r="A1751">
        <v>3819</v>
      </c>
      <c r="B1751" t="s">
        <v>691</v>
      </c>
      <c r="C1751" t="s">
        <v>684</v>
      </c>
      <c r="D1751" t="s">
        <v>685</v>
      </c>
      <c r="E1751">
        <v>1</v>
      </c>
      <c r="F1751">
        <v>2</v>
      </c>
      <c r="G1751">
        <v>112.50329290000001</v>
      </c>
      <c r="H1751">
        <v>2406</v>
      </c>
      <c r="I1751">
        <v>0.17585142500000001</v>
      </c>
      <c r="J1751">
        <v>2408</v>
      </c>
      <c r="K1751">
        <v>13693.3778</v>
      </c>
      <c r="L1751">
        <v>0.93</v>
      </c>
      <c r="M1751">
        <v>0.99958454500000005</v>
      </c>
      <c r="N1751">
        <v>0</v>
      </c>
      <c r="O1751" t="s">
        <v>620</v>
      </c>
      <c r="P1751">
        <f t="shared" si="245"/>
        <v>15.827965259999999</v>
      </c>
      <c r="Q1751">
        <f t="shared" si="246"/>
        <v>4.0000000000000001E-3</v>
      </c>
      <c r="R1751">
        <f t="shared" si="247"/>
        <v>8.0000000000000002E-3</v>
      </c>
      <c r="S1751">
        <f t="shared" si="248"/>
        <v>0.93</v>
      </c>
      <c r="T1751">
        <f t="shared" si="249"/>
        <v>2.9491666670000001</v>
      </c>
      <c r="U1751">
        <f t="shared" si="250"/>
        <v>10.98308668</v>
      </c>
      <c r="V1751">
        <f t="shared" si="251"/>
        <v>0.01</v>
      </c>
      <c r="W1751">
        <f t="shared" si="252"/>
        <v>1.4999999999999999E-2</v>
      </c>
      <c r="X1751">
        <f t="shared" si="253"/>
        <v>0.97599999999999998</v>
      </c>
      <c r="Y1751">
        <v>12.965551120000001</v>
      </c>
      <c r="Z1751">
        <v>0</v>
      </c>
      <c r="AA1751">
        <v>236250</v>
      </c>
      <c r="AB1751">
        <v>76158</v>
      </c>
      <c r="AC1751">
        <v>1.7652984E-2</v>
      </c>
      <c r="AD1751">
        <v>0.84750225300000004</v>
      </c>
      <c r="AF1751">
        <v>15.827965259999999</v>
      </c>
      <c r="AG1751">
        <v>4.0000000000000001E-3</v>
      </c>
      <c r="AH1751">
        <v>8.0000000000000002E-3</v>
      </c>
      <c r="AI1751">
        <v>0.93</v>
      </c>
      <c r="AJ1751">
        <v>2.9491666670000001</v>
      </c>
      <c r="AK1751">
        <v>10.98308668</v>
      </c>
      <c r="AL1751">
        <v>0.01</v>
      </c>
      <c r="AM1751">
        <v>1.4999999999999999E-2</v>
      </c>
      <c r="AN1751">
        <v>0.97599999999999998</v>
      </c>
    </row>
    <row r="1752" spans="1:40">
      <c r="A1752">
        <v>3820</v>
      </c>
      <c r="B1752" t="s">
        <v>691</v>
      </c>
      <c r="C1752" t="s">
        <v>684</v>
      </c>
      <c r="D1752" t="s">
        <v>685</v>
      </c>
      <c r="E1752">
        <v>3</v>
      </c>
      <c r="F1752">
        <v>6</v>
      </c>
      <c r="G1752">
        <v>234.12815280000001</v>
      </c>
      <c r="H1752">
        <v>4387</v>
      </c>
      <c r="I1752">
        <v>0.36595768200000001</v>
      </c>
      <c r="J1752">
        <v>4393</v>
      </c>
      <c r="K1752">
        <v>12004.12019</v>
      </c>
      <c r="L1752">
        <v>0.93600000000000005</v>
      </c>
      <c r="M1752">
        <v>0.99931662899999996</v>
      </c>
      <c r="N1752">
        <v>0</v>
      </c>
      <c r="O1752" t="s">
        <v>620</v>
      </c>
      <c r="P1752">
        <f t="shared" si="245"/>
        <v>16.093968</v>
      </c>
      <c r="Q1752">
        <f t="shared" si="246"/>
        <v>3.0000000000000001E-3</v>
      </c>
      <c r="R1752">
        <f t="shared" si="247"/>
        <v>1.4999999999999999E-2</v>
      </c>
      <c r="S1752">
        <f t="shared" si="248"/>
        <v>0.93600000000000005</v>
      </c>
      <c r="T1752">
        <f t="shared" si="249"/>
        <v>2.7243333330000001</v>
      </c>
      <c r="U1752">
        <f t="shared" si="250"/>
        <v>12.114488189999999</v>
      </c>
      <c r="V1752">
        <f t="shared" si="251"/>
        <v>2.8000000000000001E-2</v>
      </c>
      <c r="W1752">
        <f t="shared" si="252"/>
        <v>5.0000000000000001E-3</v>
      </c>
      <c r="X1752">
        <f t="shared" si="253"/>
        <v>0.96499999999999997</v>
      </c>
      <c r="Y1752">
        <v>12.965551120000001</v>
      </c>
      <c r="Z1752">
        <v>0</v>
      </c>
      <c r="AA1752">
        <v>236250</v>
      </c>
      <c r="AB1752">
        <v>76158</v>
      </c>
      <c r="AC1752">
        <v>1.7652984E-2</v>
      </c>
      <c r="AD1752">
        <v>0.84750225300000004</v>
      </c>
      <c r="AF1752">
        <v>16.093968</v>
      </c>
      <c r="AG1752">
        <v>3.0000000000000001E-3</v>
      </c>
      <c r="AH1752">
        <v>1.4999999999999999E-2</v>
      </c>
      <c r="AI1752">
        <v>0.93600000000000005</v>
      </c>
      <c r="AJ1752">
        <v>2.7243333330000001</v>
      </c>
      <c r="AK1752">
        <v>12.114488189999999</v>
      </c>
      <c r="AL1752">
        <v>2.8000000000000001E-2</v>
      </c>
      <c r="AM1752">
        <v>5.0000000000000001E-3</v>
      </c>
      <c r="AN1752">
        <v>0.96499999999999997</v>
      </c>
    </row>
    <row r="1753" spans="1:40">
      <c r="A1753">
        <v>3821</v>
      </c>
      <c r="B1753" t="s">
        <v>707</v>
      </c>
      <c r="C1753" t="s">
        <v>693</v>
      </c>
      <c r="D1753" t="s">
        <v>694</v>
      </c>
      <c r="E1753">
        <v>25</v>
      </c>
      <c r="F1753">
        <v>82</v>
      </c>
      <c r="G1753">
        <v>2585.5644520000001</v>
      </c>
      <c r="H1753">
        <v>24</v>
      </c>
      <c r="I1753" s="515">
        <v>4.0414885780000001</v>
      </c>
      <c r="J1753">
        <v>106</v>
      </c>
      <c r="K1753">
        <v>26.227959810000002</v>
      </c>
      <c r="L1753" s="515">
        <v>1</v>
      </c>
      <c r="M1753">
        <v>0.489795918</v>
      </c>
      <c r="N1753">
        <v>0</v>
      </c>
      <c r="O1753" t="s">
        <v>625</v>
      </c>
      <c r="P1753">
        <f t="shared" si="245"/>
        <v>24.742999999999999</v>
      </c>
      <c r="Q1753">
        <f t="shared" si="246"/>
        <v>2.0450000000000006E-2</v>
      </c>
      <c r="R1753">
        <f t="shared" si="247"/>
        <v>7.2846153846153852E-2</v>
      </c>
      <c r="S1753">
        <f t="shared" si="248"/>
        <v>1</v>
      </c>
      <c r="T1753">
        <f t="shared" si="249"/>
        <v>2.2191326312692303</v>
      </c>
      <c r="U1753">
        <f t="shared" si="250"/>
        <v>23.183076920000001</v>
      </c>
      <c r="V1753">
        <f t="shared" si="251"/>
        <v>0.11835714285714286</v>
      </c>
      <c r="W1753">
        <f t="shared" si="252"/>
        <v>8.5526315789473686E-2</v>
      </c>
      <c r="X1753">
        <f t="shared" si="253"/>
        <v>1</v>
      </c>
      <c r="Y1753">
        <v>1.6212801720000001</v>
      </c>
      <c r="Z1753">
        <v>0</v>
      </c>
      <c r="AA1753">
        <v>21149</v>
      </c>
      <c r="AB1753">
        <v>6968</v>
      </c>
      <c r="AC1753">
        <v>1.6645858999999999E-2</v>
      </c>
      <c r="AD1753">
        <v>0.89069218999999999</v>
      </c>
      <c r="AF1753">
        <v>24.742999999999999</v>
      </c>
      <c r="AG1753">
        <v>0</v>
      </c>
      <c r="AH1753">
        <v>0</v>
      </c>
      <c r="AI1753">
        <v>1</v>
      </c>
      <c r="AK1753">
        <v>23.183076920000001</v>
      </c>
      <c r="AL1753">
        <v>0</v>
      </c>
      <c r="AM1753">
        <v>0</v>
      </c>
      <c r="AN1753">
        <v>1</v>
      </c>
    </row>
    <row r="1754" spans="1:40">
      <c r="A1754">
        <v>3822</v>
      </c>
      <c r="B1754" t="s">
        <v>709</v>
      </c>
      <c r="C1754" t="s">
        <v>693</v>
      </c>
      <c r="D1754" t="s">
        <v>694</v>
      </c>
      <c r="E1754">
        <v>162</v>
      </c>
      <c r="F1754">
        <v>534</v>
      </c>
      <c r="G1754">
        <v>44.725776840000002</v>
      </c>
      <c r="H1754">
        <v>221</v>
      </c>
      <c r="I1754">
        <v>6.991137E-2</v>
      </c>
      <c r="J1754">
        <v>755</v>
      </c>
      <c r="K1754">
        <v>10799.387849999999</v>
      </c>
      <c r="L1754">
        <v>0.82499999999999996</v>
      </c>
      <c r="M1754">
        <v>0.57702349900000005</v>
      </c>
      <c r="N1754">
        <v>0</v>
      </c>
      <c r="O1754" t="s">
        <v>620</v>
      </c>
      <c r="P1754">
        <f t="shared" si="245"/>
        <v>17.33411765</v>
      </c>
      <c r="Q1754">
        <f t="shared" si="246"/>
        <v>6.0000000000000001E-3</v>
      </c>
      <c r="R1754">
        <f t="shared" si="247"/>
        <v>1.7999999999999999E-2</v>
      </c>
      <c r="S1754">
        <f t="shared" si="248"/>
        <v>0.82499999999999996</v>
      </c>
      <c r="T1754">
        <f t="shared" si="249"/>
        <v>1.997333333</v>
      </c>
      <c r="U1754">
        <f t="shared" si="250"/>
        <v>7.508323077</v>
      </c>
      <c r="V1754">
        <f t="shared" si="251"/>
        <v>3.5000000000000003E-2</v>
      </c>
      <c r="W1754">
        <f t="shared" si="252"/>
        <v>7.0000000000000007E-2</v>
      </c>
      <c r="X1754">
        <f t="shared" si="253"/>
        <v>0.89500000000000002</v>
      </c>
      <c r="Y1754">
        <v>142.4438303</v>
      </c>
      <c r="Z1754">
        <v>0</v>
      </c>
      <c r="AA1754">
        <v>56865</v>
      </c>
      <c r="AB1754">
        <v>22398</v>
      </c>
      <c r="AC1754">
        <v>1.1143686E-2</v>
      </c>
      <c r="AD1754">
        <v>0.81944707100000003</v>
      </c>
      <c r="AF1754">
        <v>17.33411765</v>
      </c>
      <c r="AG1754">
        <v>6.0000000000000001E-3</v>
      </c>
      <c r="AH1754">
        <v>1.7999999999999999E-2</v>
      </c>
      <c r="AI1754">
        <v>0.82499999999999996</v>
      </c>
      <c r="AJ1754">
        <v>1.997333333</v>
      </c>
      <c r="AK1754">
        <v>7.508323077</v>
      </c>
      <c r="AL1754">
        <v>3.5000000000000003E-2</v>
      </c>
      <c r="AM1754">
        <v>7.0000000000000007E-2</v>
      </c>
      <c r="AN1754">
        <v>0.89500000000000002</v>
      </c>
    </row>
    <row r="1755" spans="1:40">
      <c r="A1755">
        <v>3823</v>
      </c>
      <c r="B1755" t="s">
        <v>689</v>
      </c>
      <c r="C1755" t="s">
        <v>687</v>
      </c>
      <c r="D1755" t="s">
        <v>688</v>
      </c>
      <c r="E1755">
        <v>5</v>
      </c>
      <c r="F1755">
        <v>201</v>
      </c>
      <c r="G1755">
        <v>124.3266704</v>
      </c>
      <c r="H1755">
        <v>916</v>
      </c>
      <c r="I1755">
        <v>0.19434327300000001</v>
      </c>
      <c r="J1755">
        <v>1117</v>
      </c>
      <c r="K1755">
        <v>5747.561944</v>
      </c>
      <c r="L1755">
        <v>0.90800000000000003</v>
      </c>
      <c r="M1755">
        <v>0.99457111799999998</v>
      </c>
      <c r="N1755">
        <v>0</v>
      </c>
      <c r="O1755" t="s">
        <v>620</v>
      </c>
      <c r="P1755">
        <f t="shared" si="245"/>
        <v>14.710333329999999</v>
      </c>
      <c r="Q1755">
        <f t="shared" si="246"/>
        <v>2.1000000000000001E-2</v>
      </c>
      <c r="R1755">
        <f t="shared" si="247"/>
        <v>1.6E-2</v>
      </c>
      <c r="S1755">
        <f t="shared" si="248"/>
        <v>0.90800000000000003</v>
      </c>
      <c r="T1755">
        <f t="shared" si="249"/>
        <v>2.4674999999999998</v>
      </c>
      <c r="U1755">
        <f t="shared" si="250"/>
        <v>8.5227080179999994</v>
      </c>
      <c r="V1755">
        <f t="shared" si="251"/>
        <v>5.1999999999999998E-2</v>
      </c>
      <c r="W1755">
        <f t="shared" si="252"/>
        <v>5.8000000000000003E-2</v>
      </c>
      <c r="X1755">
        <f t="shared" si="253"/>
        <v>0.872</v>
      </c>
      <c r="Y1755">
        <v>55.633441699999999</v>
      </c>
      <c r="Z1755">
        <v>0</v>
      </c>
      <c r="AA1755">
        <v>454184</v>
      </c>
      <c r="AB1755">
        <v>170596</v>
      </c>
      <c r="AC1755">
        <v>6.5715274000000004E-2</v>
      </c>
      <c r="AD1755">
        <v>0.72549415100000003</v>
      </c>
      <c r="AF1755">
        <v>14.710333329999999</v>
      </c>
      <c r="AG1755">
        <v>2.1000000000000001E-2</v>
      </c>
      <c r="AH1755">
        <v>1.6E-2</v>
      </c>
      <c r="AI1755">
        <v>0.90800000000000003</v>
      </c>
      <c r="AJ1755">
        <v>2.4674999999999998</v>
      </c>
      <c r="AK1755">
        <v>8.5227080179999994</v>
      </c>
      <c r="AL1755">
        <v>5.1999999999999998E-2</v>
      </c>
      <c r="AM1755">
        <v>5.8000000000000003E-2</v>
      </c>
      <c r="AN1755">
        <v>0.872</v>
      </c>
    </row>
  </sheetData>
  <sheetProtection algorithmName="SHA-512" hashValue="W3jDPiZACaWxNQ1ex8Wsr8+4Qt1DfV4ebI72wdGncyBRHXsVBKEnxKCsDFeYX2aPfaf8/AgS2OPZUAPk5yKt7Q==" saltValue="ntUNSn7HmtxbqBLVnYYFvw==" spinCount="100000" sheet="1" objects="1" scenarios="1"/>
  <autoFilter ref="A10:AN1755" xr:uid="{020F6B6F-D466-4DD5-90C9-1C9119F10E98}"/>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9B189-1451-4A44-9400-C154E8D19729}">
  <sheetPr codeName="Sheet3">
    <tabColor rgb="FFFFFF00"/>
  </sheetPr>
  <dimension ref="C6:N39"/>
  <sheetViews>
    <sheetView topLeftCell="A4" zoomScaleNormal="100" workbookViewId="0">
      <selection activeCell="H44" sqref="H44"/>
    </sheetView>
  </sheetViews>
  <sheetFormatPr defaultRowHeight="15"/>
  <cols>
    <col min="1" max="2" width="2.5703125" customWidth="1"/>
    <col min="3" max="3" width="7.42578125" bestFit="1" customWidth="1"/>
    <col min="4" max="4" width="10.42578125" bestFit="1" customWidth="1"/>
    <col min="5" max="5" width="10.42578125" customWidth="1"/>
    <col min="6" max="6" width="7.5703125" bestFit="1" customWidth="1"/>
    <col min="7" max="7" width="8.42578125" bestFit="1" customWidth="1"/>
    <col min="8" max="8" width="37" bestFit="1" customWidth="1"/>
    <col min="9" max="10" width="8.5703125" bestFit="1" customWidth="1"/>
    <col min="11" max="11" width="9" bestFit="1" customWidth="1"/>
    <col min="12" max="12" width="8.5703125" bestFit="1" customWidth="1"/>
  </cols>
  <sheetData>
    <row r="6" spans="3:14">
      <c r="H6" t="s">
        <v>710</v>
      </c>
    </row>
    <row r="8" spans="3:14">
      <c r="H8" s="138" t="s">
        <v>711</v>
      </c>
      <c r="I8" s="173">
        <f>1-PRODUCT(I11:I39)</f>
        <v>0</v>
      </c>
      <c r="J8" s="173">
        <f>1-PRODUCT(J11:J39)</f>
        <v>0</v>
      </c>
      <c r="K8" s="173">
        <f>1-PRODUCT(K11:K39)</f>
        <v>0</v>
      </c>
      <c r="L8" s="173">
        <f>1-PRODUCT(L11:L39)</f>
        <v>0</v>
      </c>
    </row>
    <row r="10" spans="3:14" ht="75">
      <c r="C10" s="138" t="s">
        <v>143</v>
      </c>
      <c r="D10" s="139" t="s">
        <v>712</v>
      </c>
      <c r="E10" s="139" t="s">
        <v>713</v>
      </c>
      <c r="F10" s="139" t="s">
        <v>147</v>
      </c>
      <c r="G10" s="139" t="s">
        <v>714</v>
      </c>
      <c r="H10" s="139" t="s">
        <v>146</v>
      </c>
      <c r="I10" s="139" t="s">
        <v>345</v>
      </c>
      <c r="J10" s="139" t="s">
        <v>227</v>
      </c>
      <c r="K10" s="139" t="s">
        <v>271</v>
      </c>
      <c r="L10" s="139" t="s">
        <v>426</v>
      </c>
    </row>
    <row r="11" spans="3:14">
      <c r="C11" t="s">
        <v>54</v>
      </c>
      <c r="D11" t="str">
        <f>'1A VCTR program'!$I$22</f>
        <v>Not Active</v>
      </c>
      <c r="E11">
        <f>Conflict_Calc!BM11</f>
        <v>0</v>
      </c>
      <c r="F11" s="172" t="str">
        <f>'1A VCTR program'!$F$22</f>
        <v/>
      </c>
      <c r="G11" s="172">
        <f>IF(OR(D11="Not Active",E11&gt;0),1,1+F11)</f>
        <v>1</v>
      </c>
      <c r="H11" t="str">
        <f>INDEX(VL_TDM!$AD$11:$AD$41,MATCH($C11,VL_TDM!$B$11:$B$41,0),1)</f>
        <v>Employee commute trips</v>
      </c>
      <c r="I11" s="172">
        <f t="shared" ref="I11:L39" si="0">IF($H11=I$10,$G11,1)</f>
        <v>1</v>
      </c>
      <c r="J11" s="172">
        <f t="shared" si="0"/>
        <v>1</v>
      </c>
      <c r="K11" s="172">
        <f t="shared" si="0"/>
        <v>1</v>
      </c>
      <c r="L11" s="172">
        <f t="shared" si="0"/>
        <v>1</v>
      </c>
    </row>
    <row r="12" spans="3:14">
      <c r="C12" t="s">
        <v>58</v>
      </c>
      <c r="D12" t="str">
        <f>'1B CTR program'!$H$24</f>
        <v>Not Active</v>
      </c>
      <c r="E12">
        <f>Conflict_Calc!BM12</f>
        <v>0</v>
      </c>
      <c r="F12" s="172" t="str">
        <f>'1B CTR program'!$E$24</f>
        <v/>
      </c>
      <c r="G12" s="172">
        <f t="shared" ref="G12:G39" si="1">IF(OR(D12="Not Active",E12&gt;0),1,1+F12)</f>
        <v>1</v>
      </c>
      <c r="H12" t="str">
        <f>INDEX(VL_TDM!$AD$11:$AD$41,MATCH($C12,VL_TDM!$B$11:$B$41,0),1)</f>
        <v>Employee commute trips</v>
      </c>
      <c r="I12" s="172">
        <f t="shared" si="0"/>
        <v>1</v>
      </c>
      <c r="J12" s="172">
        <f t="shared" si="0"/>
        <v>1</v>
      </c>
      <c r="K12" s="172">
        <f t="shared" si="0"/>
        <v>1</v>
      </c>
      <c r="L12" s="172">
        <f t="shared" si="0"/>
        <v>1</v>
      </c>
      <c r="N12" s="172"/>
    </row>
    <row r="13" spans="3:14">
      <c r="C13" t="s">
        <v>62</v>
      </c>
      <c r="D13" t="str">
        <f>'1C carpool'!$I$17</f>
        <v>Not Active</v>
      </c>
      <c r="E13">
        <f>Conflict_Calc!BM13</f>
        <v>0</v>
      </c>
      <c r="F13" s="172" t="str">
        <f>'1C carpool'!$F$17</f>
        <v/>
      </c>
      <c r="G13" s="172">
        <f t="shared" si="1"/>
        <v>1</v>
      </c>
      <c r="H13" t="str">
        <f>INDEX(VL_TDM!$AD$11:$AD$41,MATCH($C13,VL_TDM!$B$11:$B$41,0),1)</f>
        <v>Employee commute trips</v>
      </c>
      <c r="I13" s="172">
        <f t="shared" si="0"/>
        <v>1</v>
      </c>
      <c r="J13" s="172">
        <f t="shared" si="0"/>
        <v>1</v>
      </c>
      <c r="K13" s="172">
        <f t="shared" si="0"/>
        <v>1</v>
      </c>
      <c r="L13" s="172">
        <f t="shared" si="0"/>
        <v>1</v>
      </c>
    </row>
    <row r="14" spans="3:14">
      <c r="C14" t="s">
        <v>66</v>
      </c>
      <c r="D14" t="str">
        <f>'1D1 transit subsidy (employees)'!$H$32</f>
        <v>Not Active</v>
      </c>
      <c r="E14">
        <f>Conflict_Calc!BM14</f>
        <v>0</v>
      </c>
      <c r="F14" s="172" t="str">
        <f>'1D1 transit subsidy (employees)'!$E$32</f>
        <v/>
      </c>
      <c r="G14" s="172">
        <f t="shared" si="1"/>
        <v>1</v>
      </c>
      <c r="H14" t="str">
        <f>INDEX(VL_TDM!$AD$11:$AD$41,MATCH($C14,VL_TDM!$B$11:$B$41,0),1)</f>
        <v>Employee commute trips</v>
      </c>
      <c r="I14" s="172">
        <f t="shared" si="0"/>
        <v>1</v>
      </c>
      <c r="J14" s="172">
        <f t="shared" si="0"/>
        <v>1</v>
      </c>
      <c r="K14" s="172">
        <f t="shared" si="0"/>
        <v>1</v>
      </c>
      <c r="L14" s="172">
        <f t="shared" si="0"/>
        <v>1</v>
      </c>
    </row>
    <row r="15" spans="3:14">
      <c r="C15" t="s">
        <v>70</v>
      </c>
      <c r="D15" t="str">
        <f>'1D2 transit subsidy (residents)'!$H$34</f>
        <v>Not Active</v>
      </c>
      <c r="E15">
        <f>Conflict_Calc!BM15</f>
        <v>0</v>
      </c>
      <c r="F15" s="172" t="str">
        <f>'1D2 transit subsidy (residents)'!$E$34</f>
        <v/>
      </c>
      <c r="G15" s="172">
        <f t="shared" si="1"/>
        <v>1</v>
      </c>
      <c r="H15" t="str">
        <f>INDEX(VL_TDM!$AD$11:$AD$41,MATCH($C15,VL_TDM!$B$11:$B$41,0),1)</f>
        <v>Project-generated trips</v>
      </c>
      <c r="I15" s="172">
        <f t="shared" si="0"/>
        <v>1</v>
      </c>
      <c r="J15" s="172">
        <f t="shared" si="0"/>
        <v>1</v>
      </c>
      <c r="K15" s="172">
        <f t="shared" si="0"/>
        <v>1</v>
      </c>
      <c r="L15" s="172">
        <f t="shared" si="0"/>
        <v>1</v>
      </c>
    </row>
    <row r="16" spans="3:14">
      <c r="C16" t="s">
        <v>74</v>
      </c>
      <c r="D16" t="str">
        <f>'1E vanpool'!$H$35</f>
        <v>Not Active</v>
      </c>
      <c r="E16">
        <f>Conflict_Calc!BM16</f>
        <v>0</v>
      </c>
      <c r="F16" s="172" t="str">
        <f>'1E vanpool'!$E$35</f>
        <v/>
      </c>
      <c r="G16" s="172">
        <f t="shared" si="1"/>
        <v>1</v>
      </c>
      <c r="H16" t="str">
        <f>INDEX(VL_TDM!$AD$11:$AD$41,MATCH($C16,VL_TDM!$B$11:$B$41,0),1)</f>
        <v>Employee commute trips</v>
      </c>
      <c r="I16" s="172">
        <f t="shared" si="0"/>
        <v>1</v>
      </c>
      <c r="J16" s="172">
        <f t="shared" si="0"/>
        <v>1</v>
      </c>
      <c r="K16" s="172">
        <f t="shared" si="0"/>
        <v>1</v>
      </c>
      <c r="L16" s="172">
        <f t="shared" si="0"/>
        <v>1</v>
      </c>
    </row>
    <row r="17" spans="3:12">
      <c r="C17" t="s">
        <v>78</v>
      </c>
      <c r="D17" t="str">
        <f>'1F telecommute'!$H$17</f>
        <v>Not Active</v>
      </c>
      <c r="E17">
        <f>Conflict_Calc!BM17</f>
        <v>0</v>
      </c>
      <c r="F17" s="172" t="str">
        <f>'1F telecommute'!$E$17</f>
        <v/>
      </c>
      <c r="G17" s="172">
        <f t="shared" si="1"/>
        <v>1</v>
      </c>
      <c r="H17" t="str">
        <f>INDEX(VL_TDM!$AD$11:$AD$41,MATCH($C17,VL_TDM!$B$11:$B$41,0),1)</f>
        <v>Employee commute trips</v>
      </c>
      <c r="I17" s="172">
        <f t="shared" si="0"/>
        <v>1</v>
      </c>
      <c r="J17" s="172">
        <f t="shared" si="0"/>
        <v>1</v>
      </c>
      <c r="K17" s="172">
        <f t="shared" si="0"/>
        <v>1</v>
      </c>
      <c r="L17" s="172">
        <f t="shared" si="0"/>
        <v>1</v>
      </c>
    </row>
    <row r="18" spans="3:12">
      <c r="C18" t="s">
        <v>86</v>
      </c>
      <c r="D18" t="str">
        <f>'2A TOD'!$H$30</f>
        <v>Not Active</v>
      </c>
      <c r="E18">
        <f>Conflict_Calc!BM18</f>
        <v>0</v>
      </c>
      <c r="F18" s="172" t="str">
        <f>'2A TOD'!$E$30</f>
        <v/>
      </c>
      <c r="G18" s="172">
        <f t="shared" si="1"/>
        <v>1</v>
      </c>
      <c r="H18" t="str">
        <f>INDEX(VL_TDM!$AD$11:$AD$41,MATCH($C18,VL_TDM!$B$11:$B$41,0),1)</f>
        <v>Project-generated trips</v>
      </c>
      <c r="I18" s="172">
        <f t="shared" si="0"/>
        <v>1</v>
      </c>
      <c r="J18" s="172">
        <f t="shared" si="0"/>
        <v>1</v>
      </c>
      <c r="K18" s="172">
        <f t="shared" si="0"/>
        <v>1</v>
      </c>
      <c r="L18" s="172">
        <f t="shared" si="0"/>
        <v>1</v>
      </c>
    </row>
    <row r="19" spans="3:12">
      <c r="C19" t="s">
        <v>89</v>
      </c>
      <c r="D19" t="str">
        <f>'2B1 Inc Res Dens'!$H$24</f>
        <v>Not Active</v>
      </c>
      <c r="E19">
        <f>Conflict_Calc!BM19</f>
        <v>0</v>
      </c>
      <c r="F19" s="172" t="str">
        <f>'2B1 Inc Res Dens'!$E$24</f>
        <v/>
      </c>
      <c r="G19" s="172">
        <f t="shared" si="1"/>
        <v>1</v>
      </c>
      <c r="H19" t="str">
        <f>INDEX(VL_TDM!$AD$11:$AD$41,MATCH($C19,VL_TDM!$B$11:$B$41,0),1)</f>
        <v>Project-generated trips</v>
      </c>
      <c r="I19" s="172">
        <f t="shared" si="0"/>
        <v>1</v>
      </c>
      <c r="J19" s="172">
        <f t="shared" si="0"/>
        <v>1</v>
      </c>
      <c r="K19" s="172">
        <f t="shared" si="0"/>
        <v>1</v>
      </c>
      <c r="L19" s="172">
        <f t="shared" si="0"/>
        <v>1</v>
      </c>
    </row>
    <row r="20" spans="3:12">
      <c r="C20" t="s">
        <v>92</v>
      </c>
      <c r="D20" t="str">
        <f>'2B2 Inc Emp Dens'!$H$24</f>
        <v>Not Active</v>
      </c>
      <c r="E20">
        <f>Conflict_Calc!BM20</f>
        <v>0</v>
      </c>
      <c r="F20" s="172" t="str">
        <f>'2B2 Inc Emp Dens'!$E$24</f>
        <v/>
      </c>
      <c r="G20" s="172">
        <f t="shared" si="1"/>
        <v>1</v>
      </c>
      <c r="H20" t="str">
        <f>INDEX(VL_TDM!$AD$11:$AD$41,MATCH($C20,VL_TDM!$B$11:$B$41,0),1)</f>
        <v>Employee commute trips</v>
      </c>
      <c r="I20" s="172">
        <f t="shared" si="0"/>
        <v>1</v>
      </c>
      <c r="J20" s="172">
        <f t="shared" si="0"/>
        <v>1</v>
      </c>
      <c r="K20" s="172">
        <f t="shared" si="0"/>
        <v>1</v>
      </c>
      <c r="L20" s="172">
        <f t="shared" si="0"/>
        <v>1</v>
      </c>
    </row>
    <row r="21" spans="3:12">
      <c r="C21" t="s">
        <v>96</v>
      </c>
      <c r="D21" t="str">
        <f>'2C affordable housing'!$H$18</f>
        <v>Not Active</v>
      </c>
      <c r="E21">
        <f>Conflict_Calc!BM21</f>
        <v>0</v>
      </c>
      <c r="F21" s="172" t="str">
        <f>'2C affordable housing'!$E$18</f>
        <v/>
      </c>
      <c r="G21" s="172">
        <f t="shared" si="1"/>
        <v>1</v>
      </c>
      <c r="H21" t="str">
        <f>INDEX(VL_TDM!$AD$11:$AD$41,MATCH($C21,VL_TDM!$B$11:$B$41,0),1)</f>
        <v>All neighborhood/city trips</v>
      </c>
      <c r="I21" s="172">
        <f t="shared" si="0"/>
        <v>1</v>
      </c>
      <c r="J21" s="172">
        <f t="shared" si="0"/>
        <v>1</v>
      </c>
      <c r="K21" s="172">
        <f t="shared" si="0"/>
        <v>1</v>
      </c>
      <c r="L21" s="172">
        <f t="shared" si="0"/>
        <v>1</v>
      </c>
    </row>
    <row r="22" spans="3:12">
      <c r="C22" t="s">
        <v>108</v>
      </c>
      <c r="D22" t="str">
        <f>'3A1 price emp parking'!$H$26</f>
        <v>Not Active</v>
      </c>
      <c r="E22">
        <f>Conflict_Calc!BM22</f>
        <v>0</v>
      </c>
      <c r="F22" s="172" t="str">
        <f>'3A1 price emp parking'!$E$26</f>
        <v/>
      </c>
      <c r="G22" s="172">
        <f t="shared" si="1"/>
        <v>1</v>
      </c>
      <c r="H22" t="str">
        <f>INDEX(VL_TDM!$AD$11:$AD$41,MATCH($C22,VL_TDM!$B$11:$B$41,0),1)</f>
        <v>Employee commute trips</v>
      </c>
      <c r="I22" s="172">
        <f t="shared" si="0"/>
        <v>1</v>
      </c>
      <c r="J22" s="172">
        <f t="shared" si="0"/>
        <v>1</v>
      </c>
      <c r="K22" s="172">
        <f t="shared" si="0"/>
        <v>1</v>
      </c>
      <c r="L22" s="172">
        <f t="shared" si="0"/>
        <v>1</v>
      </c>
    </row>
    <row r="23" spans="3:12">
      <c r="C23" t="s">
        <v>110</v>
      </c>
      <c r="D23" t="str">
        <f>'3A2 price res parking'!$H$28</f>
        <v>Not Active</v>
      </c>
      <c r="E23">
        <f>Conflict_Calc!BM23</f>
        <v>0</v>
      </c>
      <c r="F23" s="172" t="str">
        <f>'3A2 price res parking'!$E$28</f>
        <v/>
      </c>
      <c r="G23" s="172">
        <f t="shared" ref="G23" si="2">IF(OR(D23="Not Active",E23&gt;0),1,1+F23)</f>
        <v>1</v>
      </c>
      <c r="H23" t="str">
        <f>INDEX(VL_TDM!$AD$11:$AD$41,MATCH($C23,VL_TDM!$B$11:$B$41,0),1)</f>
        <v>Project-generated trips</v>
      </c>
      <c r="I23" s="172">
        <f t="shared" si="0"/>
        <v>1</v>
      </c>
      <c r="J23" s="172">
        <f t="shared" si="0"/>
        <v>1</v>
      </c>
      <c r="K23" s="172">
        <f t="shared" si="0"/>
        <v>1</v>
      </c>
      <c r="L23" s="172">
        <f t="shared" si="0"/>
        <v>1</v>
      </c>
    </row>
    <row r="24" spans="3:12">
      <c r="C24" t="s">
        <v>113</v>
      </c>
      <c r="D24" t="str">
        <f>'3B parking cash-out'!$H$14</f>
        <v>Not Active</v>
      </c>
      <c r="E24">
        <f>Conflict_Calc!BM24</f>
        <v>0</v>
      </c>
      <c r="F24" s="172" t="str">
        <f>'3B parking cash-out'!$E$14</f>
        <v/>
      </c>
      <c r="G24" s="172">
        <f t="shared" si="1"/>
        <v>1</v>
      </c>
      <c r="H24" t="str">
        <f>INDEX(VL_TDM!$AD$11:$AD$41,MATCH($C24,VL_TDM!$B$11:$B$41,0),1)</f>
        <v>Employee commute trips</v>
      </c>
      <c r="I24" s="172">
        <f t="shared" si="0"/>
        <v>1</v>
      </c>
      <c r="J24" s="172">
        <f t="shared" si="0"/>
        <v>1</v>
      </c>
      <c r="K24" s="172">
        <f t="shared" si="0"/>
        <v>1</v>
      </c>
      <c r="L24" s="172">
        <f t="shared" si="0"/>
        <v>1</v>
      </c>
    </row>
    <row r="25" spans="3:12">
      <c r="C25" t="s">
        <v>115</v>
      </c>
      <c r="D25" t="str">
        <f>'3C limit parking'!$H$23</f>
        <v>Not Active</v>
      </c>
      <c r="E25">
        <f>Conflict_Calc!BM25</f>
        <v>0</v>
      </c>
      <c r="F25" s="172" t="str">
        <f>'3C limit parking'!$E$23</f>
        <v/>
      </c>
      <c r="G25" s="172">
        <f t="shared" si="1"/>
        <v>1</v>
      </c>
      <c r="H25" t="str">
        <f>INDEX(VL_TDM!$AD$11:$AD$41,MATCH($C25,VL_TDM!$B$11:$B$41,0),1)</f>
        <v>Project-generated trips</v>
      </c>
      <c r="I25" s="172">
        <f t="shared" si="0"/>
        <v>1</v>
      </c>
      <c r="J25" s="172">
        <f t="shared" si="0"/>
        <v>1</v>
      </c>
      <c r="K25" s="172">
        <f t="shared" si="0"/>
        <v>1</v>
      </c>
      <c r="L25" s="172">
        <f t="shared" si="0"/>
        <v>1</v>
      </c>
    </row>
    <row r="26" spans="3:12">
      <c r="C26" t="s">
        <v>117</v>
      </c>
      <c r="D26" t="str">
        <f>'3D bike parking'!$I$41</f>
        <v>Not Active</v>
      </c>
      <c r="E26">
        <f>Conflict_Calc!BM34</f>
        <v>0</v>
      </c>
      <c r="F26" s="172" t="str">
        <f>'3D bike parking'!$F$41</f>
        <v/>
      </c>
      <c r="G26" s="172">
        <f>IF(OR(D26="Not Active",E26&gt;0),1,1+F26)</f>
        <v>1</v>
      </c>
      <c r="H26" t="str">
        <f>INDEX(VL_TDM!$AD$11:$AD$41,MATCH($C26,VL_TDM!$B$11:$B$41,0),1)</f>
        <v>Project-generated trips</v>
      </c>
      <c r="I26" s="172">
        <f>IF($H26=I$10,$G26,1)</f>
        <v>1</v>
      </c>
      <c r="J26" s="172">
        <f>IF($H26=J$10,$G26,1)</f>
        <v>1</v>
      </c>
      <c r="K26" s="172">
        <f>IF($H26=K$10,$G26,1)</f>
        <v>1</v>
      </c>
      <c r="L26" s="172">
        <f>IF($H26=L$10,$G26,1)</f>
        <v>1</v>
      </c>
    </row>
    <row r="27" spans="3:12">
      <c r="C27" t="s">
        <v>56</v>
      </c>
      <c r="D27" t="str">
        <f>'4A street connect'!$H$22</f>
        <v>Not Active</v>
      </c>
      <c r="E27">
        <f>Conflict_Calc!BM26</f>
        <v>0</v>
      </c>
      <c r="F27" s="172" t="str">
        <f>'4A street connect'!$E$22</f>
        <v/>
      </c>
      <c r="G27" s="172">
        <f t="shared" si="1"/>
        <v>1</v>
      </c>
      <c r="H27" t="str">
        <f>INDEX(VL_TDM!$AD$11:$AD$41,MATCH($C27,VL_TDM!$B$11:$B$41,0),1)</f>
        <v>All neighborhood/city trips</v>
      </c>
      <c r="I27" s="172">
        <f t="shared" si="0"/>
        <v>1</v>
      </c>
      <c r="J27" s="172">
        <f t="shared" si="0"/>
        <v>1</v>
      </c>
      <c r="K27" s="172">
        <f t="shared" si="0"/>
        <v>1</v>
      </c>
      <c r="L27" s="172">
        <f t="shared" si="0"/>
        <v>1</v>
      </c>
    </row>
    <row r="28" spans="3:12">
      <c r="C28" t="s">
        <v>60</v>
      </c>
      <c r="D28" t="str">
        <f>'4B sidewalks'!$H$26</f>
        <v>Not Active</v>
      </c>
      <c r="E28">
        <f>Conflict_Calc!BM27</f>
        <v>0</v>
      </c>
      <c r="F28" s="172" t="str">
        <f>'4B sidewalks'!$E$26</f>
        <v/>
      </c>
      <c r="G28" s="172">
        <f t="shared" si="1"/>
        <v>1</v>
      </c>
      <c r="H28" t="str">
        <f>INDEX(VL_TDM!$AD$11:$AD$41,MATCH($C28,VL_TDM!$B$11:$B$41,0),1)</f>
        <v>All neighborhood/city trips</v>
      </c>
      <c r="I28" s="172">
        <f t="shared" si="0"/>
        <v>1</v>
      </c>
      <c r="J28" s="172">
        <f t="shared" si="0"/>
        <v>1</v>
      </c>
      <c r="K28" s="172">
        <f t="shared" si="0"/>
        <v>1</v>
      </c>
      <c r="L28" s="172">
        <f t="shared" si="0"/>
        <v>1</v>
      </c>
    </row>
    <row r="29" spans="3:12">
      <c r="C29" t="s">
        <v>64</v>
      </c>
      <c r="D29" t="str">
        <f>'4C bike network'!$I$55</f>
        <v>Not Active</v>
      </c>
      <c r="E29">
        <f>Conflict_Calc!BM28</f>
        <v>0</v>
      </c>
      <c r="F29" s="172" t="str">
        <f>'4C bike network'!$F$55</f>
        <v/>
      </c>
      <c r="G29" s="172">
        <f t="shared" si="1"/>
        <v>1</v>
      </c>
      <c r="H29" t="str">
        <f>INDEX(VL_TDM!$AD$11:$AD$41,MATCH($C29,VL_TDM!$B$11:$B$41,0),1)</f>
        <v>All neighborhood/city trips</v>
      </c>
      <c r="I29" s="172">
        <f t="shared" si="0"/>
        <v>1</v>
      </c>
      <c r="J29" s="172">
        <f t="shared" si="0"/>
        <v>1</v>
      </c>
      <c r="K29" s="172">
        <f t="shared" si="0"/>
        <v>1</v>
      </c>
      <c r="L29" s="172">
        <f t="shared" si="0"/>
        <v>1</v>
      </c>
    </row>
    <row r="30" spans="3:12">
      <c r="C30" t="s">
        <v>68</v>
      </c>
      <c r="D30" t="str">
        <f>'4D bike project'!$I$55</f>
        <v>Not Active</v>
      </c>
      <c r="E30">
        <f>Conflict_Calc!BM29</f>
        <v>0</v>
      </c>
      <c r="F30" s="172" t="str">
        <f>'4D bike project'!$F$55</f>
        <v/>
      </c>
      <c r="G30" s="172">
        <f t="shared" si="1"/>
        <v>1</v>
      </c>
      <c r="H30" t="str">
        <f>INDEX(VL_TDM!$AD$11:$AD$41,MATCH($C30,VL_TDM!$B$11:$B$41,0),1)</f>
        <v>Trips on roadway with bikeway addition</v>
      </c>
      <c r="I30" s="172">
        <f t="shared" si="0"/>
        <v>1</v>
      </c>
      <c r="J30" s="172">
        <f t="shared" si="0"/>
        <v>1</v>
      </c>
      <c r="K30" s="172">
        <f t="shared" si="0"/>
        <v>1</v>
      </c>
      <c r="L30" s="172">
        <f t="shared" si="0"/>
        <v>1</v>
      </c>
    </row>
    <row r="31" spans="3:12">
      <c r="C31" t="s">
        <v>72</v>
      </c>
      <c r="D31" t="str">
        <f>'4E bikeshare'!$I$34</f>
        <v>Not Active</v>
      </c>
      <c r="E31">
        <f>Conflict_Calc!BM30</f>
        <v>0</v>
      </c>
      <c r="F31" s="172" t="str">
        <f>'4E bikeshare'!$F$34</f>
        <v/>
      </c>
      <c r="G31" s="172">
        <f t="shared" si="1"/>
        <v>1</v>
      </c>
      <c r="H31" t="str">
        <f>INDEX(VL_TDM!$AD$11:$AD$41,MATCH($C31,VL_TDM!$B$11:$B$41,0),1)</f>
        <v>All neighborhood/city trips</v>
      </c>
      <c r="I31" s="172">
        <f t="shared" si="0"/>
        <v>1</v>
      </c>
      <c r="J31" s="172">
        <f t="shared" si="0"/>
        <v>1</v>
      </c>
      <c r="K31" s="172">
        <f t="shared" si="0"/>
        <v>1</v>
      </c>
      <c r="L31" s="172">
        <f t="shared" si="0"/>
        <v>1</v>
      </c>
    </row>
    <row r="32" spans="3:12">
      <c r="C32" t="s">
        <v>76</v>
      </c>
      <c r="D32" t="str">
        <f>'4F carshare'!$I$23</f>
        <v>Not Active</v>
      </c>
      <c r="E32">
        <f>Conflict_Calc!BM31</f>
        <v>0</v>
      </c>
      <c r="F32" s="172" t="str">
        <f>'4F carshare'!$F$23</f>
        <v/>
      </c>
      <c r="G32" s="172">
        <f t="shared" si="1"/>
        <v>1</v>
      </c>
      <c r="H32" t="str">
        <f>INDEX(VL_TDM!$AD$11:$AD$41,MATCH($C32,VL_TDM!$B$11:$B$41,0),1)</f>
        <v>All neighborhood/city trips</v>
      </c>
      <c r="I32" s="172">
        <f t="shared" si="0"/>
        <v>1</v>
      </c>
      <c r="J32" s="172">
        <f t="shared" si="0"/>
        <v>1</v>
      </c>
      <c r="K32" s="172">
        <f t="shared" si="0"/>
        <v>1</v>
      </c>
      <c r="L32" s="172">
        <f t="shared" si="0"/>
        <v>1</v>
      </c>
    </row>
    <row r="33" spans="3:12">
      <c r="C33" t="s">
        <v>80</v>
      </c>
      <c r="D33" t="str">
        <f>'4G CBTP'!$H$22</f>
        <v>Not Active</v>
      </c>
      <c r="E33">
        <f>Conflict_Calc!BM32</f>
        <v>0</v>
      </c>
      <c r="F33" s="172" t="str">
        <f>'4G CBTP'!$E$22</f>
        <v/>
      </c>
      <c r="G33" s="172">
        <f t="shared" si="1"/>
        <v>1</v>
      </c>
      <c r="H33" t="str">
        <f>INDEX(VL_TDM!$AD$11:$AD$41,MATCH($C33,VL_TDM!$B$11:$B$41,0),1)</f>
        <v>All neighborhood/city trips</v>
      </c>
      <c r="I33" s="172">
        <f t="shared" si="0"/>
        <v>1</v>
      </c>
      <c r="J33" s="172">
        <f t="shared" si="0"/>
        <v>1</v>
      </c>
      <c r="K33" s="172">
        <f t="shared" si="0"/>
        <v>1</v>
      </c>
      <c r="L33" s="172">
        <f t="shared" si="0"/>
        <v>1</v>
      </c>
    </row>
    <row r="34" spans="3:12">
      <c r="C34" t="s">
        <v>82</v>
      </c>
      <c r="D34" t="str">
        <f>'4H traffic calming'!$I$16</f>
        <v>Not Active</v>
      </c>
      <c r="E34">
        <f>Conflict_Calc!BM33</f>
        <v>0</v>
      </c>
      <c r="F34" s="172" t="str">
        <f>'4H traffic calming'!$F$16</f>
        <v/>
      </c>
      <c r="G34" s="172">
        <f t="shared" si="1"/>
        <v>1</v>
      </c>
      <c r="H34" t="str">
        <f>INDEX(VL_TDM!$AD$11:$AD$41,MATCH($C34,VL_TDM!$B$11:$B$41,0),1)</f>
        <v>All neighborhood/city trips</v>
      </c>
      <c r="I34" s="172">
        <f t="shared" si="0"/>
        <v>1</v>
      </c>
      <c r="J34" s="172">
        <f t="shared" si="0"/>
        <v>1</v>
      </c>
      <c r="K34" s="172">
        <f t="shared" si="0"/>
        <v>1</v>
      </c>
      <c r="L34" s="172">
        <f t="shared" si="0"/>
        <v>1</v>
      </c>
    </row>
    <row r="35" spans="3:12">
      <c r="C35" t="s">
        <v>94</v>
      </c>
      <c r="D35" t="str">
        <f>'5A T network exp'!$H$30</f>
        <v>Not Active</v>
      </c>
      <c r="E35">
        <f>Conflict_Calc!BM35</f>
        <v>0</v>
      </c>
      <c r="F35" s="172" t="str">
        <f>'5A T network exp'!$E$30</f>
        <v/>
      </c>
      <c r="G35" s="172">
        <f t="shared" si="1"/>
        <v>1</v>
      </c>
      <c r="H35" t="str">
        <f>INDEX(VL_TDM!$AD$11:$AD$41,MATCH($C35,VL_TDM!$B$11:$B$41,0),1)</f>
        <v>All neighborhood/city trips</v>
      </c>
      <c r="I35" s="172">
        <f t="shared" si="0"/>
        <v>1</v>
      </c>
      <c r="J35" s="172">
        <f t="shared" si="0"/>
        <v>1</v>
      </c>
      <c r="K35" s="172">
        <f t="shared" si="0"/>
        <v>1</v>
      </c>
      <c r="L35" s="172">
        <f t="shared" si="0"/>
        <v>1</v>
      </c>
    </row>
    <row r="36" spans="3:12">
      <c r="C36" t="s">
        <v>98</v>
      </c>
      <c r="D36" t="str">
        <f>'5B T freq'!$H$37</f>
        <v>Not Active</v>
      </c>
      <c r="E36">
        <f>Conflict_Calc!BM36</f>
        <v>0</v>
      </c>
      <c r="F36" s="172" t="str">
        <f>'5B T freq'!$E$37</f>
        <v/>
      </c>
      <c r="G36" s="172">
        <f t="shared" si="1"/>
        <v>1</v>
      </c>
      <c r="H36" t="str">
        <f>INDEX(VL_TDM!$AD$11:$AD$41,MATCH($C36,VL_TDM!$B$11:$B$41,0),1)</f>
        <v>All neighborhood/city trips</v>
      </c>
      <c r="I36" s="172">
        <f t="shared" si="0"/>
        <v>1</v>
      </c>
      <c r="J36" s="172">
        <f t="shared" si="0"/>
        <v>1</v>
      </c>
      <c r="K36" s="172">
        <f t="shared" si="0"/>
        <v>1</v>
      </c>
      <c r="L36" s="172">
        <f t="shared" si="0"/>
        <v>1</v>
      </c>
    </row>
    <row r="37" spans="3:12">
      <c r="C37" t="s">
        <v>100</v>
      </c>
      <c r="D37" t="str">
        <f>'5C T treatments'!$H$37</f>
        <v>Not Active</v>
      </c>
      <c r="E37">
        <f>Conflict_Calc!BM37</f>
        <v>0</v>
      </c>
      <c r="F37" s="172" t="str">
        <f>'5C T treatments'!$E$37</f>
        <v/>
      </c>
      <c r="G37" s="172">
        <f t="shared" si="1"/>
        <v>1</v>
      </c>
      <c r="H37" t="str">
        <f>INDEX(VL_TDM!$AD$11:$AD$41,MATCH($C37,VL_TDM!$B$11:$B$41,0),1)</f>
        <v>All neighborhood/city trips</v>
      </c>
      <c r="I37" s="172">
        <f t="shared" si="0"/>
        <v>1</v>
      </c>
      <c r="J37" s="172">
        <f t="shared" si="0"/>
        <v>1</v>
      </c>
      <c r="K37" s="172">
        <f t="shared" si="0"/>
        <v>1</v>
      </c>
      <c r="L37" s="172">
        <f t="shared" si="0"/>
        <v>1</v>
      </c>
    </row>
    <row r="38" spans="3:12">
      <c r="C38" t="s">
        <v>103</v>
      </c>
      <c r="D38" t="str">
        <f>'5D T fare reduction'!$H$38</f>
        <v>Not Active</v>
      </c>
      <c r="E38">
        <f>Conflict_Calc!BM38</f>
        <v>0</v>
      </c>
      <c r="F38" s="172" t="str">
        <f>'5D T fare reduction'!$E$38</f>
        <v/>
      </c>
      <c r="G38" s="172">
        <f t="shared" si="1"/>
        <v>1</v>
      </c>
      <c r="H38" t="str">
        <f>INDEX(VL_TDM!$AD$11:$AD$41,MATCH($C38,VL_TDM!$B$11:$B$41,0),1)</f>
        <v>All neighborhood/city trips</v>
      </c>
      <c r="I38" s="172">
        <f t="shared" si="0"/>
        <v>1</v>
      </c>
      <c r="J38" s="172">
        <f t="shared" si="0"/>
        <v>1</v>
      </c>
      <c r="K38" s="172">
        <f t="shared" si="0"/>
        <v>1</v>
      </c>
      <c r="L38" s="172">
        <f t="shared" si="0"/>
        <v>1</v>
      </c>
    </row>
    <row r="39" spans="3:12">
      <c r="C39" t="s">
        <v>106</v>
      </c>
      <c r="D39" t="str">
        <f>'5E microtransit'!$H$34</f>
        <v>Not Active</v>
      </c>
      <c r="E39">
        <f>Conflict_Calc!BM39</f>
        <v>0</v>
      </c>
      <c r="F39" s="172" t="str">
        <f>'5E microtransit'!$E$34</f>
        <v/>
      </c>
      <c r="G39" s="172">
        <f t="shared" si="1"/>
        <v>1</v>
      </c>
      <c r="H39" t="str">
        <f>INDEX(VL_TDM!$AD$11:$AD$41,MATCH($C39,VL_TDM!$B$11:$B$41,0),1)</f>
        <v>All neighborhood/city trips</v>
      </c>
      <c r="I39" s="172">
        <f t="shared" si="0"/>
        <v>1</v>
      </c>
      <c r="J39" s="172">
        <f t="shared" si="0"/>
        <v>1</v>
      </c>
      <c r="K39" s="172">
        <f t="shared" si="0"/>
        <v>1</v>
      </c>
      <c r="L39" s="172">
        <f t="shared" si="0"/>
        <v>1</v>
      </c>
    </row>
  </sheetData>
  <sheetProtection algorithmName="SHA-512" hashValue="RUzW2nw4O8bSu3241/2aGeSmalf7otJ39IuNXb0N39N0XsxTtLzoE69eeJFkmB+hU/BjrPXlfTjEpMFKJOt5mw==" saltValue="gRSGnoa2ao8szPVbvESGA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84E7E-15AF-406D-8746-DED9E938D655}">
  <sheetPr codeName="Sheet38">
    <tabColor rgb="FFFFFF00"/>
  </sheetPr>
  <dimension ref="C1:BO39"/>
  <sheetViews>
    <sheetView topLeftCell="A7" zoomScaleNormal="100" workbookViewId="0">
      <selection activeCell="I51" sqref="I51"/>
    </sheetView>
  </sheetViews>
  <sheetFormatPr defaultRowHeight="15" outlineLevelRow="1"/>
  <cols>
    <col min="1" max="2" width="2.5703125" customWidth="1"/>
    <col min="3" max="3" width="57.85546875" bestFit="1" customWidth="1"/>
    <col min="5" max="33" width="3.5703125" customWidth="1"/>
    <col min="34" max="34" width="12" customWidth="1"/>
    <col min="35" max="35" width="2.5703125" customWidth="1"/>
    <col min="36" max="64" width="3.5703125" customWidth="1"/>
    <col min="65" max="65" width="5.42578125" bestFit="1" customWidth="1"/>
    <col min="66" max="66" width="2.5703125" customWidth="1"/>
    <col min="67" max="67" width="92.85546875" customWidth="1"/>
  </cols>
  <sheetData>
    <row r="1" spans="3:67" hidden="1" outlineLevel="1"/>
    <row r="2" spans="3:67" hidden="1" outlineLevel="1"/>
    <row r="3" spans="3:67" hidden="1" outlineLevel="1"/>
    <row r="4" spans="3:67" hidden="1" outlineLevel="1"/>
    <row r="5" spans="3:67" hidden="1" outlineLevel="1"/>
    <row r="6" spans="3:67" hidden="1" outlineLevel="1"/>
    <row r="7" spans="3:67" collapsed="1"/>
    <row r="8" spans="3:67">
      <c r="AJ8" t="s">
        <v>55</v>
      </c>
      <c r="AK8" t="s">
        <v>59</v>
      </c>
      <c r="AL8" t="s">
        <v>63</v>
      </c>
      <c r="AM8" t="s">
        <v>715</v>
      </c>
      <c r="AN8" t="s">
        <v>716</v>
      </c>
      <c r="AO8" t="s">
        <v>75</v>
      </c>
      <c r="AP8" t="s">
        <v>79</v>
      </c>
      <c r="AQ8" t="s">
        <v>87</v>
      </c>
      <c r="AR8" t="s">
        <v>90</v>
      </c>
      <c r="AS8" t="s">
        <v>93</v>
      </c>
      <c r="AT8" t="s">
        <v>97</v>
      </c>
      <c r="AU8" t="s">
        <v>109</v>
      </c>
      <c r="AV8" t="s">
        <v>111</v>
      </c>
      <c r="AW8" t="s">
        <v>114</v>
      </c>
      <c r="AX8" t="s">
        <v>116</v>
      </c>
      <c r="AY8" t="s">
        <v>57</v>
      </c>
      <c r="AZ8" t="s">
        <v>61</v>
      </c>
      <c r="BA8" t="s">
        <v>65</v>
      </c>
      <c r="BB8" t="s">
        <v>69</v>
      </c>
      <c r="BC8" t="s">
        <v>73</v>
      </c>
      <c r="BD8" t="s">
        <v>77</v>
      </c>
      <c r="BE8" t="s">
        <v>81</v>
      </c>
      <c r="BF8" t="s">
        <v>83</v>
      </c>
      <c r="BG8" t="s">
        <v>118</v>
      </c>
      <c r="BH8" t="s">
        <v>95</v>
      </c>
      <c r="BI8" t="s">
        <v>99</v>
      </c>
      <c r="BJ8" t="s">
        <v>101</v>
      </c>
      <c r="BK8" t="s">
        <v>104</v>
      </c>
      <c r="BL8" t="s">
        <v>107</v>
      </c>
      <c r="BN8" t="s">
        <v>717</v>
      </c>
      <c r="BO8" s="138" t="s">
        <v>718</v>
      </c>
    </row>
    <row r="9" spans="3:67">
      <c r="E9" t="s">
        <v>719</v>
      </c>
      <c r="AJ9" t="s">
        <v>720</v>
      </c>
      <c r="BO9" s="137" t="str">
        <f>_xlfn.CONCAT(BO11:BO39)</f>
        <v/>
      </c>
    </row>
    <row r="10" spans="3:67" ht="30">
      <c r="D10" s="138" t="s">
        <v>143</v>
      </c>
      <c r="E10" s="139" t="s">
        <v>54</v>
      </c>
      <c r="F10" s="139" t="s">
        <v>58</v>
      </c>
      <c r="G10" s="139" t="s">
        <v>62</v>
      </c>
      <c r="H10" s="139" t="s">
        <v>66</v>
      </c>
      <c r="I10" s="139" t="s">
        <v>70</v>
      </c>
      <c r="J10" s="139" t="s">
        <v>74</v>
      </c>
      <c r="K10" s="139" t="s">
        <v>78</v>
      </c>
      <c r="L10" s="139" t="s">
        <v>86</v>
      </c>
      <c r="M10" s="139" t="s">
        <v>89</v>
      </c>
      <c r="N10" s="139" t="s">
        <v>92</v>
      </c>
      <c r="O10" s="139" t="s">
        <v>96</v>
      </c>
      <c r="P10" s="139" t="s">
        <v>108</v>
      </c>
      <c r="Q10" s="139" t="s">
        <v>110</v>
      </c>
      <c r="R10" s="139" t="s">
        <v>113</v>
      </c>
      <c r="S10" s="139" t="s">
        <v>115</v>
      </c>
      <c r="T10" s="139" t="s">
        <v>56</v>
      </c>
      <c r="U10" s="139" t="s">
        <v>60</v>
      </c>
      <c r="V10" s="139" t="s">
        <v>64</v>
      </c>
      <c r="W10" s="139" t="s">
        <v>68</v>
      </c>
      <c r="X10" s="139" t="s">
        <v>72</v>
      </c>
      <c r="Y10" s="139" t="s">
        <v>76</v>
      </c>
      <c r="Z10" s="139" t="s">
        <v>80</v>
      </c>
      <c r="AA10" s="139" t="s">
        <v>82</v>
      </c>
      <c r="AB10" s="139" t="s">
        <v>117</v>
      </c>
      <c r="AC10" s="139" t="s">
        <v>94</v>
      </c>
      <c r="AD10" s="139" t="s">
        <v>98</v>
      </c>
      <c r="AE10" s="139" t="s">
        <v>100</v>
      </c>
      <c r="AF10" s="139" t="s">
        <v>103</v>
      </c>
      <c r="AG10" s="139" t="s">
        <v>106</v>
      </c>
      <c r="AH10" s="139" t="s">
        <v>712</v>
      </c>
      <c r="AJ10" s="139" t="s">
        <v>54</v>
      </c>
      <c r="AK10" s="138" t="s">
        <v>58</v>
      </c>
      <c r="AL10" s="138" t="s">
        <v>62</v>
      </c>
      <c r="AM10" s="138" t="s">
        <v>66</v>
      </c>
      <c r="AN10" s="138" t="s">
        <v>70</v>
      </c>
      <c r="AO10" s="138" t="s">
        <v>74</v>
      </c>
      <c r="AP10" s="138" t="s">
        <v>78</v>
      </c>
      <c r="AQ10" s="138" t="s">
        <v>86</v>
      </c>
      <c r="AR10" s="138" t="s">
        <v>89</v>
      </c>
      <c r="AS10" s="138" t="s">
        <v>92</v>
      </c>
      <c r="AT10" s="138" t="s">
        <v>96</v>
      </c>
      <c r="AU10" s="139" t="s">
        <v>108</v>
      </c>
      <c r="AV10" s="139" t="s">
        <v>110</v>
      </c>
      <c r="AW10" s="138" t="s">
        <v>113</v>
      </c>
      <c r="AX10" s="138" t="s">
        <v>115</v>
      </c>
      <c r="AY10" s="138" t="s">
        <v>56</v>
      </c>
      <c r="AZ10" s="138" t="s">
        <v>60</v>
      </c>
      <c r="BA10" s="138" t="s">
        <v>64</v>
      </c>
      <c r="BB10" s="138" t="s">
        <v>68</v>
      </c>
      <c r="BC10" s="138" t="s">
        <v>72</v>
      </c>
      <c r="BD10" s="138" t="s">
        <v>76</v>
      </c>
      <c r="BE10" s="138" t="s">
        <v>80</v>
      </c>
      <c r="BF10" s="138" t="s">
        <v>82</v>
      </c>
      <c r="BG10" s="138" t="s">
        <v>117</v>
      </c>
      <c r="BH10" s="138" t="s">
        <v>94</v>
      </c>
      <c r="BI10" s="138" t="s">
        <v>98</v>
      </c>
      <c r="BJ10" s="138" t="s">
        <v>100</v>
      </c>
      <c r="BK10" s="138" t="s">
        <v>103</v>
      </c>
      <c r="BL10" s="138" t="s">
        <v>106</v>
      </c>
      <c r="BM10" s="138" t="s">
        <v>721</v>
      </c>
      <c r="BO10" s="138" t="s">
        <v>722</v>
      </c>
    </row>
    <row r="11" spans="3:67">
      <c r="C11" s="174" t="s">
        <v>55</v>
      </c>
      <c r="D11" s="171" t="s">
        <v>54</v>
      </c>
      <c r="E11" s="175"/>
      <c r="F11" s="174">
        <v>1</v>
      </c>
      <c r="G11" s="174">
        <v>1</v>
      </c>
      <c r="H11" s="174">
        <v>1</v>
      </c>
      <c r="I11" s="174"/>
      <c r="J11" s="174">
        <v>1</v>
      </c>
      <c r="K11" s="174">
        <v>1</v>
      </c>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t="str">
        <f>Calc!D11</f>
        <v>Not Active</v>
      </c>
      <c r="AJ11" t="str">
        <f t="shared" ref="AJ11:AJ39" si="0">IF($AH11="Not Active","",IF($D11=AJ$10,"",IF(INDEX($AH$11:$AH$39,MATCH(AJ$10,$D$11:$D$39,0),1)="Not Active","",IF(E11="","",$D11&amp;"|"&amp;$C11 &amp; " conflicts with "&amp;AJ$10&amp;"|"&amp;AJ$8&amp;CHAR(10)))))</f>
        <v/>
      </c>
      <c r="AK11" t="str">
        <f>IF($AH11="Not Active","",IF($D11=AK$10,"",IF(INDEX($AH$11:$AH$39,MATCH(AK$10,$D$11:$D$39,0),1)="Not Active","",IF(F11="","",$D11&amp;"|"&amp;$C11 &amp; " conflicts with "&amp;AK$10&amp;"|"&amp;AK$8&amp;CHAR(10)))))</f>
        <v/>
      </c>
      <c r="AL11" t="str">
        <f t="shared" ref="AL11:AL39" si="1">IF($AH11="Not Active","",IF($D11=AL$10,"",IF(INDEX($AH$11:$AH$39,MATCH(AL$10,$D$11:$D$39,0),1)="Not Active","",IF(G11="","",$D11&amp;"|"&amp;$C11 &amp; " conflicts with "&amp;AL$10&amp;"|"&amp;AL$8&amp;CHAR(10)))))</f>
        <v/>
      </c>
      <c r="AM11" t="str">
        <f t="shared" ref="AM11:AM39" si="2">IF($AH11="Not Active","",IF($D11=AM$10,"",IF(INDEX($AH$11:$AH$39,MATCH(AM$10,$D$11:$D$39,0),1)="Not Active","",IF(H11="","",$D11&amp;"|"&amp;$C11 &amp; " conflicts with "&amp;AM$10&amp;"|"&amp;AM$8&amp;CHAR(10)))))</f>
        <v/>
      </c>
      <c r="AN11" t="str">
        <f t="shared" ref="AN11:AN39" si="3">IF($AH11="Not Active","",IF($D11=AN$10,"",IF(INDEX($AH$11:$AH$39,MATCH(AN$10,$D$11:$D$39,0),1)="Not Active","",IF(I11="","",$D11&amp;"|"&amp;$C11 &amp; " conflicts with "&amp;AN$10&amp;"|"&amp;AN$8&amp;CHAR(10)))))</f>
        <v/>
      </c>
      <c r="AO11" t="str">
        <f t="shared" ref="AO11:AO39" si="4">IF($AH11="Not Active","",IF($D11=AO$10,"",IF(INDEX($AH$11:$AH$39,MATCH(AO$10,$D$11:$D$39,0),1)="Not Active","",IF(J11="","",$D11&amp;"|"&amp;$C11 &amp; " conflicts with "&amp;AO$10&amp;"|"&amp;AO$8&amp;CHAR(10)))))</f>
        <v/>
      </c>
      <c r="AP11" t="str">
        <f t="shared" ref="AP11:AP39" si="5">IF($AH11="Not Active","",IF($D11=AP$10,"",IF(INDEX($AH$11:$AH$39,MATCH(AP$10,$D$11:$D$39,0),1)="Not Active","",IF(K11="","",$D11&amp;"|"&amp;$C11 &amp; " conflicts with "&amp;AP$10&amp;"|"&amp;AP$8&amp;CHAR(10)))))</f>
        <v/>
      </c>
      <c r="AQ11" t="str">
        <f t="shared" ref="AQ11:AQ39" si="6">IF($AH11="Not Active","",IF($D11=AQ$10,"",IF(INDEX($AH$11:$AH$39,MATCH(AQ$10,$D$11:$D$39,0),1)="Not Active","",IF(L11="","",$D11&amp;"|"&amp;$C11 &amp; " conflicts with "&amp;AQ$10&amp;"|"&amp;AQ$8&amp;CHAR(10)))))</f>
        <v/>
      </c>
      <c r="AR11" t="str">
        <f t="shared" ref="AR11:AR39" si="7">IF($AH11="Not Active","",IF($D11=AR$10,"",IF(INDEX($AH$11:$AH$39,MATCH(AR$10,$D$11:$D$39,0),1)="Not Active","",IF(M11="","",$D11&amp;"|"&amp;$C11 &amp; " conflicts with "&amp;AR$10&amp;"|"&amp;AR$8&amp;CHAR(10)))))</f>
        <v/>
      </c>
      <c r="AS11" t="str">
        <f t="shared" ref="AS11:AS39" si="8">IF($AH11="Not Active","",IF($D11=AS$10,"",IF(INDEX($AH$11:$AH$39,MATCH(AS$10,$D$11:$D$39,0),1)="Not Active","",IF(N11="","",$D11&amp;"|"&amp;$C11 &amp; " conflicts with "&amp;AS$10&amp;"|"&amp;AS$8&amp;CHAR(10)))))</f>
        <v/>
      </c>
      <c r="AT11" t="str">
        <f t="shared" ref="AT11:AT39" si="9">IF($AH11="Not Active","",IF($D11=AT$10,"",IF(INDEX($AH$11:$AH$39,MATCH(AT$10,$D$11:$D$39,0),1)="Not Active","",IF(O11="","",$D11&amp;"|"&amp;$C11 &amp; " conflicts with "&amp;AT$10&amp;"|"&amp;AT$8&amp;CHAR(10)))))</f>
        <v/>
      </c>
      <c r="AU11" t="str">
        <f t="shared" ref="AU11:AV39" si="10">IF($AH11="Not Active","",IF($D11=AU$10,"",IF(INDEX($AH$11:$AH$39,MATCH(AU$10,$D$11:$D$39,0),1)="Not Active","",IF(P11="","",$D11&amp;"|"&amp;$C11 &amp; " conflicts with "&amp;AU$10&amp;"|"&amp;AU$8&amp;CHAR(10)))))</f>
        <v/>
      </c>
      <c r="AV11" t="str">
        <f t="shared" si="10"/>
        <v/>
      </c>
      <c r="AW11" t="str">
        <f t="shared" ref="AW11:AW39" si="11">IF($AH11="Not Active","",IF($D11=AW$10,"",IF(INDEX($AH$11:$AH$39,MATCH(AW$10,$D$11:$D$39,0),1)="Not Active","",IF(R11="","",$D11&amp;"|"&amp;$C11 &amp; " conflicts with "&amp;AW$10&amp;"|"&amp;AW$8&amp;CHAR(10)))))</f>
        <v/>
      </c>
      <c r="AX11" t="str">
        <f t="shared" ref="AX11:AX39" si="12">IF($AH11="Not Active","",IF($D11=AX$10,"",IF(INDEX($AH$11:$AH$39,MATCH(AX$10,$D$11:$D$39,0),1)="Not Active","",IF(S11="","",$D11&amp;"|"&amp;$C11 &amp; " conflicts with "&amp;AX$10&amp;"|"&amp;AX$8&amp;CHAR(10)))))</f>
        <v/>
      </c>
      <c r="AY11" t="str">
        <f t="shared" ref="AY11:AY39" si="13">IF($AH11="Not Active","",IF($D11=AY$10,"",IF(INDEX($AH$11:$AH$39,MATCH(AY$10,$D$11:$D$39,0),1)="Not Active","",IF(T11="","",$D11&amp;"|"&amp;$C11 &amp; " conflicts with "&amp;AY$10&amp;"|"&amp;AY$8&amp;CHAR(10)))))</f>
        <v/>
      </c>
      <c r="AZ11" t="str">
        <f t="shared" ref="AZ11:AZ39" si="14">IF($AH11="Not Active","",IF($D11=AZ$10,"",IF(INDEX($AH$11:$AH$39,MATCH(AZ$10,$D$11:$D$39,0),1)="Not Active","",IF(U11="","",$D11&amp;"|"&amp;$C11 &amp; " conflicts with "&amp;AZ$10&amp;"|"&amp;AZ$8&amp;CHAR(10)))))</f>
        <v/>
      </c>
      <c r="BA11" t="str">
        <f t="shared" ref="BA11:BA39" si="15">IF($AH11="Not Active","",IF($D11=BA$10,"",IF(INDEX($AH$11:$AH$39,MATCH(BA$10,$D$11:$D$39,0),1)="Not Active","",IF(V11="","",$D11&amp;"|"&amp;$C11 &amp; " conflicts with "&amp;BA$10&amp;"|"&amp;BA$8&amp;CHAR(10)))))</f>
        <v/>
      </c>
      <c r="BB11" t="str">
        <f t="shared" ref="BB11:BB39" si="16">IF($AH11="Not Active","",IF($D11=BB$10,"",IF(INDEX($AH$11:$AH$39,MATCH(BB$10,$D$11:$D$39,0),1)="Not Active","",IF(W11="","",$D11&amp;"|"&amp;$C11 &amp; " conflicts with "&amp;BB$10&amp;"|"&amp;BB$8&amp;CHAR(10)))))</f>
        <v/>
      </c>
      <c r="BC11" t="str">
        <f t="shared" ref="BC11:BC39" si="17">IF($AH11="Not Active","",IF($D11=BC$10,"",IF(INDEX($AH$11:$AH$39,MATCH(BC$10,$D$11:$D$39,0),1)="Not Active","",IF(X11="","",$D11&amp;"|"&amp;$C11 &amp; " conflicts with "&amp;BC$10&amp;"|"&amp;BC$8&amp;CHAR(10)))))</f>
        <v/>
      </c>
      <c r="BD11" t="str">
        <f t="shared" ref="BD11:BD39" si="18">IF($AH11="Not Active","",IF($D11=BD$10,"",IF(INDEX($AH$11:$AH$39,MATCH(BD$10,$D$11:$D$39,0),1)="Not Active","",IF(Y11="","",$D11&amp;"|"&amp;$C11 &amp; " conflicts with "&amp;BD$10&amp;"|"&amp;BD$8&amp;CHAR(10)))))</f>
        <v/>
      </c>
      <c r="BE11" t="str">
        <f t="shared" ref="BE11:BE39" si="19">IF($AH11="Not Active","",IF($D11=BE$10,"",IF(INDEX($AH$11:$AH$39,MATCH(BE$10,$D$11:$D$39,0),1)="Not Active","",IF(Z11="","",$D11&amp;"|"&amp;$C11 &amp; " conflicts with "&amp;BE$10&amp;"|"&amp;BE$8&amp;CHAR(10)))))</f>
        <v/>
      </c>
      <c r="BF11" t="str">
        <f t="shared" ref="BF11:BF39" si="20">IF($AH11="Not Active","",IF($D11=BF$10,"",IF(INDEX($AH$11:$AH$39,MATCH(BF$10,$D$11:$D$39,0),1)="Not Active","",IF(AA11="","",$D11&amp;"|"&amp;$C11 &amp; " conflicts with "&amp;BF$10&amp;"|"&amp;BF$8&amp;CHAR(10)))))</f>
        <v/>
      </c>
      <c r="BG11" t="str">
        <f t="shared" ref="BG11:BG39" si="21">IF($AH11="Not Active","",IF($D11=BG$10,"",IF(INDEX($AH$11:$AH$39,MATCH(BG$10,$D$11:$D$39,0),1)="Not Active","",IF(AB11="","",$D11&amp;"|"&amp;$C11 &amp; " conflicts with "&amp;BG$10&amp;"|"&amp;BG$8&amp;CHAR(10)))))</f>
        <v/>
      </c>
      <c r="BH11" t="str">
        <f t="shared" ref="BH11:BH39" si="22">IF($AH11="Not Active","",IF($D11=BH$10,"",IF(INDEX($AH$11:$AH$39,MATCH(BH$10,$D$11:$D$39,0),1)="Not Active","",IF(AC11="","",$D11&amp;"|"&amp;$C11 &amp; " conflicts with "&amp;BH$10&amp;"|"&amp;BH$8&amp;CHAR(10)))))</f>
        <v/>
      </c>
      <c r="BI11" t="str">
        <f t="shared" ref="BI11:BI39" si="23">IF($AH11="Not Active","",IF($D11=BI$10,"",IF(INDEX($AH$11:$AH$39,MATCH(BI$10,$D$11:$D$39,0),1)="Not Active","",IF(AD11="","",$D11&amp;"|"&amp;$C11 &amp; " conflicts with "&amp;BI$10&amp;"|"&amp;BI$8&amp;CHAR(10)))))</f>
        <v/>
      </c>
      <c r="BJ11" t="str">
        <f t="shared" ref="BJ11:BJ39" si="24">IF($AH11="Not Active","",IF($D11=BJ$10,"",IF(INDEX($AH$11:$AH$39,MATCH(BJ$10,$D$11:$D$39,0),1)="Not Active","",IF(AE11="","",$D11&amp;"|"&amp;$C11 &amp; " conflicts with "&amp;BJ$10&amp;"|"&amp;BJ$8&amp;CHAR(10)))))</f>
        <v/>
      </c>
      <c r="BK11" t="str">
        <f t="shared" ref="BK11:BK39" si="25">IF($AH11="Not Active","",IF($D11=BK$10,"",IF(INDEX($AH$11:$AH$39,MATCH(BK$10,$D$11:$D$39,0),1)="Not Active","",IF(AF11="","",$D11&amp;"|"&amp;$C11 &amp; " conflicts with "&amp;BK$10&amp;"|"&amp;BK$8&amp;CHAR(10)))))</f>
        <v/>
      </c>
      <c r="BL11" t="str">
        <f t="shared" ref="BL11:BL39" si="26">IF($AH11="Not Active","",IF($D11=BL$10,"",IF(INDEX($AH$11:$AH$39,MATCH(BL$10,$D$11:$D$39,0),1)="Not Active","",IF(AG11="","",$D11&amp;"|"&amp;$C11 &amp; " conflicts with "&amp;BL$10&amp;"|"&amp;BL$8&amp;CHAR(10)))))</f>
        <v/>
      </c>
      <c r="BM11">
        <f>COUNTA(AJ11:BL11)-COUNTIFS(AJ11:BL11,"")</f>
        <v>0</v>
      </c>
      <c r="BO11" s="137" t="str">
        <f>IF(BM11=0,"",_xlfn.CONCAT(AJ11:BL11))</f>
        <v/>
      </c>
    </row>
    <row r="12" spans="3:67">
      <c r="C12" s="174" t="s">
        <v>59</v>
      </c>
      <c r="D12" s="171" t="s">
        <v>58</v>
      </c>
      <c r="E12" s="174">
        <v>1</v>
      </c>
      <c r="F12" s="175"/>
      <c r="G12" s="174">
        <v>1</v>
      </c>
      <c r="H12" s="174">
        <v>1</v>
      </c>
      <c r="I12" s="174"/>
      <c r="J12" s="174">
        <v>1</v>
      </c>
      <c r="K12" s="174">
        <v>1</v>
      </c>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t="str">
        <f>Calc!D12</f>
        <v>Not Active</v>
      </c>
      <c r="AJ12" t="str">
        <f t="shared" si="0"/>
        <v/>
      </c>
      <c r="AK12" t="str">
        <f t="shared" ref="AK12:AK39" si="27">IF($AH12="Not Active","",IF($D12=AK$10,"",IF(INDEX($AH$11:$AH$39,MATCH(AK$10,$D$11:$D$39,0),1)="Not Active","",IF(F12="","",$D12&amp;"|"&amp;$C12 &amp; " conflicts with "&amp;AK$10&amp;"|"&amp;AK$8&amp;CHAR(10)))))</f>
        <v/>
      </c>
      <c r="AL12" t="str">
        <f t="shared" si="1"/>
        <v/>
      </c>
      <c r="AM12" t="str">
        <f t="shared" si="2"/>
        <v/>
      </c>
      <c r="AN12" t="str">
        <f t="shared" si="3"/>
        <v/>
      </c>
      <c r="AO12" t="str">
        <f t="shared" si="4"/>
        <v/>
      </c>
      <c r="AP12" t="str">
        <f t="shared" si="5"/>
        <v/>
      </c>
      <c r="AQ12" t="str">
        <f t="shared" si="6"/>
        <v/>
      </c>
      <c r="AR12" t="str">
        <f t="shared" si="7"/>
        <v/>
      </c>
      <c r="AS12" t="str">
        <f t="shared" si="8"/>
        <v/>
      </c>
      <c r="AT12" t="str">
        <f t="shared" si="9"/>
        <v/>
      </c>
      <c r="AU12" t="str">
        <f t="shared" si="10"/>
        <v/>
      </c>
      <c r="AV12" t="str">
        <f t="shared" si="10"/>
        <v/>
      </c>
      <c r="AW12" t="str">
        <f t="shared" si="11"/>
        <v/>
      </c>
      <c r="AX12" t="str">
        <f t="shared" si="12"/>
        <v/>
      </c>
      <c r="AY12" t="str">
        <f t="shared" si="13"/>
        <v/>
      </c>
      <c r="AZ12" t="str">
        <f t="shared" si="14"/>
        <v/>
      </c>
      <c r="BA12" t="str">
        <f t="shared" si="15"/>
        <v/>
      </c>
      <c r="BB12" t="str">
        <f t="shared" si="16"/>
        <v/>
      </c>
      <c r="BC12" t="str">
        <f t="shared" si="17"/>
        <v/>
      </c>
      <c r="BD12" t="str">
        <f t="shared" si="18"/>
        <v/>
      </c>
      <c r="BE12" t="str">
        <f t="shared" si="19"/>
        <v/>
      </c>
      <c r="BF12" t="str">
        <f t="shared" si="20"/>
        <v/>
      </c>
      <c r="BG12" t="str">
        <f t="shared" si="21"/>
        <v/>
      </c>
      <c r="BH12" t="str">
        <f t="shared" si="22"/>
        <v/>
      </c>
      <c r="BI12" t="str">
        <f t="shared" si="23"/>
        <v/>
      </c>
      <c r="BJ12" t="str">
        <f t="shared" si="24"/>
        <v/>
      </c>
      <c r="BK12" t="str">
        <f t="shared" si="25"/>
        <v/>
      </c>
      <c r="BL12" t="str">
        <f t="shared" si="26"/>
        <v/>
      </c>
      <c r="BM12">
        <f t="shared" ref="BM12:BM39" si="28">COUNTA(AJ12:BL12)-COUNTIFS(AJ12:BL12,"")</f>
        <v>0</v>
      </c>
      <c r="BO12" s="137" t="str">
        <f t="shared" ref="BO12:BO39" si="29">IF(BM12=0,"",_xlfn.CONCAT(AJ12:BL12))</f>
        <v/>
      </c>
    </row>
    <row r="13" spans="3:67">
      <c r="C13" s="174" t="s">
        <v>63</v>
      </c>
      <c r="D13" s="171" t="s">
        <v>62</v>
      </c>
      <c r="E13" s="174">
        <v>1</v>
      </c>
      <c r="F13" s="174">
        <v>1</v>
      </c>
      <c r="G13" s="175"/>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t="str">
        <f>Calc!D13</f>
        <v>Not Active</v>
      </c>
      <c r="AJ13" t="str">
        <f t="shared" si="0"/>
        <v/>
      </c>
      <c r="AK13" t="str">
        <f t="shared" si="27"/>
        <v/>
      </c>
      <c r="AL13" t="str">
        <f t="shared" si="1"/>
        <v/>
      </c>
      <c r="AM13" t="str">
        <f t="shared" si="2"/>
        <v/>
      </c>
      <c r="AN13" t="str">
        <f t="shared" si="3"/>
        <v/>
      </c>
      <c r="AO13" t="str">
        <f t="shared" si="4"/>
        <v/>
      </c>
      <c r="AP13" t="str">
        <f t="shared" si="5"/>
        <v/>
      </c>
      <c r="AQ13" t="str">
        <f t="shared" si="6"/>
        <v/>
      </c>
      <c r="AR13" t="str">
        <f t="shared" si="7"/>
        <v/>
      </c>
      <c r="AS13" t="str">
        <f t="shared" si="8"/>
        <v/>
      </c>
      <c r="AT13" t="str">
        <f t="shared" si="9"/>
        <v/>
      </c>
      <c r="AU13" t="str">
        <f t="shared" si="10"/>
        <v/>
      </c>
      <c r="AV13" t="str">
        <f t="shared" si="10"/>
        <v/>
      </c>
      <c r="AW13" t="str">
        <f t="shared" si="11"/>
        <v/>
      </c>
      <c r="AX13" t="str">
        <f t="shared" si="12"/>
        <v/>
      </c>
      <c r="AY13" t="str">
        <f t="shared" si="13"/>
        <v/>
      </c>
      <c r="AZ13" t="str">
        <f t="shared" si="14"/>
        <v/>
      </c>
      <c r="BA13" t="str">
        <f t="shared" si="15"/>
        <v/>
      </c>
      <c r="BB13" t="str">
        <f t="shared" si="16"/>
        <v/>
      </c>
      <c r="BC13" t="str">
        <f t="shared" si="17"/>
        <v/>
      </c>
      <c r="BD13" t="str">
        <f t="shared" si="18"/>
        <v/>
      </c>
      <c r="BE13" t="str">
        <f t="shared" si="19"/>
        <v/>
      </c>
      <c r="BF13" t="str">
        <f t="shared" si="20"/>
        <v/>
      </c>
      <c r="BG13" t="str">
        <f t="shared" si="21"/>
        <v/>
      </c>
      <c r="BH13" t="str">
        <f t="shared" si="22"/>
        <v/>
      </c>
      <c r="BI13" t="str">
        <f t="shared" si="23"/>
        <v/>
      </c>
      <c r="BJ13" t="str">
        <f t="shared" si="24"/>
        <v/>
      </c>
      <c r="BK13" t="str">
        <f t="shared" si="25"/>
        <v/>
      </c>
      <c r="BL13" t="str">
        <f t="shared" si="26"/>
        <v/>
      </c>
      <c r="BM13">
        <f t="shared" si="28"/>
        <v>0</v>
      </c>
      <c r="BO13" s="137" t="str">
        <f t="shared" si="29"/>
        <v/>
      </c>
    </row>
    <row r="14" spans="3:67" ht="30">
      <c r="C14" s="174" t="s">
        <v>67</v>
      </c>
      <c r="D14" s="171" t="s">
        <v>66</v>
      </c>
      <c r="E14" s="174">
        <v>1</v>
      </c>
      <c r="F14" s="174">
        <v>1</v>
      </c>
      <c r="G14" s="174"/>
      <c r="H14" s="175"/>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t="str">
        <f>Calc!D14</f>
        <v>Not Active</v>
      </c>
      <c r="AJ14" t="str">
        <f t="shared" si="0"/>
        <v/>
      </c>
      <c r="AK14" t="str">
        <f t="shared" si="27"/>
        <v/>
      </c>
      <c r="AL14" t="str">
        <f t="shared" si="1"/>
        <v/>
      </c>
      <c r="AM14" t="str">
        <f t="shared" si="2"/>
        <v/>
      </c>
      <c r="AN14" t="str">
        <f t="shared" si="3"/>
        <v/>
      </c>
      <c r="AO14" t="str">
        <f t="shared" si="4"/>
        <v/>
      </c>
      <c r="AP14" t="str">
        <f t="shared" si="5"/>
        <v/>
      </c>
      <c r="AQ14" t="str">
        <f t="shared" si="6"/>
        <v/>
      </c>
      <c r="AR14" t="str">
        <f t="shared" si="7"/>
        <v/>
      </c>
      <c r="AS14" t="str">
        <f t="shared" si="8"/>
        <v/>
      </c>
      <c r="AT14" t="str">
        <f t="shared" si="9"/>
        <v/>
      </c>
      <c r="AU14" t="str">
        <f t="shared" si="10"/>
        <v/>
      </c>
      <c r="AV14" t="str">
        <f t="shared" si="10"/>
        <v/>
      </c>
      <c r="AW14" t="str">
        <f t="shared" si="11"/>
        <v/>
      </c>
      <c r="AX14" t="str">
        <f t="shared" si="12"/>
        <v/>
      </c>
      <c r="AY14" t="str">
        <f t="shared" si="13"/>
        <v/>
      </c>
      <c r="AZ14" t="str">
        <f t="shared" si="14"/>
        <v/>
      </c>
      <c r="BA14" t="str">
        <f t="shared" si="15"/>
        <v/>
      </c>
      <c r="BB14" t="str">
        <f t="shared" si="16"/>
        <v/>
      </c>
      <c r="BC14" t="str">
        <f t="shared" si="17"/>
        <v/>
      </c>
      <c r="BD14" t="str">
        <f t="shared" si="18"/>
        <v/>
      </c>
      <c r="BE14" t="str">
        <f t="shared" si="19"/>
        <v/>
      </c>
      <c r="BF14" t="str">
        <f t="shared" si="20"/>
        <v/>
      </c>
      <c r="BG14" t="str">
        <f t="shared" si="21"/>
        <v/>
      </c>
      <c r="BH14" t="str">
        <f t="shared" si="22"/>
        <v/>
      </c>
      <c r="BI14" t="str">
        <f t="shared" si="23"/>
        <v/>
      </c>
      <c r="BJ14" t="str">
        <f t="shared" si="24"/>
        <v/>
      </c>
      <c r="BK14" t="str">
        <f t="shared" si="25"/>
        <v/>
      </c>
      <c r="BL14" t="str">
        <f t="shared" si="26"/>
        <v/>
      </c>
      <c r="BM14">
        <f t="shared" si="28"/>
        <v>0</v>
      </c>
      <c r="BO14" s="137" t="str">
        <f>IF(BM14=0,"",_xlfn.CONCAT(AJ14:BL14))</f>
        <v/>
      </c>
    </row>
    <row r="15" spans="3:67" ht="30">
      <c r="C15" s="174" t="s">
        <v>71</v>
      </c>
      <c r="D15" s="171" t="s">
        <v>70</v>
      </c>
      <c r="E15" s="174"/>
      <c r="F15" s="174"/>
      <c r="G15" s="174"/>
      <c r="H15" s="174"/>
      <c r="I15" s="175"/>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t="str">
        <f>Calc!D14</f>
        <v>Not Active</v>
      </c>
      <c r="AJ15" t="str">
        <f t="shared" si="0"/>
        <v/>
      </c>
      <c r="AK15" t="str">
        <f t="shared" si="27"/>
        <v/>
      </c>
      <c r="AL15" t="str">
        <f t="shared" si="1"/>
        <v/>
      </c>
      <c r="AM15" t="str">
        <f t="shared" si="2"/>
        <v/>
      </c>
      <c r="AN15" t="str">
        <f t="shared" si="3"/>
        <v/>
      </c>
      <c r="AO15" t="str">
        <f t="shared" si="4"/>
        <v/>
      </c>
      <c r="AP15" t="str">
        <f t="shared" si="5"/>
        <v/>
      </c>
      <c r="AQ15" t="str">
        <f t="shared" si="6"/>
        <v/>
      </c>
      <c r="AR15" t="str">
        <f t="shared" si="7"/>
        <v/>
      </c>
      <c r="AS15" t="str">
        <f t="shared" si="8"/>
        <v/>
      </c>
      <c r="AT15" t="str">
        <f t="shared" si="9"/>
        <v/>
      </c>
      <c r="AU15" t="str">
        <f t="shared" si="10"/>
        <v/>
      </c>
      <c r="AV15" t="str">
        <f t="shared" si="10"/>
        <v/>
      </c>
      <c r="AW15" t="str">
        <f t="shared" si="11"/>
        <v/>
      </c>
      <c r="AX15" t="str">
        <f t="shared" si="12"/>
        <v/>
      </c>
      <c r="AY15" t="str">
        <f t="shared" si="13"/>
        <v/>
      </c>
      <c r="AZ15" t="str">
        <f t="shared" si="14"/>
        <v/>
      </c>
      <c r="BA15" t="str">
        <f t="shared" si="15"/>
        <v/>
      </c>
      <c r="BB15" t="str">
        <f t="shared" si="16"/>
        <v/>
      </c>
      <c r="BC15" t="str">
        <f t="shared" si="17"/>
        <v/>
      </c>
      <c r="BD15" t="str">
        <f t="shared" si="18"/>
        <v/>
      </c>
      <c r="BE15" t="str">
        <f t="shared" si="19"/>
        <v/>
      </c>
      <c r="BF15" t="str">
        <f t="shared" si="20"/>
        <v/>
      </c>
      <c r="BG15" t="str">
        <f t="shared" si="21"/>
        <v/>
      </c>
      <c r="BH15" t="str">
        <f t="shared" si="22"/>
        <v/>
      </c>
      <c r="BI15" t="str">
        <f t="shared" si="23"/>
        <v/>
      </c>
      <c r="BJ15" t="str">
        <f t="shared" si="24"/>
        <v/>
      </c>
      <c r="BK15" t="str">
        <f t="shared" si="25"/>
        <v/>
      </c>
      <c r="BL15" t="str">
        <f t="shared" si="26"/>
        <v/>
      </c>
      <c r="BM15">
        <f t="shared" si="28"/>
        <v>0</v>
      </c>
      <c r="BO15" s="137" t="str">
        <f t="shared" si="29"/>
        <v/>
      </c>
    </row>
    <row r="16" spans="3:67">
      <c r="C16" s="174" t="s">
        <v>75</v>
      </c>
      <c r="D16" s="171" t="s">
        <v>74</v>
      </c>
      <c r="E16" s="174">
        <v>1</v>
      </c>
      <c r="F16" s="174">
        <v>1</v>
      </c>
      <c r="G16" s="174"/>
      <c r="H16" s="174"/>
      <c r="I16" s="174"/>
      <c r="J16" s="175"/>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t="str">
        <f>Calc!D16</f>
        <v>Not Active</v>
      </c>
      <c r="AJ16" t="str">
        <f t="shared" si="0"/>
        <v/>
      </c>
      <c r="AK16" t="str">
        <f t="shared" si="27"/>
        <v/>
      </c>
      <c r="AL16" t="str">
        <f t="shared" si="1"/>
        <v/>
      </c>
      <c r="AM16" t="str">
        <f t="shared" si="2"/>
        <v/>
      </c>
      <c r="AN16" t="str">
        <f t="shared" si="3"/>
        <v/>
      </c>
      <c r="AO16" t="str">
        <f t="shared" si="4"/>
        <v/>
      </c>
      <c r="AP16" t="str">
        <f t="shared" si="5"/>
        <v/>
      </c>
      <c r="AQ16" t="str">
        <f t="shared" si="6"/>
        <v/>
      </c>
      <c r="AR16" t="str">
        <f t="shared" si="7"/>
        <v/>
      </c>
      <c r="AS16" t="str">
        <f t="shared" si="8"/>
        <v/>
      </c>
      <c r="AT16" t="str">
        <f t="shared" si="9"/>
        <v/>
      </c>
      <c r="AU16" t="str">
        <f t="shared" si="10"/>
        <v/>
      </c>
      <c r="AV16" t="str">
        <f t="shared" si="10"/>
        <v/>
      </c>
      <c r="AW16" t="str">
        <f t="shared" si="11"/>
        <v/>
      </c>
      <c r="AX16" t="str">
        <f t="shared" si="12"/>
        <v/>
      </c>
      <c r="AY16" t="str">
        <f t="shared" si="13"/>
        <v/>
      </c>
      <c r="AZ16" t="str">
        <f t="shared" si="14"/>
        <v/>
      </c>
      <c r="BA16" t="str">
        <f t="shared" si="15"/>
        <v/>
      </c>
      <c r="BB16" t="str">
        <f t="shared" si="16"/>
        <v/>
      </c>
      <c r="BC16" t="str">
        <f t="shared" si="17"/>
        <v/>
      </c>
      <c r="BD16" t="str">
        <f t="shared" si="18"/>
        <v/>
      </c>
      <c r="BE16" t="str">
        <f t="shared" si="19"/>
        <v/>
      </c>
      <c r="BF16" t="str">
        <f t="shared" si="20"/>
        <v/>
      </c>
      <c r="BG16" t="str">
        <f t="shared" si="21"/>
        <v/>
      </c>
      <c r="BH16" t="str">
        <f t="shared" si="22"/>
        <v/>
      </c>
      <c r="BI16" t="str">
        <f t="shared" si="23"/>
        <v/>
      </c>
      <c r="BJ16" t="str">
        <f t="shared" si="24"/>
        <v/>
      </c>
      <c r="BK16" t="str">
        <f t="shared" si="25"/>
        <v/>
      </c>
      <c r="BL16" t="str">
        <f t="shared" si="26"/>
        <v/>
      </c>
      <c r="BM16">
        <f t="shared" si="28"/>
        <v>0</v>
      </c>
      <c r="BO16" s="137" t="str">
        <f t="shared" si="29"/>
        <v/>
      </c>
    </row>
    <row r="17" spans="3:67">
      <c r="C17" s="174" t="s">
        <v>79</v>
      </c>
      <c r="D17" s="171" t="s">
        <v>78</v>
      </c>
      <c r="E17" s="174">
        <v>1</v>
      </c>
      <c r="F17" s="174">
        <v>1</v>
      </c>
      <c r="G17" s="174"/>
      <c r="H17" s="174"/>
      <c r="I17" s="174"/>
      <c r="J17" s="174"/>
      <c r="K17" s="175"/>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t="str">
        <f>Calc!D17</f>
        <v>Not Active</v>
      </c>
      <c r="AJ17" t="str">
        <f t="shared" si="0"/>
        <v/>
      </c>
      <c r="AK17" t="str">
        <f t="shared" si="27"/>
        <v/>
      </c>
      <c r="AL17" t="str">
        <f t="shared" si="1"/>
        <v/>
      </c>
      <c r="AM17" t="str">
        <f t="shared" si="2"/>
        <v/>
      </c>
      <c r="AN17" t="str">
        <f t="shared" si="3"/>
        <v/>
      </c>
      <c r="AO17" t="str">
        <f t="shared" si="4"/>
        <v/>
      </c>
      <c r="AP17" t="str">
        <f t="shared" si="5"/>
        <v/>
      </c>
      <c r="AQ17" t="str">
        <f t="shared" si="6"/>
        <v/>
      </c>
      <c r="AR17" t="str">
        <f t="shared" si="7"/>
        <v/>
      </c>
      <c r="AS17" t="str">
        <f t="shared" si="8"/>
        <v/>
      </c>
      <c r="AT17" t="str">
        <f t="shared" si="9"/>
        <v/>
      </c>
      <c r="AU17" t="str">
        <f t="shared" si="10"/>
        <v/>
      </c>
      <c r="AV17" t="str">
        <f t="shared" si="10"/>
        <v/>
      </c>
      <c r="AW17" t="str">
        <f t="shared" si="11"/>
        <v/>
      </c>
      <c r="AX17" t="str">
        <f t="shared" si="12"/>
        <v/>
      </c>
      <c r="AY17" t="str">
        <f t="shared" si="13"/>
        <v/>
      </c>
      <c r="AZ17" t="str">
        <f t="shared" si="14"/>
        <v/>
      </c>
      <c r="BA17" t="str">
        <f t="shared" si="15"/>
        <v/>
      </c>
      <c r="BB17" t="str">
        <f t="shared" si="16"/>
        <v/>
      </c>
      <c r="BC17" t="str">
        <f t="shared" si="17"/>
        <v/>
      </c>
      <c r="BD17" t="str">
        <f t="shared" si="18"/>
        <v/>
      </c>
      <c r="BE17" t="str">
        <f t="shared" si="19"/>
        <v/>
      </c>
      <c r="BF17" t="str">
        <f t="shared" si="20"/>
        <v/>
      </c>
      <c r="BG17" t="str">
        <f t="shared" si="21"/>
        <v/>
      </c>
      <c r="BH17" t="str">
        <f t="shared" si="22"/>
        <v/>
      </c>
      <c r="BI17" t="str">
        <f t="shared" si="23"/>
        <v/>
      </c>
      <c r="BJ17" t="str">
        <f t="shared" si="24"/>
        <v/>
      </c>
      <c r="BK17" t="str">
        <f t="shared" si="25"/>
        <v/>
      </c>
      <c r="BL17" t="str">
        <f t="shared" si="26"/>
        <v/>
      </c>
      <c r="BM17">
        <f t="shared" si="28"/>
        <v>0</v>
      </c>
      <c r="BO17" s="137" t="str">
        <f t="shared" si="29"/>
        <v/>
      </c>
    </row>
    <row r="18" spans="3:67">
      <c r="C18" s="174" t="s">
        <v>87</v>
      </c>
      <c r="D18" s="171" t="s">
        <v>86</v>
      </c>
      <c r="E18" s="174"/>
      <c r="F18" s="174"/>
      <c r="G18" s="174"/>
      <c r="H18" s="174"/>
      <c r="I18" s="174"/>
      <c r="J18" s="174"/>
      <c r="K18" s="174"/>
      <c r="L18" s="175"/>
      <c r="M18" s="174"/>
      <c r="N18" s="174"/>
      <c r="O18" s="174"/>
      <c r="P18" s="174"/>
      <c r="Q18" s="174"/>
      <c r="R18" s="174"/>
      <c r="S18" s="174"/>
      <c r="T18" s="174"/>
      <c r="U18" s="174"/>
      <c r="V18" s="174"/>
      <c r="W18" s="174"/>
      <c r="X18" s="174"/>
      <c r="Y18" s="174"/>
      <c r="Z18" s="174"/>
      <c r="AA18" s="174"/>
      <c r="AB18" s="174"/>
      <c r="AC18" s="174"/>
      <c r="AD18" s="174"/>
      <c r="AE18" s="174"/>
      <c r="AF18" s="174"/>
      <c r="AG18" s="174"/>
      <c r="AH18" t="str">
        <f>Calc!D18</f>
        <v>Not Active</v>
      </c>
      <c r="AJ18" t="str">
        <f t="shared" si="0"/>
        <v/>
      </c>
      <c r="AK18" t="str">
        <f t="shared" si="27"/>
        <v/>
      </c>
      <c r="AL18" t="str">
        <f t="shared" si="1"/>
        <v/>
      </c>
      <c r="AM18" t="str">
        <f t="shared" si="2"/>
        <v/>
      </c>
      <c r="AN18" t="str">
        <f t="shared" si="3"/>
        <v/>
      </c>
      <c r="AO18" t="str">
        <f t="shared" si="4"/>
        <v/>
      </c>
      <c r="AP18" t="str">
        <f t="shared" si="5"/>
        <v/>
      </c>
      <c r="AQ18" t="str">
        <f t="shared" si="6"/>
        <v/>
      </c>
      <c r="AR18" t="str">
        <f t="shared" si="7"/>
        <v/>
      </c>
      <c r="AS18" t="str">
        <f t="shared" si="8"/>
        <v/>
      </c>
      <c r="AT18" t="str">
        <f t="shared" si="9"/>
        <v/>
      </c>
      <c r="AU18" t="str">
        <f t="shared" si="10"/>
        <v/>
      </c>
      <c r="AV18" t="str">
        <f t="shared" si="10"/>
        <v/>
      </c>
      <c r="AW18" t="str">
        <f t="shared" si="11"/>
        <v/>
      </c>
      <c r="AX18" t="str">
        <f t="shared" si="12"/>
        <v/>
      </c>
      <c r="AY18" t="str">
        <f t="shared" si="13"/>
        <v/>
      </c>
      <c r="AZ18" t="str">
        <f t="shared" si="14"/>
        <v/>
      </c>
      <c r="BA18" t="str">
        <f t="shared" si="15"/>
        <v/>
      </c>
      <c r="BB18" t="str">
        <f t="shared" si="16"/>
        <v/>
      </c>
      <c r="BC18" t="str">
        <f t="shared" si="17"/>
        <v/>
      </c>
      <c r="BD18" t="str">
        <f t="shared" si="18"/>
        <v/>
      </c>
      <c r="BE18" t="str">
        <f t="shared" si="19"/>
        <v/>
      </c>
      <c r="BF18" t="str">
        <f t="shared" si="20"/>
        <v/>
      </c>
      <c r="BG18" t="str">
        <f t="shared" si="21"/>
        <v/>
      </c>
      <c r="BH18" t="str">
        <f t="shared" si="22"/>
        <v/>
      </c>
      <c r="BI18" t="str">
        <f t="shared" si="23"/>
        <v/>
      </c>
      <c r="BJ18" t="str">
        <f t="shared" si="24"/>
        <v/>
      </c>
      <c r="BK18" t="str">
        <f t="shared" si="25"/>
        <v/>
      </c>
      <c r="BL18" t="str">
        <f t="shared" si="26"/>
        <v/>
      </c>
      <c r="BM18">
        <f t="shared" si="28"/>
        <v>0</v>
      </c>
      <c r="BO18" s="137" t="str">
        <f t="shared" si="29"/>
        <v/>
      </c>
    </row>
    <row r="19" spans="3:67">
      <c r="C19" s="174" t="s">
        <v>90</v>
      </c>
      <c r="D19" s="171" t="s">
        <v>89</v>
      </c>
      <c r="E19" s="174"/>
      <c r="F19" s="174"/>
      <c r="G19" s="174"/>
      <c r="H19" s="174"/>
      <c r="I19" s="174"/>
      <c r="J19" s="174"/>
      <c r="K19" s="174"/>
      <c r="L19" s="174"/>
      <c r="M19" s="175"/>
      <c r="N19" s="174"/>
      <c r="O19" s="174"/>
      <c r="P19" s="174"/>
      <c r="Q19" s="174"/>
      <c r="R19" s="174"/>
      <c r="S19" s="174"/>
      <c r="T19" s="174"/>
      <c r="U19" s="174"/>
      <c r="V19" s="174"/>
      <c r="W19" s="174"/>
      <c r="X19" s="174"/>
      <c r="Y19" s="174"/>
      <c r="Z19" s="174"/>
      <c r="AA19" s="174"/>
      <c r="AB19" s="174"/>
      <c r="AC19" s="174"/>
      <c r="AD19" s="174"/>
      <c r="AE19" s="174"/>
      <c r="AF19" s="174"/>
      <c r="AG19" s="174"/>
      <c r="AH19" t="str">
        <f>Calc!D19</f>
        <v>Not Active</v>
      </c>
      <c r="AJ19" t="str">
        <f t="shared" si="0"/>
        <v/>
      </c>
      <c r="AK19" t="str">
        <f t="shared" si="27"/>
        <v/>
      </c>
      <c r="AL19" t="str">
        <f t="shared" si="1"/>
        <v/>
      </c>
      <c r="AM19" t="str">
        <f t="shared" si="2"/>
        <v/>
      </c>
      <c r="AN19" t="str">
        <f t="shared" si="3"/>
        <v/>
      </c>
      <c r="AO19" t="str">
        <f t="shared" si="4"/>
        <v/>
      </c>
      <c r="AP19" t="str">
        <f t="shared" si="5"/>
        <v/>
      </c>
      <c r="AQ19" t="str">
        <f t="shared" si="6"/>
        <v/>
      </c>
      <c r="AR19" t="str">
        <f t="shared" si="7"/>
        <v/>
      </c>
      <c r="AS19" t="str">
        <f t="shared" si="8"/>
        <v/>
      </c>
      <c r="AT19" t="str">
        <f t="shared" si="9"/>
        <v/>
      </c>
      <c r="AU19" t="str">
        <f t="shared" si="10"/>
        <v/>
      </c>
      <c r="AV19" t="str">
        <f t="shared" si="10"/>
        <v/>
      </c>
      <c r="AW19" t="str">
        <f t="shared" si="11"/>
        <v/>
      </c>
      <c r="AX19" t="str">
        <f t="shared" si="12"/>
        <v/>
      </c>
      <c r="AY19" t="str">
        <f t="shared" si="13"/>
        <v/>
      </c>
      <c r="AZ19" t="str">
        <f t="shared" si="14"/>
        <v/>
      </c>
      <c r="BA19" t="str">
        <f t="shared" si="15"/>
        <v/>
      </c>
      <c r="BB19" t="str">
        <f t="shared" si="16"/>
        <v/>
      </c>
      <c r="BC19" t="str">
        <f t="shared" si="17"/>
        <v/>
      </c>
      <c r="BD19" t="str">
        <f t="shared" si="18"/>
        <v/>
      </c>
      <c r="BE19" t="str">
        <f t="shared" si="19"/>
        <v/>
      </c>
      <c r="BF19" t="str">
        <f t="shared" si="20"/>
        <v/>
      </c>
      <c r="BG19" t="str">
        <f t="shared" si="21"/>
        <v/>
      </c>
      <c r="BH19" t="str">
        <f t="shared" si="22"/>
        <v/>
      </c>
      <c r="BI19" t="str">
        <f t="shared" si="23"/>
        <v/>
      </c>
      <c r="BJ19" t="str">
        <f t="shared" si="24"/>
        <v/>
      </c>
      <c r="BK19" t="str">
        <f t="shared" si="25"/>
        <v/>
      </c>
      <c r="BL19" t="str">
        <f t="shared" si="26"/>
        <v/>
      </c>
      <c r="BM19">
        <f t="shared" si="28"/>
        <v>0</v>
      </c>
      <c r="BO19" s="137" t="str">
        <f t="shared" si="29"/>
        <v/>
      </c>
    </row>
    <row r="20" spans="3:67">
      <c r="C20" s="174" t="s">
        <v>93</v>
      </c>
      <c r="D20" s="171" t="s">
        <v>92</v>
      </c>
      <c r="E20" s="174"/>
      <c r="F20" s="174"/>
      <c r="G20" s="174"/>
      <c r="H20" s="174"/>
      <c r="I20" s="174"/>
      <c r="J20" s="174"/>
      <c r="K20" s="174"/>
      <c r="L20" s="174"/>
      <c r="M20" s="174"/>
      <c r="N20" s="175"/>
      <c r="O20" s="174"/>
      <c r="P20" s="174"/>
      <c r="Q20" s="174"/>
      <c r="R20" s="174"/>
      <c r="S20" s="174"/>
      <c r="T20" s="174"/>
      <c r="U20" s="174"/>
      <c r="V20" s="174"/>
      <c r="W20" s="174"/>
      <c r="X20" s="174"/>
      <c r="Y20" s="174"/>
      <c r="Z20" s="174"/>
      <c r="AA20" s="174"/>
      <c r="AB20" s="174"/>
      <c r="AC20" s="174"/>
      <c r="AD20" s="174"/>
      <c r="AE20" s="174"/>
      <c r="AF20" s="174"/>
      <c r="AG20" s="174"/>
      <c r="AH20" t="str">
        <f>Calc!D20</f>
        <v>Not Active</v>
      </c>
      <c r="AJ20" t="str">
        <f t="shared" si="0"/>
        <v/>
      </c>
      <c r="AK20" t="str">
        <f t="shared" si="27"/>
        <v/>
      </c>
      <c r="AL20" t="str">
        <f t="shared" si="1"/>
        <v/>
      </c>
      <c r="AM20" t="str">
        <f t="shared" si="2"/>
        <v/>
      </c>
      <c r="AN20" t="str">
        <f t="shared" si="3"/>
        <v/>
      </c>
      <c r="AO20" t="str">
        <f t="shared" si="4"/>
        <v/>
      </c>
      <c r="AP20" t="str">
        <f t="shared" si="5"/>
        <v/>
      </c>
      <c r="AQ20" t="str">
        <f t="shared" si="6"/>
        <v/>
      </c>
      <c r="AR20" t="str">
        <f t="shared" si="7"/>
        <v/>
      </c>
      <c r="AS20" t="str">
        <f t="shared" si="8"/>
        <v/>
      </c>
      <c r="AT20" t="str">
        <f t="shared" si="9"/>
        <v/>
      </c>
      <c r="AU20" t="str">
        <f t="shared" si="10"/>
        <v/>
      </c>
      <c r="AV20" t="str">
        <f t="shared" si="10"/>
        <v/>
      </c>
      <c r="AW20" t="str">
        <f t="shared" si="11"/>
        <v/>
      </c>
      <c r="AX20" t="str">
        <f t="shared" si="12"/>
        <v/>
      </c>
      <c r="AY20" t="str">
        <f t="shared" si="13"/>
        <v/>
      </c>
      <c r="AZ20" t="str">
        <f t="shared" si="14"/>
        <v/>
      </c>
      <c r="BA20" t="str">
        <f t="shared" si="15"/>
        <v/>
      </c>
      <c r="BB20" t="str">
        <f t="shared" si="16"/>
        <v/>
      </c>
      <c r="BC20" t="str">
        <f t="shared" si="17"/>
        <v/>
      </c>
      <c r="BD20" t="str">
        <f t="shared" si="18"/>
        <v/>
      </c>
      <c r="BE20" t="str">
        <f t="shared" si="19"/>
        <v/>
      </c>
      <c r="BF20" t="str">
        <f t="shared" si="20"/>
        <v/>
      </c>
      <c r="BG20" t="str">
        <f t="shared" si="21"/>
        <v/>
      </c>
      <c r="BH20" t="str">
        <f t="shared" si="22"/>
        <v/>
      </c>
      <c r="BI20" t="str">
        <f t="shared" si="23"/>
        <v/>
      </c>
      <c r="BJ20" t="str">
        <f t="shared" si="24"/>
        <v/>
      </c>
      <c r="BK20" t="str">
        <f t="shared" si="25"/>
        <v/>
      </c>
      <c r="BL20" t="str">
        <f t="shared" si="26"/>
        <v/>
      </c>
      <c r="BM20">
        <f t="shared" si="28"/>
        <v>0</v>
      </c>
      <c r="BO20" s="137" t="str">
        <f t="shared" si="29"/>
        <v/>
      </c>
    </row>
    <row r="21" spans="3:67">
      <c r="C21" s="174" t="s">
        <v>97</v>
      </c>
      <c r="D21" s="171" t="s">
        <v>96</v>
      </c>
      <c r="E21" s="174"/>
      <c r="F21" s="174"/>
      <c r="G21" s="174"/>
      <c r="H21" s="174"/>
      <c r="I21" s="174"/>
      <c r="J21" s="174"/>
      <c r="K21" s="174"/>
      <c r="L21" s="174"/>
      <c r="M21" s="174"/>
      <c r="N21" s="174"/>
      <c r="O21" s="175"/>
      <c r="P21" s="174"/>
      <c r="Q21" s="174"/>
      <c r="R21" s="174"/>
      <c r="S21" s="174"/>
      <c r="T21" s="174"/>
      <c r="U21" s="174"/>
      <c r="V21" s="174"/>
      <c r="W21" s="174"/>
      <c r="X21" s="174"/>
      <c r="Y21" s="174"/>
      <c r="Z21" s="174"/>
      <c r="AA21" s="174"/>
      <c r="AB21" s="174"/>
      <c r="AC21" s="174"/>
      <c r="AD21" s="174"/>
      <c r="AE21" s="174"/>
      <c r="AF21" s="174"/>
      <c r="AG21" s="174"/>
      <c r="AH21" t="str">
        <f>Calc!D21</f>
        <v>Not Active</v>
      </c>
      <c r="AJ21" t="str">
        <f t="shared" si="0"/>
        <v/>
      </c>
      <c r="AK21" t="str">
        <f t="shared" si="27"/>
        <v/>
      </c>
      <c r="AL21" t="str">
        <f t="shared" si="1"/>
        <v/>
      </c>
      <c r="AM21" t="str">
        <f t="shared" si="2"/>
        <v/>
      </c>
      <c r="AN21" t="str">
        <f t="shared" si="3"/>
        <v/>
      </c>
      <c r="AO21" t="str">
        <f t="shared" si="4"/>
        <v/>
      </c>
      <c r="AP21" t="str">
        <f t="shared" si="5"/>
        <v/>
      </c>
      <c r="AQ21" t="str">
        <f t="shared" si="6"/>
        <v/>
      </c>
      <c r="AR21" t="str">
        <f t="shared" si="7"/>
        <v/>
      </c>
      <c r="AS21" t="str">
        <f t="shared" si="8"/>
        <v/>
      </c>
      <c r="AT21" t="str">
        <f t="shared" si="9"/>
        <v/>
      </c>
      <c r="AU21" t="str">
        <f t="shared" si="10"/>
        <v/>
      </c>
      <c r="AV21" t="str">
        <f t="shared" si="10"/>
        <v/>
      </c>
      <c r="AW21" t="str">
        <f t="shared" si="11"/>
        <v/>
      </c>
      <c r="AX21" t="str">
        <f t="shared" si="12"/>
        <v/>
      </c>
      <c r="AY21" t="str">
        <f t="shared" si="13"/>
        <v/>
      </c>
      <c r="AZ21" t="str">
        <f t="shared" si="14"/>
        <v/>
      </c>
      <c r="BA21" t="str">
        <f t="shared" si="15"/>
        <v/>
      </c>
      <c r="BB21" t="str">
        <f t="shared" si="16"/>
        <v/>
      </c>
      <c r="BC21" t="str">
        <f t="shared" si="17"/>
        <v/>
      </c>
      <c r="BD21" t="str">
        <f t="shared" si="18"/>
        <v/>
      </c>
      <c r="BE21" t="str">
        <f t="shared" si="19"/>
        <v/>
      </c>
      <c r="BF21" t="str">
        <f t="shared" si="20"/>
        <v/>
      </c>
      <c r="BG21" t="str">
        <f t="shared" si="21"/>
        <v/>
      </c>
      <c r="BH21" t="str">
        <f t="shared" si="22"/>
        <v/>
      </c>
      <c r="BI21" t="str">
        <f t="shared" si="23"/>
        <v/>
      </c>
      <c r="BJ21" t="str">
        <f t="shared" si="24"/>
        <v/>
      </c>
      <c r="BK21" t="str">
        <f t="shared" si="25"/>
        <v/>
      </c>
      <c r="BL21" t="str">
        <f t="shared" si="26"/>
        <v/>
      </c>
      <c r="BM21">
        <f t="shared" si="28"/>
        <v>0</v>
      </c>
      <c r="BO21" s="137" t="str">
        <f t="shared" si="29"/>
        <v/>
      </c>
    </row>
    <row r="22" spans="3:67">
      <c r="C22" s="174" t="s">
        <v>109</v>
      </c>
      <c r="D22" s="171" t="s">
        <v>108</v>
      </c>
      <c r="E22" s="174"/>
      <c r="F22" s="174"/>
      <c r="G22" s="174"/>
      <c r="H22" s="174"/>
      <c r="I22" s="174"/>
      <c r="J22" s="174"/>
      <c r="K22" s="174"/>
      <c r="L22" s="174"/>
      <c r="M22" s="174"/>
      <c r="N22" s="174"/>
      <c r="O22" s="174"/>
      <c r="P22" s="175"/>
      <c r="Q22" s="174"/>
      <c r="R22" s="174">
        <v>1</v>
      </c>
      <c r="S22" s="174"/>
      <c r="T22" s="174"/>
      <c r="U22" s="174"/>
      <c r="V22" s="174"/>
      <c r="W22" s="174"/>
      <c r="X22" s="174"/>
      <c r="Y22" s="174"/>
      <c r="Z22" s="174"/>
      <c r="AA22" s="174"/>
      <c r="AB22" s="174"/>
      <c r="AC22" s="174"/>
      <c r="AD22" s="174"/>
      <c r="AE22" s="174"/>
      <c r="AF22" s="174"/>
      <c r="AG22" s="174"/>
      <c r="AH22" t="str">
        <f>Calc!D22</f>
        <v>Not Active</v>
      </c>
      <c r="AJ22" t="str">
        <f t="shared" si="0"/>
        <v/>
      </c>
      <c r="AK22" t="str">
        <f t="shared" si="27"/>
        <v/>
      </c>
      <c r="AL22" t="str">
        <f t="shared" si="1"/>
        <v/>
      </c>
      <c r="AM22" t="str">
        <f t="shared" si="2"/>
        <v/>
      </c>
      <c r="AN22" t="str">
        <f t="shared" si="3"/>
        <v/>
      </c>
      <c r="AO22" t="str">
        <f t="shared" si="4"/>
        <v/>
      </c>
      <c r="AP22" t="str">
        <f t="shared" si="5"/>
        <v/>
      </c>
      <c r="AQ22" t="str">
        <f t="shared" si="6"/>
        <v/>
      </c>
      <c r="AR22" t="str">
        <f t="shared" si="7"/>
        <v/>
      </c>
      <c r="AS22" t="str">
        <f t="shared" si="8"/>
        <v/>
      </c>
      <c r="AT22" t="str">
        <f t="shared" si="9"/>
        <v/>
      </c>
      <c r="AU22" t="str">
        <f t="shared" si="10"/>
        <v/>
      </c>
      <c r="AV22" t="str">
        <f t="shared" si="10"/>
        <v/>
      </c>
      <c r="AW22" t="str">
        <f t="shared" si="11"/>
        <v/>
      </c>
      <c r="AX22" t="str">
        <f t="shared" si="12"/>
        <v/>
      </c>
      <c r="AY22" t="str">
        <f t="shared" si="13"/>
        <v/>
      </c>
      <c r="AZ22" t="str">
        <f t="shared" si="14"/>
        <v/>
      </c>
      <c r="BA22" t="str">
        <f t="shared" si="15"/>
        <v/>
      </c>
      <c r="BB22" t="str">
        <f t="shared" si="16"/>
        <v/>
      </c>
      <c r="BC22" t="str">
        <f t="shared" si="17"/>
        <v/>
      </c>
      <c r="BD22" t="str">
        <f t="shared" si="18"/>
        <v/>
      </c>
      <c r="BE22" t="str">
        <f t="shared" si="19"/>
        <v/>
      </c>
      <c r="BF22" t="str">
        <f t="shared" si="20"/>
        <v/>
      </c>
      <c r="BG22" t="str">
        <f t="shared" si="21"/>
        <v/>
      </c>
      <c r="BH22" t="str">
        <f t="shared" si="22"/>
        <v/>
      </c>
      <c r="BI22" t="str">
        <f t="shared" si="23"/>
        <v/>
      </c>
      <c r="BJ22" t="str">
        <f t="shared" si="24"/>
        <v/>
      </c>
      <c r="BK22" t="str">
        <f t="shared" si="25"/>
        <v/>
      </c>
      <c r="BL22" t="str">
        <f t="shared" si="26"/>
        <v/>
      </c>
      <c r="BM22">
        <f t="shared" si="28"/>
        <v>0</v>
      </c>
      <c r="BO22" s="137" t="str">
        <f t="shared" si="29"/>
        <v/>
      </c>
    </row>
    <row r="23" spans="3:67">
      <c r="C23" s="174" t="s">
        <v>111</v>
      </c>
      <c r="D23" s="171" t="s">
        <v>110</v>
      </c>
      <c r="E23" s="174"/>
      <c r="F23" s="174"/>
      <c r="G23" s="174"/>
      <c r="H23" s="174"/>
      <c r="I23" s="174"/>
      <c r="J23" s="174"/>
      <c r="K23" s="174"/>
      <c r="L23" s="174"/>
      <c r="M23" s="174"/>
      <c r="N23" s="174"/>
      <c r="O23" s="174"/>
      <c r="P23" s="174"/>
      <c r="Q23" s="175"/>
      <c r="R23" s="174"/>
      <c r="S23" s="174"/>
      <c r="T23" s="174"/>
      <c r="U23" s="174"/>
      <c r="V23" s="174"/>
      <c r="W23" s="174"/>
      <c r="X23" s="174"/>
      <c r="Y23" s="174"/>
      <c r="Z23" s="174"/>
      <c r="AA23" s="174"/>
      <c r="AB23" s="174"/>
      <c r="AC23" s="174"/>
      <c r="AD23" s="174"/>
      <c r="AE23" s="174"/>
      <c r="AF23" s="174"/>
      <c r="AG23" s="174"/>
      <c r="AH23" t="str">
        <f>Calc!D23</f>
        <v>Not Active</v>
      </c>
      <c r="AJ23" t="str">
        <f t="shared" ref="AJ23" si="30">IF($AH23="Not Active","",IF($D23=AJ$10,"",IF(INDEX($AH$11:$AH$39,MATCH(AJ$10,$D$11:$D$39,0),1)="Not Active","",IF(E23="","",$D23&amp;"|"&amp;$C23 &amp; " conflicts with "&amp;AJ$10&amp;"|"&amp;AJ$8&amp;CHAR(10)))))</f>
        <v/>
      </c>
      <c r="AK23" t="str">
        <f t="shared" ref="AK23" si="31">IF($AH23="Not Active","",IF($D23=AK$10,"",IF(INDEX($AH$11:$AH$39,MATCH(AK$10,$D$11:$D$39,0),1)="Not Active","",IF(F23="","",$D23&amp;"|"&amp;$C23 &amp; " conflicts with "&amp;AK$10&amp;"|"&amp;AK$8&amp;CHAR(10)))))</f>
        <v/>
      </c>
      <c r="AL23" t="str">
        <f t="shared" ref="AL23" si="32">IF($AH23="Not Active","",IF($D23=AL$10,"",IF(INDEX($AH$11:$AH$39,MATCH(AL$10,$D$11:$D$39,0),1)="Not Active","",IF(G23="","",$D23&amp;"|"&amp;$C23 &amp; " conflicts with "&amp;AL$10&amp;"|"&amp;AL$8&amp;CHAR(10)))))</f>
        <v/>
      </c>
      <c r="AM23" t="str">
        <f t="shared" ref="AM23" si="33">IF($AH23="Not Active","",IF($D23=AM$10,"",IF(INDEX($AH$11:$AH$39,MATCH(AM$10,$D$11:$D$39,0),1)="Not Active","",IF(H23="","",$D23&amp;"|"&amp;$C23 &amp; " conflicts with "&amp;AM$10&amp;"|"&amp;AM$8&amp;CHAR(10)))))</f>
        <v/>
      </c>
      <c r="AN23" t="str">
        <f t="shared" ref="AN23" si="34">IF($AH23="Not Active","",IF($D23=AN$10,"",IF(INDEX($AH$11:$AH$39,MATCH(AN$10,$D$11:$D$39,0),1)="Not Active","",IF(I23="","",$D23&amp;"|"&amp;$C23 &amp; " conflicts with "&amp;AN$10&amp;"|"&amp;AN$8&amp;CHAR(10)))))</f>
        <v/>
      </c>
      <c r="AO23" t="str">
        <f t="shared" ref="AO23" si="35">IF($AH23="Not Active","",IF($D23=AO$10,"",IF(INDEX($AH$11:$AH$39,MATCH(AO$10,$D$11:$D$39,0),1)="Not Active","",IF(J23="","",$D23&amp;"|"&amp;$C23 &amp; " conflicts with "&amp;AO$10&amp;"|"&amp;AO$8&amp;CHAR(10)))))</f>
        <v/>
      </c>
      <c r="AP23" t="str">
        <f t="shared" ref="AP23" si="36">IF($AH23="Not Active","",IF($D23=AP$10,"",IF(INDEX($AH$11:$AH$39,MATCH(AP$10,$D$11:$D$39,0),1)="Not Active","",IF(K23="","",$D23&amp;"|"&amp;$C23 &amp; " conflicts with "&amp;AP$10&amp;"|"&amp;AP$8&amp;CHAR(10)))))</f>
        <v/>
      </c>
      <c r="AQ23" t="str">
        <f t="shared" ref="AQ23" si="37">IF($AH23="Not Active","",IF($D23=AQ$10,"",IF(INDEX($AH$11:$AH$39,MATCH(AQ$10,$D$11:$D$39,0),1)="Not Active","",IF(L23="","",$D23&amp;"|"&amp;$C23 &amp; " conflicts with "&amp;AQ$10&amp;"|"&amp;AQ$8&amp;CHAR(10)))))</f>
        <v/>
      </c>
      <c r="AR23" t="str">
        <f t="shared" ref="AR23" si="38">IF($AH23="Not Active","",IF($D23=AR$10,"",IF(INDEX($AH$11:$AH$39,MATCH(AR$10,$D$11:$D$39,0),1)="Not Active","",IF(M23="","",$D23&amp;"|"&amp;$C23 &amp; " conflicts with "&amp;AR$10&amp;"|"&amp;AR$8&amp;CHAR(10)))))</f>
        <v/>
      </c>
      <c r="AS23" t="str">
        <f t="shared" ref="AS23" si="39">IF($AH23="Not Active","",IF($D23=AS$10,"",IF(INDEX($AH$11:$AH$39,MATCH(AS$10,$D$11:$D$39,0),1)="Not Active","",IF(N23="","",$D23&amp;"|"&amp;$C23 &amp; " conflicts with "&amp;AS$10&amp;"|"&amp;AS$8&amp;CHAR(10)))))</f>
        <v/>
      </c>
      <c r="AT23" t="str">
        <f t="shared" ref="AT23" si="40">IF($AH23="Not Active","",IF($D23=AT$10,"",IF(INDEX($AH$11:$AH$39,MATCH(AT$10,$D$11:$D$39,0),1)="Not Active","",IF(O23="","",$D23&amp;"|"&amp;$C23 &amp; " conflicts with "&amp;AT$10&amp;"|"&amp;AT$8&amp;CHAR(10)))))</f>
        <v/>
      </c>
      <c r="AU23" t="str">
        <f t="shared" ref="AU23" si="41">IF($AH23="Not Active","",IF($D23=AU$10,"",IF(INDEX($AH$11:$AH$39,MATCH(AU$10,$D$11:$D$39,0),1)="Not Active","",IF(P23="","",$D23&amp;"|"&amp;$C23 &amp; " conflicts with "&amp;AU$10&amp;"|"&amp;AU$8&amp;CHAR(10)))))</f>
        <v/>
      </c>
      <c r="AV23" t="str">
        <f t="shared" ref="AV23" si="42">IF($AH23="Not Active","",IF($D23=AV$10,"",IF(INDEX($AH$11:$AH$39,MATCH(AV$10,$D$11:$D$39,0),1)="Not Active","",IF(Q23="","",$D23&amp;"|"&amp;$C23 &amp; " conflicts with "&amp;AV$10&amp;"|"&amp;AV$8&amp;CHAR(10)))))</f>
        <v/>
      </c>
      <c r="AW23" t="str">
        <f t="shared" ref="AW23" si="43">IF($AH23="Not Active","",IF($D23=AW$10,"",IF(INDEX($AH$11:$AH$39,MATCH(AW$10,$D$11:$D$39,0),1)="Not Active","",IF(R23="","",$D23&amp;"|"&amp;$C23 &amp; " conflicts with "&amp;AW$10&amp;"|"&amp;AW$8&amp;CHAR(10)))))</f>
        <v/>
      </c>
      <c r="AX23" t="str">
        <f t="shared" ref="AX23" si="44">IF($AH23="Not Active","",IF($D23=AX$10,"",IF(INDEX($AH$11:$AH$39,MATCH(AX$10,$D$11:$D$39,0),1)="Not Active","",IF(S23="","",$D23&amp;"|"&amp;$C23 &amp; " conflicts with "&amp;AX$10&amp;"|"&amp;AX$8&amp;CHAR(10)))))</f>
        <v/>
      </c>
      <c r="AY23" t="str">
        <f t="shared" ref="AY23" si="45">IF($AH23="Not Active","",IF($D23=AY$10,"",IF(INDEX($AH$11:$AH$39,MATCH(AY$10,$D$11:$D$39,0),1)="Not Active","",IF(T23="","",$D23&amp;"|"&amp;$C23 &amp; " conflicts with "&amp;AY$10&amp;"|"&amp;AY$8&amp;CHAR(10)))))</f>
        <v/>
      </c>
      <c r="AZ23" t="str">
        <f t="shared" ref="AZ23" si="46">IF($AH23="Not Active","",IF($D23=AZ$10,"",IF(INDEX($AH$11:$AH$39,MATCH(AZ$10,$D$11:$D$39,0),1)="Not Active","",IF(U23="","",$D23&amp;"|"&amp;$C23 &amp; " conflicts with "&amp;AZ$10&amp;"|"&amp;AZ$8&amp;CHAR(10)))))</f>
        <v/>
      </c>
      <c r="BA23" t="str">
        <f t="shared" ref="BA23" si="47">IF($AH23="Not Active","",IF($D23=BA$10,"",IF(INDEX($AH$11:$AH$39,MATCH(BA$10,$D$11:$D$39,0),1)="Not Active","",IF(V23="","",$D23&amp;"|"&amp;$C23 &amp; " conflicts with "&amp;BA$10&amp;"|"&amp;BA$8&amp;CHAR(10)))))</f>
        <v/>
      </c>
      <c r="BB23" t="str">
        <f t="shared" ref="BB23" si="48">IF($AH23="Not Active","",IF($D23=BB$10,"",IF(INDEX($AH$11:$AH$39,MATCH(BB$10,$D$11:$D$39,0),1)="Not Active","",IF(W23="","",$D23&amp;"|"&amp;$C23 &amp; " conflicts with "&amp;BB$10&amp;"|"&amp;BB$8&amp;CHAR(10)))))</f>
        <v/>
      </c>
      <c r="BC23" t="str">
        <f t="shared" ref="BC23" si="49">IF($AH23="Not Active","",IF($D23=BC$10,"",IF(INDEX($AH$11:$AH$39,MATCH(BC$10,$D$11:$D$39,0),1)="Not Active","",IF(X23="","",$D23&amp;"|"&amp;$C23 &amp; " conflicts with "&amp;BC$10&amp;"|"&amp;BC$8&amp;CHAR(10)))))</f>
        <v/>
      </c>
      <c r="BD23" t="str">
        <f t="shared" ref="BD23" si="50">IF($AH23="Not Active","",IF($D23=BD$10,"",IF(INDEX($AH$11:$AH$39,MATCH(BD$10,$D$11:$D$39,0),1)="Not Active","",IF(Y23="","",$D23&amp;"|"&amp;$C23 &amp; " conflicts with "&amp;BD$10&amp;"|"&amp;BD$8&amp;CHAR(10)))))</f>
        <v/>
      </c>
      <c r="BE23" t="str">
        <f t="shared" ref="BE23" si="51">IF($AH23="Not Active","",IF($D23=BE$10,"",IF(INDEX($AH$11:$AH$39,MATCH(BE$10,$D$11:$D$39,0),1)="Not Active","",IF(Z23="","",$D23&amp;"|"&amp;$C23 &amp; " conflicts with "&amp;BE$10&amp;"|"&amp;BE$8&amp;CHAR(10)))))</f>
        <v/>
      </c>
      <c r="BF23" t="str">
        <f t="shared" ref="BF23" si="52">IF($AH23="Not Active","",IF($D23=BF$10,"",IF(INDEX($AH$11:$AH$39,MATCH(BF$10,$D$11:$D$39,0),1)="Not Active","",IF(AA23="","",$D23&amp;"|"&amp;$C23 &amp; " conflicts with "&amp;BF$10&amp;"|"&amp;BF$8&amp;CHAR(10)))))</f>
        <v/>
      </c>
      <c r="BG23" t="str">
        <f t="shared" ref="BG23" si="53">IF($AH23="Not Active","",IF($D23=BG$10,"",IF(INDEX($AH$11:$AH$39,MATCH(BG$10,$D$11:$D$39,0),1)="Not Active","",IF(AB23="","",$D23&amp;"|"&amp;$C23 &amp; " conflicts with "&amp;BG$10&amp;"|"&amp;BG$8&amp;CHAR(10)))))</f>
        <v/>
      </c>
      <c r="BH23" t="str">
        <f t="shared" ref="BH23" si="54">IF($AH23="Not Active","",IF($D23=BH$10,"",IF(INDEX($AH$11:$AH$39,MATCH(BH$10,$D$11:$D$39,0),1)="Not Active","",IF(AC23="","",$D23&amp;"|"&amp;$C23 &amp; " conflicts with "&amp;BH$10&amp;"|"&amp;BH$8&amp;CHAR(10)))))</f>
        <v/>
      </c>
      <c r="BI23" t="str">
        <f t="shared" ref="BI23" si="55">IF($AH23="Not Active","",IF($D23=BI$10,"",IF(INDEX($AH$11:$AH$39,MATCH(BI$10,$D$11:$D$39,0),1)="Not Active","",IF(AD23="","",$D23&amp;"|"&amp;$C23 &amp; " conflicts with "&amp;BI$10&amp;"|"&amp;BI$8&amp;CHAR(10)))))</f>
        <v/>
      </c>
      <c r="BJ23" t="str">
        <f t="shared" ref="BJ23" si="56">IF($AH23="Not Active","",IF($D23=BJ$10,"",IF(INDEX($AH$11:$AH$39,MATCH(BJ$10,$D$11:$D$39,0),1)="Not Active","",IF(AE23="","",$D23&amp;"|"&amp;$C23 &amp; " conflicts with "&amp;BJ$10&amp;"|"&amp;BJ$8&amp;CHAR(10)))))</f>
        <v/>
      </c>
      <c r="BK23" t="str">
        <f t="shared" ref="BK23" si="57">IF($AH23="Not Active","",IF($D23=BK$10,"",IF(INDEX($AH$11:$AH$39,MATCH(BK$10,$D$11:$D$39,0),1)="Not Active","",IF(AF23="","",$D23&amp;"|"&amp;$C23 &amp; " conflicts with "&amp;BK$10&amp;"|"&amp;BK$8&amp;CHAR(10)))))</f>
        <v/>
      </c>
      <c r="BL23" t="str">
        <f t="shared" ref="BL23" si="58">IF($AH23="Not Active","",IF($D23=BL$10,"",IF(INDEX($AH$11:$AH$39,MATCH(BL$10,$D$11:$D$39,0),1)="Not Active","",IF(AG23="","",$D23&amp;"|"&amp;$C23 &amp; " conflicts with "&amp;BL$10&amp;"|"&amp;BL$8&amp;CHAR(10)))))</f>
        <v/>
      </c>
      <c r="BM23">
        <f t="shared" si="28"/>
        <v>0</v>
      </c>
      <c r="BO23" s="137" t="str">
        <f t="shared" si="29"/>
        <v/>
      </c>
    </row>
    <row r="24" spans="3:67">
      <c r="C24" s="174" t="s">
        <v>114</v>
      </c>
      <c r="D24" s="171" t="s">
        <v>113</v>
      </c>
      <c r="E24" s="174"/>
      <c r="F24" s="174"/>
      <c r="G24" s="174"/>
      <c r="H24" s="174"/>
      <c r="I24" s="174"/>
      <c r="J24" s="174"/>
      <c r="K24" s="174"/>
      <c r="L24" s="174"/>
      <c r="M24" s="174"/>
      <c r="N24" s="174"/>
      <c r="O24" s="174"/>
      <c r="P24" s="174">
        <v>1</v>
      </c>
      <c r="Q24" s="174"/>
      <c r="R24" s="175"/>
      <c r="S24" s="174"/>
      <c r="T24" s="174"/>
      <c r="U24" s="174"/>
      <c r="V24" s="174"/>
      <c r="W24" s="174"/>
      <c r="X24" s="174"/>
      <c r="Y24" s="174"/>
      <c r="Z24" s="174"/>
      <c r="AA24" s="174"/>
      <c r="AB24" s="174"/>
      <c r="AC24" s="174"/>
      <c r="AD24" s="174"/>
      <c r="AE24" s="174"/>
      <c r="AF24" s="174"/>
      <c r="AG24" s="174"/>
      <c r="AH24" t="str">
        <f>Calc!D24</f>
        <v>Not Active</v>
      </c>
      <c r="AJ24" t="str">
        <f t="shared" si="0"/>
        <v/>
      </c>
      <c r="AK24" t="str">
        <f t="shared" si="27"/>
        <v/>
      </c>
      <c r="AL24" t="str">
        <f t="shared" si="1"/>
        <v/>
      </c>
      <c r="AM24" t="str">
        <f t="shared" si="2"/>
        <v/>
      </c>
      <c r="AN24" t="str">
        <f t="shared" si="3"/>
        <v/>
      </c>
      <c r="AO24" t="str">
        <f t="shared" si="4"/>
        <v/>
      </c>
      <c r="AP24" t="str">
        <f t="shared" si="5"/>
        <v/>
      </c>
      <c r="AQ24" t="str">
        <f t="shared" si="6"/>
        <v/>
      </c>
      <c r="AR24" t="str">
        <f t="shared" si="7"/>
        <v/>
      </c>
      <c r="AS24" t="str">
        <f t="shared" si="8"/>
        <v/>
      </c>
      <c r="AT24" t="str">
        <f t="shared" si="9"/>
        <v/>
      </c>
      <c r="AU24" t="str">
        <f t="shared" si="10"/>
        <v/>
      </c>
      <c r="AV24" t="str">
        <f t="shared" si="10"/>
        <v/>
      </c>
      <c r="AW24" t="str">
        <f t="shared" si="11"/>
        <v/>
      </c>
      <c r="AX24" t="str">
        <f t="shared" si="12"/>
        <v/>
      </c>
      <c r="AY24" t="str">
        <f t="shared" si="13"/>
        <v/>
      </c>
      <c r="AZ24" t="str">
        <f t="shared" si="14"/>
        <v/>
      </c>
      <c r="BA24" t="str">
        <f t="shared" si="15"/>
        <v/>
      </c>
      <c r="BB24" t="str">
        <f t="shared" si="16"/>
        <v/>
      </c>
      <c r="BC24" t="str">
        <f t="shared" si="17"/>
        <v/>
      </c>
      <c r="BD24" t="str">
        <f t="shared" si="18"/>
        <v/>
      </c>
      <c r="BE24" t="str">
        <f t="shared" si="19"/>
        <v/>
      </c>
      <c r="BF24" t="str">
        <f t="shared" si="20"/>
        <v/>
      </c>
      <c r="BG24" t="str">
        <f t="shared" si="21"/>
        <v/>
      </c>
      <c r="BH24" t="str">
        <f t="shared" si="22"/>
        <v/>
      </c>
      <c r="BI24" t="str">
        <f t="shared" si="23"/>
        <v/>
      </c>
      <c r="BJ24" t="str">
        <f t="shared" si="24"/>
        <v/>
      </c>
      <c r="BK24" t="str">
        <f t="shared" si="25"/>
        <v/>
      </c>
      <c r="BL24" t="str">
        <f t="shared" si="26"/>
        <v/>
      </c>
      <c r="BM24">
        <f t="shared" si="28"/>
        <v>0</v>
      </c>
      <c r="BO24" s="137" t="str">
        <f t="shared" si="29"/>
        <v/>
      </c>
    </row>
    <row r="25" spans="3:67">
      <c r="C25" s="174" t="s">
        <v>116</v>
      </c>
      <c r="D25" s="171" t="s">
        <v>115</v>
      </c>
      <c r="E25" s="174"/>
      <c r="F25" s="174"/>
      <c r="G25" s="174"/>
      <c r="H25" s="174"/>
      <c r="I25" s="174"/>
      <c r="J25" s="174"/>
      <c r="K25" s="174"/>
      <c r="L25" s="174"/>
      <c r="M25" s="174"/>
      <c r="N25" s="174"/>
      <c r="O25" s="174"/>
      <c r="P25" s="174"/>
      <c r="Q25" s="174"/>
      <c r="R25" s="174"/>
      <c r="S25" s="175"/>
      <c r="T25" s="174"/>
      <c r="U25" s="174"/>
      <c r="V25" s="174"/>
      <c r="W25" s="174"/>
      <c r="X25" s="174"/>
      <c r="Y25" s="174"/>
      <c r="Z25" s="174"/>
      <c r="AA25" s="174"/>
      <c r="AB25" s="174"/>
      <c r="AC25" s="174"/>
      <c r="AD25" s="174"/>
      <c r="AE25" s="174"/>
      <c r="AF25" s="174"/>
      <c r="AG25" s="174"/>
      <c r="AH25" t="str">
        <f>Calc!D25</f>
        <v>Not Active</v>
      </c>
      <c r="AJ25" t="str">
        <f t="shared" si="0"/>
        <v/>
      </c>
      <c r="AK25" t="str">
        <f t="shared" si="27"/>
        <v/>
      </c>
      <c r="AL25" t="str">
        <f t="shared" si="1"/>
        <v/>
      </c>
      <c r="AM25" t="str">
        <f t="shared" si="2"/>
        <v/>
      </c>
      <c r="AN25" t="str">
        <f t="shared" si="3"/>
        <v/>
      </c>
      <c r="AO25" t="str">
        <f t="shared" si="4"/>
        <v/>
      </c>
      <c r="AP25" t="str">
        <f t="shared" si="5"/>
        <v/>
      </c>
      <c r="AQ25" t="str">
        <f t="shared" si="6"/>
        <v/>
      </c>
      <c r="AR25" t="str">
        <f t="shared" si="7"/>
        <v/>
      </c>
      <c r="AS25" t="str">
        <f t="shared" si="8"/>
        <v/>
      </c>
      <c r="AT25" t="str">
        <f t="shared" si="9"/>
        <v/>
      </c>
      <c r="AU25" t="str">
        <f t="shared" si="10"/>
        <v/>
      </c>
      <c r="AV25" t="str">
        <f t="shared" si="10"/>
        <v/>
      </c>
      <c r="AW25" t="str">
        <f t="shared" si="11"/>
        <v/>
      </c>
      <c r="AX25" t="str">
        <f t="shared" si="12"/>
        <v/>
      </c>
      <c r="AY25" t="str">
        <f t="shared" si="13"/>
        <v/>
      </c>
      <c r="AZ25" t="str">
        <f t="shared" si="14"/>
        <v/>
      </c>
      <c r="BA25" t="str">
        <f t="shared" si="15"/>
        <v/>
      </c>
      <c r="BB25" t="str">
        <f t="shared" si="16"/>
        <v/>
      </c>
      <c r="BC25" t="str">
        <f t="shared" si="17"/>
        <v/>
      </c>
      <c r="BD25" t="str">
        <f t="shared" si="18"/>
        <v/>
      </c>
      <c r="BE25" t="str">
        <f t="shared" si="19"/>
        <v/>
      </c>
      <c r="BF25" t="str">
        <f t="shared" si="20"/>
        <v/>
      </c>
      <c r="BG25" t="str">
        <f t="shared" si="21"/>
        <v/>
      </c>
      <c r="BH25" t="str">
        <f t="shared" si="22"/>
        <v/>
      </c>
      <c r="BI25" t="str">
        <f t="shared" si="23"/>
        <v/>
      </c>
      <c r="BJ25" t="str">
        <f t="shared" si="24"/>
        <v/>
      </c>
      <c r="BK25" t="str">
        <f t="shared" si="25"/>
        <v/>
      </c>
      <c r="BL25" t="str">
        <f t="shared" si="26"/>
        <v/>
      </c>
      <c r="BM25">
        <f t="shared" si="28"/>
        <v>0</v>
      </c>
      <c r="BO25" s="137" t="str">
        <f t="shared" si="29"/>
        <v/>
      </c>
    </row>
    <row r="26" spans="3:67">
      <c r="C26" s="174" t="s">
        <v>57</v>
      </c>
      <c r="D26" s="171" t="s">
        <v>56</v>
      </c>
      <c r="E26" s="174"/>
      <c r="F26" s="174"/>
      <c r="G26" s="174"/>
      <c r="H26" s="174"/>
      <c r="I26" s="174"/>
      <c r="J26" s="174"/>
      <c r="K26" s="174"/>
      <c r="L26" s="174"/>
      <c r="M26" s="174"/>
      <c r="N26" s="174"/>
      <c r="O26" s="174"/>
      <c r="P26" s="174"/>
      <c r="Q26" s="174"/>
      <c r="R26" s="174"/>
      <c r="S26" s="174"/>
      <c r="T26" s="175"/>
      <c r="U26" s="174"/>
      <c r="V26" s="174"/>
      <c r="W26" s="174"/>
      <c r="X26" s="174"/>
      <c r="Y26" s="174"/>
      <c r="Z26" s="174"/>
      <c r="AA26" s="174"/>
      <c r="AB26" s="174"/>
      <c r="AC26" s="174"/>
      <c r="AD26" s="174"/>
      <c r="AE26" s="174"/>
      <c r="AF26" s="174"/>
      <c r="AG26" s="174"/>
      <c r="AH26" t="str">
        <f>Calc!D27</f>
        <v>Not Active</v>
      </c>
      <c r="AJ26" t="str">
        <f t="shared" si="0"/>
        <v/>
      </c>
      <c r="AK26" t="str">
        <f t="shared" si="27"/>
        <v/>
      </c>
      <c r="AL26" t="str">
        <f t="shared" si="1"/>
        <v/>
      </c>
      <c r="AM26" t="str">
        <f t="shared" si="2"/>
        <v/>
      </c>
      <c r="AN26" t="str">
        <f t="shared" si="3"/>
        <v/>
      </c>
      <c r="AO26" t="str">
        <f t="shared" si="4"/>
        <v/>
      </c>
      <c r="AP26" t="str">
        <f t="shared" si="5"/>
        <v/>
      </c>
      <c r="AQ26" t="str">
        <f t="shared" si="6"/>
        <v/>
      </c>
      <c r="AR26" t="str">
        <f t="shared" si="7"/>
        <v/>
      </c>
      <c r="AS26" t="str">
        <f t="shared" si="8"/>
        <v/>
      </c>
      <c r="AT26" t="str">
        <f t="shared" si="9"/>
        <v/>
      </c>
      <c r="AU26" t="str">
        <f t="shared" si="10"/>
        <v/>
      </c>
      <c r="AV26" t="str">
        <f t="shared" si="10"/>
        <v/>
      </c>
      <c r="AW26" t="str">
        <f t="shared" si="11"/>
        <v/>
      </c>
      <c r="AX26" t="str">
        <f t="shared" si="12"/>
        <v/>
      </c>
      <c r="AY26" t="str">
        <f t="shared" si="13"/>
        <v/>
      </c>
      <c r="AZ26" t="str">
        <f t="shared" si="14"/>
        <v/>
      </c>
      <c r="BA26" t="str">
        <f t="shared" si="15"/>
        <v/>
      </c>
      <c r="BB26" t="str">
        <f t="shared" si="16"/>
        <v/>
      </c>
      <c r="BC26" t="str">
        <f t="shared" si="17"/>
        <v/>
      </c>
      <c r="BD26" t="str">
        <f t="shared" si="18"/>
        <v/>
      </c>
      <c r="BE26" t="str">
        <f t="shared" si="19"/>
        <v/>
      </c>
      <c r="BF26" t="str">
        <f t="shared" si="20"/>
        <v/>
      </c>
      <c r="BG26" t="str">
        <f t="shared" si="21"/>
        <v/>
      </c>
      <c r="BH26" t="str">
        <f t="shared" si="22"/>
        <v/>
      </c>
      <c r="BI26" t="str">
        <f t="shared" si="23"/>
        <v/>
      </c>
      <c r="BJ26" t="str">
        <f t="shared" si="24"/>
        <v/>
      </c>
      <c r="BK26" t="str">
        <f t="shared" si="25"/>
        <v/>
      </c>
      <c r="BL26" t="str">
        <f t="shared" si="26"/>
        <v/>
      </c>
      <c r="BM26">
        <f t="shared" si="28"/>
        <v>0</v>
      </c>
      <c r="BO26" s="137" t="str">
        <f t="shared" si="29"/>
        <v/>
      </c>
    </row>
    <row r="27" spans="3:67">
      <c r="C27" s="174" t="s">
        <v>61</v>
      </c>
      <c r="D27" s="171" t="s">
        <v>60</v>
      </c>
      <c r="E27" s="174"/>
      <c r="F27" s="174"/>
      <c r="G27" s="174"/>
      <c r="H27" s="174"/>
      <c r="I27" s="174"/>
      <c r="J27" s="174"/>
      <c r="K27" s="174"/>
      <c r="L27" s="174"/>
      <c r="M27" s="174"/>
      <c r="N27" s="174"/>
      <c r="O27" s="174"/>
      <c r="P27" s="174"/>
      <c r="Q27" s="174"/>
      <c r="R27" s="174"/>
      <c r="S27" s="174"/>
      <c r="T27" s="174"/>
      <c r="U27" s="175"/>
      <c r="V27" s="174"/>
      <c r="W27" s="174"/>
      <c r="X27" s="174"/>
      <c r="Y27" s="174"/>
      <c r="Z27" s="174"/>
      <c r="AA27" s="174"/>
      <c r="AB27" s="174"/>
      <c r="AC27" s="174"/>
      <c r="AD27" s="174"/>
      <c r="AE27" s="174"/>
      <c r="AF27" s="174"/>
      <c r="AG27" s="174"/>
      <c r="AH27" t="str">
        <f>Calc!D28</f>
        <v>Not Active</v>
      </c>
      <c r="AJ27" t="str">
        <f t="shared" si="0"/>
        <v/>
      </c>
      <c r="AK27" t="str">
        <f t="shared" si="27"/>
        <v/>
      </c>
      <c r="AL27" t="str">
        <f t="shared" si="1"/>
        <v/>
      </c>
      <c r="AM27" t="str">
        <f t="shared" si="2"/>
        <v/>
      </c>
      <c r="AN27" t="str">
        <f t="shared" si="3"/>
        <v/>
      </c>
      <c r="AO27" t="str">
        <f t="shared" si="4"/>
        <v/>
      </c>
      <c r="AP27" t="str">
        <f t="shared" si="5"/>
        <v/>
      </c>
      <c r="AQ27" t="str">
        <f t="shared" si="6"/>
        <v/>
      </c>
      <c r="AR27" t="str">
        <f t="shared" si="7"/>
        <v/>
      </c>
      <c r="AS27" t="str">
        <f t="shared" si="8"/>
        <v/>
      </c>
      <c r="AT27" t="str">
        <f t="shared" si="9"/>
        <v/>
      </c>
      <c r="AU27" t="str">
        <f t="shared" si="10"/>
        <v/>
      </c>
      <c r="AV27" t="str">
        <f t="shared" si="10"/>
        <v/>
      </c>
      <c r="AW27" t="str">
        <f t="shared" si="11"/>
        <v/>
      </c>
      <c r="AX27" t="str">
        <f t="shared" si="12"/>
        <v/>
      </c>
      <c r="AY27" t="str">
        <f t="shared" si="13"/>
        <v/>
      </c>
      <c r="AZ27" t="str">
        <f t="shared" si="14"/>
        <v/>
      </c>
      <c r="BA27" t="str">
        <f t="shared" si="15"/>
        <v/>
      </c>
      <c r="BB27" t="str">
        <f t="shared" si="16"/>
        <v/>
      </c>
      <c r="BC27" t="str">
        <f t="shared" si="17"/>
        <v/>
      </c>
      <c r="BD27" t="str">
        <f t="shared" si="18"/>
        <v/>
      </c>
      <c r="BE27" t="str">
        <f t="shared" si="19"/>
        <v/>
      </c>
      <c r="BF27" t="str">
        <f t="shared" si="20"/>
        <v/>
      </c>
      <c r="BG27" t="str">
        <f t="shared" si="21"/>
        <v/>
      </c>
      <c r="BH27" t="str">
        <f t="shared" si="22"/>
        <v/>
      </c>
      <c r="BI27" t="str">
        <f t="shared" si="23"/>
        <v/>
      </c>
      <c r="BJ27" t="str">
        <f t="shared" si="24"/>
        <v/>
      </c>
      <c r="BK27" t="str">
        <f t="shared" si="25"/>
        <v/>
      </c>
      <c r="BL27" t="str">
        <f t="shared" si="26"/>
        <v/>
      </c>
      <c r="BM27">
        <f t="shared" si="28"/>
        <v>0</v>
      </c>
      <c r="BO27" s="137" t="str">
        <f t="shared" si="29"/>
        <v/>
      </c>
    </row>
    <row r="28" spans="3:67">
      <c r="C28" s="174" t="s">
        <v>65</v>
      </c>
      <c r="D28" s="171" t="s">
        <v>64</v>
      </c>
      <c r="E28" s="174"/>
      <c r="F28" s="174"/>
      <c r="G28" s="174"/>
      <c r="H28" s="174"/>
      <c r="I28" s="174"/>
      <c r="J28" s="174"/>
      <c r="K28" s="174"/>
      <c r="L28" s="174"/>
      <c r="M28" s="174"/>
      <c r="N28" s="174"/>
      <c r="O28" s="174"/>
      <c r="P28" s="174"/>
      <c r="Q28" s="174"/>
      <c r="R28" s="174"/>
      <c r="S28" s="174"/>
      <c r="T28" s="174"/>
      <c r="U28" s="174"/>
      <c r="V28" s="175"/>
      <c r="W28" s="174"/>
      <c r="X28" s="174"/>
      <c r="Y28" s="174"/>
      <c r="Z28" s="174"/>
      <c r="AA28" s="174"/>
      <c r="AB28" s="174"/>
      <c r="AC28" s="174"/>
      <c r="AD28" s="174"/>
      <c r="AE28" s="174"/>
      <c r="AF28" s="174"/>
      <c r="AG28" s="174"/>
      <c r="AH28" t="str">
        <f>Calc!D29</f>
        <v>Not Active</v>
      </c>
      <c r="AJ28" t="str">
        <f t="shared" si="0"/>
        <v/>
      </c>
      <c r="AK28" t="str">
        <f t="shared" si="27"/>
        <v/>
      </c>
      <c r="AL28" t="str">
        <f t="shared" si="1"/>
        <v/>
      </c>
      <c r="AM28" t="str">
        <f t="shared" si="2"/>
        <v/>
      </c>
      <c r="AN28" t="str">
        <f t="shared" si="3"/>
        <v/>
      </c>
      <c r="AO28" t="str">
        <f t="shared" si="4"/>
        <v/>
      </c>
      <c r="AP28" t="str">
        <f t="shared" si="5"/>
        <v/>
      </c>
      <c r="AQ28" t="str">
        <f t="shared" si="6"/>
        <v/>
      </c>
      <c r="AR28" t="str">
        <f t="shared" si="7"/>
        <v/>
      </c>
      <c r="AS28" t="str">
        <f t="shared" si="8"/>
        <v/>
      </c>
      <c r="AT28" t="str">
        <f t="shared" si="9"/>
        <v/>
      </c>
      <c r="AU28" t="str">
        <f t="shared" si="10"/>
        <v/>
      </c>
      <c r="AV28" t="str">
        <f t="shared" si="10"/>
        <v/>
      </c>
      <c r="AW28" t="str">
        <f t="shared" si="11"/>
        <v/>
      </c>
      <c r="AX28" t="str">
        <f t="shared" si="12"/>
        <v/>
      </c>
      <c r="AY28" t="str">
        <f t="shared" si="13"/>
        <v/>
      </c>
      <c r="AZ28" t="str">
        <f t="shared" si="14"/>
        <v/>
      </c>
      <c r="BA28" t="str">
        <f t="shared" si="15"/>
        <v/>
      </c>
      <c r="BB28" t="str">
        <f t="shared" si="16"/>
        <v/>
      </c>
      <c r="BC28" t="str">
        <f t="shared" si="17"/>
        <v/>
      </c>
      <c r="BD28" t="str">
        <f t="shared" si="18"/>
        <v/>
      </c>
      <c r="BE28" t="str">
        <f t="shared" si="19"/>
        <v/>
      </c>
      <c r="BF28" t="str">
        <f t="shared" si="20"/>
        <v/>
      </c>
      <c r="BG28" t="str">
        <f t="shared" si="21"/>
        <v/>
      </c>
      <c r="BH28" t="str">
        <f t="shared" si="22"/>
        <v/>
      </c>
      <c r="BI28" t="str">
        <f t="shared" si="23"/>
        <v/>
      </c>
      <c r="BJ28" t="str">
        <f t="shared" si="24"/>
        <v/>
      </c>
      <c r="BK28" t="str">
        <f t="shared" si="25"/>
        <v/>
      </c>
      <c r="BL28" t="str">
        <f t="shared" si="26"/>
        <v/>
      </c>
      <c r="BM28">
        <f t="shared" si="28"/>
        <v>0</v>
      </c>
      <c r="BO28" s="137" t="str">
        <f t="shared" si="29"/>
        <v/>
      </c>
    </row>
    <row r="29" spans="3:67">
      <c r="C29" s="174" t="s">
        <v>69</v>
      </c>
      <c r="D29" s="171" t="s">
        <v>68</v>
      </c>
      <c r="E29" s="174"/>
      <c r="F29" s="174"/>
      <c r="G29" s="174"/>
      <c r="H29" s="174"/>
      <c r="I29" s="174"/>
      <c r="J29" s="174"/>
      <c r="K29" s="174"/>
      <c r="L29" s="174"/>
      <c r="M29" s="174"/>
      <c r="N29" s="174"/>
      <c r="O29" s="174"/>
      <c r="P29" s="174"/>
      <c r="Q29" s="174"/>
      <c r="R29" s="174"/>
      <c r="S29" s="174"/>
      <c r="T29" s="174"/>
      <c r="U29" s="174"/>
      <c r="V29" s="174"/>
      <c r="W29" s="175"/>
      <c r="X29" s="174"/>
      <c r="Y29" s="174"/>
      <c r="Z29" s="174"/>
      <c r="AA29" s="174"/>
      <c r="AB29" s="174"/>
      <c r="AC29" s="174"/>
      <c r="AD29" s="174"/>
      <c r="AE29" s="174"/>
      <c r="AF29" s="174"/>
      <c r="AG29" s="174"/>
      <c r="AH29" t="str">
        <f>Calc!D30</f>
        <v>Not Active</v>
      </c>
      <c r="AJ29" t="str">
        <f t="shared" si="0"/>
        <v/>
      </c>
      <c r="AK29" t="str">
        <f t="shared" si="27"/>
        <v/>
      </c>
      <c r="AL29" t="str">
        <f t="shared" si="1"/>
        <v/>
      </c>
      <c r="AM29" t="str">
        <f t="shared" si="2"/>
        <v/>
      </c>
      <c r="AN29" t="str">
        <f t="shared" si="3"/>
        <v/>
      </c>
      <c r="AO29" t="str">
        <f t="shared" si="4"/>
        <v/>
      </c>
      <c r="AP29" t="str">
        <f t="shared" si="5"/>
        <v/>
      </c>
      <c r="AQ29" t="str">
        <f t="shared" si="6"/>
        <v/>
      </c>
      <c r="AR29" t="str">
        <f t="shared" si="7"/>
        <v/>
      </c>
      <c r="AS29" t="str">
        <f t="shared" si="8"/>
        <v/>
      </c>
      <c r="AT29" t="str">
        <f t="shared" si="9"/>
        <v/>
      </c>
      <c r="AU29" t="str">
        <f t="shared" si="10"/>
        <v/>
      </c>
      <c r="AV29" t="str">
        <f t="shared" si="10"/>
        <v/>
      </c>
      <c r="AW29" t="str">
        <f t="shared" si="11"/>
        <v/>
      </c>
      <c r="AX29" t="str">
        <f t="shared" si="12"/>
        <v/>
      </c>
      <c r="AY29" t="str">
        <f t="shared" si="13"/>
        <v/>
      </c>
      <c r="AZ29" t="str">
        <f t="shared" si="14"/>
        <v/>
      </c>
      <c r="BA29" t="str">
        <f t="shared" si="15"/>
        <v/>
      </c>
      <c r="BB29" t="str">
        <f t="shared" si="16"/>
        <v/>
      </c>
      <c r="BC29" t="str">
        <f t="shared" si="17"/>
        <v/>
      </c>
      <c r="BD29" t="str">
        <f t="shared" si="18"/>
        <v/>
      </c>
      <c r="BE29" t="str">
        <f t="shared" si="19"/>
        <v/>
      </c>
      <c r="BF29" t="str">
        <f t="shared" si="20"/>
        <v/>
      </c>
      <c r="BG29" t="str">
        <f t="shared" si="21"/>
        <v/>
      </c>
      <c r="BH29" t="str">
        <f t="shared" si="22"/>
        <v/>
      </c>
      <c r="BI29" t="str">
        <f t="shared" si="23"/>
        <v/>
      </c>
      <c r="BJ29" t="str">
        <f t="shared" si="24"/>
        <v/>
      </c>
      <c r="BK29" t="str">
        <f t="shared" si="25"/>
        <v/>
      </c>
      <c r="BL29" t="str">
        <f t="shared" si="26"/>
        <v/>
      </c>
      <c r="BM29">
        <f t="shared" si="28"/>
        <v>0</v>
      </c>
      <c r="BO29" s="137" t="str">
        <f t="shared" si="29"/>
        <v/>
      </c>
    </row>
    <row r="30" spans="3:67">
      <c r="C30" s="174" t="s">
        <v>73</v>
      </c>
      <c r="D30" s="171" t="s">
        <v>72</v>
      </c>
      <c r="E30" s="174"/>
      <c r="F30" s="174"/>
      <c r="G30" s="174"/>
      <c r="H30" s="174"/>
      <c r="I30" s="174"/>
      <c r="J30" s="174"/>
      <c r="K30" s="174"/>
      <c r="L30" s="174"/>
      <c r="M30" s="174"/>
      <c r="N30" s="174"/>
      <c r="O30" s="174"/>
      <c r="P30" s="174"/>
      <c r="Q30" s="174"/>
      <c r="R30" s="174"/>
      <c r="S30" s="174"/>
      <c r="T30" s="174"/>
      <c r="U30" s="174"/>
      <c r="V30" s="174"/>
      <c r="W30" s="174"/>
      <c r="X30" s="175"/>
      <c r="Y30" s="174"/>
      <c r="Z30" s="174"/>
      <c r="AA30" s="174"/>
      <c r="AB30" s="174"/>
      <c r="AC30" s="174"/>
      <c r="AD30" s="174"/>
      <c r="AE30" s="174"/>
      <c r="AF30" s="174"/>
      <c r="AG30" s="174"/>
      <c r="AH30" t="str">
        <f>Calc!D31</f>
        <v>Not Active</v>
      </c>
      <c r="AJ30" t="str">
        <f t="shared" si="0"/>
        <v/>
      </c>
      <c r="AK30" t="str">
        <f t="shared" si="27"/>
        <v/>
      </c>
      <c r="AL30" t="str">
        <f t="shared" si="1"/>
        <v/>
      </c>
      <c r="AM30" t="str">
        <f t="shared" si="2"/>
        <v/>
      </c>
      <c r="AN30" t="str">
        <f t="shared" si="3"/>
        <v/>
      </c>
      <c r="AO30" t="str">
        <f t="shared" si="4"/>
        <v/>
      </c>
      <c r="AP30" t="str">
        <f t="shared" si="5"/>
        <v/>
      </c>
      <c r="AQ30" t="str">
        <f t="shared" si="6"/>
        <v/>
      </c>
      <c r="AR30" t="str">
        <f t="shared" si="7"/>
        <v/>
      </c>
      <c r="AS30" t="str">
        <f t="shared" si="8"/>
        <v/>
      </c>
      <c r="AT30" t="str">
        <f t="shared" si="9"/>
        <v/>
      </c>
      <c r="AU30" t="str">
        <f t="shared" si="10"/>
        <v/>
      </c>
      <c r="AV30" t="str">
        <f t="shared" si="10"/>
        <v/>
      </c>
      <c r="AW30" t="str">
        <f t="shared" si="11"/>
        <v/>
      </c>
      <c r="AX30" t="str">
        <f t="shared" si="12"/>
        <v/>
      </c>
      <c r="AY30" t="str">
        <f t="shared" si="13"/>
        <v/>
      </c>
      <c r="AZ30" t="str">
        <f t="shared" si="14"/>
        <v/>
      </c>
      <c r="BA30" t="str">
        <f t="shared" si="15"/>
        <v/>
      </c>
      <c r="BB30" t="str">
        <f t="shared" si="16"/>
        <v/>
      </c>
      <c r="BC30" t="str">
        <f t="shared" si="17"/>
        <v/>
      </c>
      <c r="BD30" t="str">
        <f t="shared" si="18"/>
        <v/>
      </c>
      <c r="BE30" t="str">
        <f t="shared" si="19"/>
        <v/>
      </c>
      <c r="BF30" t="str">
        <f t="shared" si="20"/>
        <v/>
      </c>
      <c r="BG30" t="str">
        <f t="shared" si="21"/>
        <v/>
      </c>
      <c r="BH30" t="str">
        <f t="shared" si="22"/>
        <v/>
      </c>
      <c r="BI30" t="str">
        <f t="shared" si="23"/>
        <v/>
      </c>
      <c r="BJ30" t="str">
        <f t="shared" si="24"/>
        <v/>
      </c>
      <c r="BK30" t="str">
        <f t="shared" si="25"/>
        <v/>
      </c>
      <c r="BL30" t="str">
        <f t="shared" si="26"/>
        <v/>
      </c>
      <c r="BM30">
        <f t="shared" si="28"/>
        <v>0</v>
      </c>
      <c r="BO30" s="137" t="str">
        <f t="shared" si="29"/>
        <v/>
      </c>
    </row>
    <row r="31" spans="3:67">
      <c r="C31" s="174" t="s">
        <v>77</v>
      </c>
      <c r="D31" s="171" t="s">
        <v>76</v>
      </c>
      <c r="E31" s="174"/>
      <c r="F31" s="174"/>
      <c r="G31" s="174"/>
      <c r="H31" s="174"/>
      <c r="I31" s="174"/>
      <c r="J31" s="174"/>
      <c r="K31" s="174"/>
      <c r="L31" s="174"/>
      <c r="M31" s="174"/>
      <c r="N31" s="174"/>
      <c r="O31" s="174"/>
      <c r="P31" s="174"/>
      <c r="Q31" s="174"/>
      <c r="R31" s="174"/>
      <c r="S31" s="174"/>
      <c r="T31" s="174"/>
      <c r="U31" s="174"/>
      <c r="V31" s="174"/>
      <c r="W31" s="174"/>
      <c r="X31" s="174"/>
      <c r="Y31" s="175"/>
      <c r="Z31" s="174"/>
      <c r="AA31" s="174"/>
      <c r="AB31" s="174"/>
      <c r="AC31" s="174"/>
      <c r="AD31" s="174"/>
      <c r="AE31" s="174"/>
      <c r="AF31" s="174"/>
      <c r="AG31" s="174"/>
      <c r="AH31" t="str">
        <f>Calc!D32</f>
        <v>Not Active</v>
      </c>
      <c r="AJ31" t="str">
        <f t="shared" si="0"/>
        <v/>
      </c>
      <c r="AK31" t="str">
        <f t="shared" si="27"/>
        <v/>
      </c>
      <c r="AL31" t="str">
        <f t="shared" si="1"/>
        <v/>
      </c>
      <c r="AM31" t="str">
        <f t="shared" si="2"/>
        <v/>
      </c>
      <c r="AN31" t="str">
        <f t="shared" si="3"/>
        <v/>
      </c>
      <c r="AO31" t="str">
        <f t="shared" si="4"/>
        <v/>
      </c>
      <c r="AP31" t="str">
        <f t="shared" si="5"/>
        <v/>
      </c>
      <c r="AQ31" t="str">
        <f t="shared" si="6"/>
        <v/>
      </c>
      <c r="AR31" t="str">
        <f t="shared" si="7"/>
        <v/>
      </c>
      <c r="AS31" t="str">
        <f t="shared" si="8"/>
        <v/>
      </c>
      <c r="AT31" t="str">
        <f t="shared" si="9"/>
        <v/>
      </c>
      <c r="AU31" t="str">
        <f t="shared" si="10"/>
        <v/>
      </c>
      <c r="AV31" t="str">
        <f t="shared" si="10"/>
        <v/>
      </c>
      <c r="AW31" t="str">
        <f t="shared" si="11"/>
        <v/>
      </c>
      <c r="AX31" t="str">
        <f t="shared" si="12"/>
        <v/>
      </c>
      <c r="AY31" t="str">
        <f t="shared" si="13"/>
        <v/>
      </c>
      <c r="AZ31" t="str">
        <f t="shared" si="14"/>
        <v/>
      </c>
      <c r="BA31" t="str">
        <f t="shared" si="15"/>
        <v/>
      </c>
      <c r="BB31" t="str">
        <f t="shared" si="16"/>
        <v/>
      </c>
      <c r="BC31" t="str">
        <f t="shared" si="17"/>
        <v/>
      </c>
      <c r="BD31" t="str">
        <f t="shared" si="18"/>
        <v/>
      </c>
      <c r="BE31" t="str">
        <f t="shared" si="19"/>
        <v/>
      </c>
      <c r="BF31" t="str">
        <f t="shared" si="20"/>
        <v/>
      </c>
      <c r="BG31" t="str">
        <f t="shared" si="21"/>
        <v/>
      </c>
      <c r="BH31" t="str">
        <f t="shared" si="22"/>
        <v/>
      </c>
      <c r="BI31" t="str">
        <f t="shared" si="23"/>
        <v/>
      </c>
      <c r="BJ31" t="str">
        <f t="shared" si="24"/>
        <v/>
      </c>
      <c r="BK31" t="str">
        <f t="shared" si="25"/>
        <v/>
      </c>
      <c r="BL31" t="str">
        <f t="shared" si="26"/>
        <v/>
      </c>
      <c r="BM31">
        <f t="shared" si="28"/>
        <v>0</v>
      </c>
      <c r="BO31" s="137" t="str">
        <f t="shared" si="29"/>
        <v/>
      </c>
    </row>
    <row r="32" spans="3:67">
      <c r="C32" s="174" t="s">
        <v>81</v>
      </c>
      <c r="D32" s="171" t="s">
        <v>80</v>
      </c>
      <c r="E32" s="174"/>
      <c r="F32" s="174"/>
      <c r="G32" s="174"/>
      <c r="H32" s="174"/>
      <c r="I32" s="174"/>
      <c r="J32" s="174"/>
      <c r="K32" s="174"/>
      <c r="L32" s="174"/>
      <c r="M32" s="174"/>
      <c r="N32" s="174"/>
      <c r="O32" s="174"/>
      <c r="P32" s="174"/>
      <c r="Q32" s="174"/>
      <c r="R32" s="174"/>
      <c r="S32" s="174"/>
      <c r="T32" s="174"/>
      <c r="U32" s="174"/>
      <c r="V32" s="174"/>
      <c r="W32" s="174"/>
      <c r="X32" s="174"/>
      <c r="Y32" s="174"/>
      <c r="Z32" s="175"/>
      <c r="AA32" s="174"/>
      <c r="AB32" s="174"/>
      <c r="AC32" s="174"/>
      <c r="AD32" s="174"/>
      <c r="AE32" s="174"/>
      <c r="AF32" s="174"/>
      <c r="AG32" s="174"/>
      <c r="AH32" t="str">
        <f>Calc!D33</f>
        <v>Not Active</v>
      </c>
      <c r="AJ32" t="str">
        <f t="shared" si="0"/>
        <v/>
      </c>
      <c r="AK32" t="str">
        <f t="shared" si="27"/>
        <v/>
      </c>
      <c r="AL32" t="str">
        <f t="shared" si="1"/>
        <v/>
      </c>
      <c r="AM32" t="str">
        <f t="shared" si="2"/>
        <v/>
      </c>
      <c r="AN32" t="str">
        <f t="shared" si="3"/>
        <v/>
      </c>
      <c r="AO32" t="str">
        <f t="shared" si="4"/>
        <v/>
      </c>
      <c r="AP32" t="str">
        <f t="shared" si="5"/>
        <v/>
      </c>
      <c r="AQ32" t="str">
        <f t="shared" si="6"/>
        <v/>
      </c>
      <c r="AR32" t="str">
        <f t="shared" si="7"/>
        <v/>
      </c>
      <c r="AS32" t="str">
        <f t="shared" si="8"/>
        <v/>
      </c>
      <c r="AT32" t="str">
        <f t="shared" si="9"/>
        <v/>
      </c>
      <c r="AU32" t="str">
        <f t="shared" si="10"/>
        <v/>
      </c>
      <c r="AV32" t="str">
        <f t="shared" si="10"/>
        <v/>
      </c>
      <c r="AW32" t="str">
        <f t="shared" si="11"/>
        <v/>
      </c>
      <c r="AX32" t="str">
        <f t="shared" si="12"/>
        <v/>
      </c>
      <c r="AY32" t="str">
        <f t="shared" si="13"/>
        <v/>
      </c>
      <c r="AZ32" t="str">
        <f t="shared" si="14"/>
        <v/>
      </c>
      <c r="BA32" t="str">
        <f t="shared" si="15"/>
        <v/>
      </c>
      <c r="BB32" t="str">
        <f t="shared" si="16"/>
        <v/>
      </c>
      <c r="BC32" t="str">
        <f t="shared" si="17"/>
        <v/>
      </c>
      <c r="BD32" t="str">
        <f t="shared" si="18"/>
        <v/>
      </c>
      <c r="BE32" t="str">
        <f t="shared" si="19"/>
        <v/>
      </c>
      <c r="BF32" t="str">
        <f t="shared" si="20"/>
        <v/>
      </c>
      <c r="BG32" t="str">
        <f t="shared" si="21"/>
        <v/>
      </c>
      <c r="BH32" t="str">
        <f t="shared" si="22"/>
        <v/>
      </c>
      <c r="BI32" t="str">
        <f t="shared" si="23"/>
        <v/>
      </c>
      <c r="BJ32" t="str">
        <f t="shared" si="24"/>
        <v/>
      </c>
      <c r="BK32" t="str">
        <f t="shared" si="25"/>
        <v/>
      </c>
      <c r="BL32" t="str">
        <f t="shared" si="26"/>
        <v/>
      </c>
      <c r="BM32">
        <f t="shared" si="28"/>
        <v>0</v>
      </c>
      <c r="BO32" s="137" t="str">
        <f t="shared" si="29"/>
        <v/>
      </c>
    </row>
    <row r="33" spans="3:67">
      <c r="C33" s="174" t="s">
        <v>83</v>
      </c>
      <c r="D33" s="171" t="s">
        <v>82</v>
      </c>
      <c r="E33" s="174"/>
      <c r="F33" s="174"/>
      <c r="G33" s="174"/>
      <c r="H33" s="174"/>
      <c r="I33" s="174"/>
      <c r="J33" s="174"/>
      <c r="K33" s="174"/>
      <c r="L33" s="174"/>
      <c r="M33" s="174"/>
      <c r="N33" s="174"/>
      <c r="O33" s="174"/>
      <c r="P33" s="174"/>
      <c r="Q33" s="174"/>
      <c r="R33" s="174"/>
      <c r="S33" s="174"/>
      <c r="T33" s="174"/>
      <c r="U33" s="174"/>
      <c r="V33" s="174"/>
      <c r="W33" s="174"/>
      <c r="X33" s="174"/>
      <c r="Y33" s="174"/>
      <c r="Z33" s="174"/>
      <c r="AA33" s="175"/>
      <c r="AB33" s="174"/>
      <c r="AC33" s="174"/>
      <c r="AD33" s="174"/>
      <c r="AE33" s="174"/>
      <c r="AF33" s="174"/>
      <c r="AG33" s="174"/>
      <c r="AH33" t="str">
        <f>Calc!D34</f>
        <v>Not Active</v>
      </c>
      <c r="AJ33" t="str">
        <f t="shared" si="0"/>
        <v/>
      </c>
      <c r="AK33" t="str">
        <f t="shared" si="27"/>
        <v/>
      </c>
      <c r="AL33" t="str">
        <f t="shared" si="1"/>
        <v/>
      </c>
      <c r="AM33" t="str">
        <f t="shared" si="2"/>
        <v/>
      </c>
      <c r="AN33" t="str">
        <f t="shared" si="3"/>
        <v/>
      </c>
      <c r="AO33" t="str">
        <f t="shared" si="4"/>
        <v/>
      </c>
      <c r="AP33" t="str">
        <f t="shared" si="5"/>
        <v/>
      </c>
      <c r="AQ33" t="str">
        <f t="shared" si="6"/>
        <v/>
      </c>
      <c r="AR33" t="str">
        <f t="shared" si="7"/>
        <v/>
      </c>
      <c r="AS33" t="str">
        <f t="shared" si="8"/>
        <v/>
      </c>
      <c r="AT33" t="str">
        <f t="shared" si="9"/>
        <v/>
      </c>
      <c r="AU33" t="str">
        <f t="shared" si="10"/>
        <v/>
      </c>
      <c r="AV33" t="str">
        <f t="shared" si="10"/>
        <v/>
      </c>
      <c r="AW33" t="str">
        <f t="shared" si="11"/>
        <v/>
      </c>
      <c r="AX33" t="str">
        <f t="shared" si="12"/>
        <v/>
      </c>
      <c r="AY33" t="str">
        <f t="shared" si="13"/>
        <v/>
      </c>
      <c r="AZ33" t="str">
        <f t="shared" si="14"/>
        <v/>
      </c>
      <c r="BA33" t="str">
        <f t="shared" si="15"/>
        <v/>
      </c>
      <c r="BB33" t="str">
        <f t="shared" si="16"/>
        <v/>
      </c>
      <c r="BC33" t="str">
        <f t="shared" si="17"/>
        <v/>
      </c>
      <c r="BD33" t="str">
        <f t="shared" si="18"/>
        <v/>
      </c>
      <c r="BE33" t="str">
        <f t="shared" si="19"/>
        <v/>
      </c>
      <c r="BF33" t="str">
        <f t="shared" si="20"/>
        <v/>
      </c>
      <c r="BG33" t="str">
        <f t="shared" si="21"/>
        <v/>
      </c>
      <c r="BH33" t="str">
        <f t="shared" si="22"/>
        <v/>
      </c>
      <c r="BI33" t="str">
        <f t="shared" si="23"/>
        <v/>
      </c>
      <c r="BJ33" t="str">
        <f t="shared" si="24"/>
        <v/>
      </c>
      <c r="BK33" t="str">
        <f t="shared" si="25"/>
        <v/>
      </c>
      <c r="BL33" t="str">
        <f t="shared" si="26"/>
        <v/>
      </c>
      <c r="BM33">
        <f t="shared" si="28"/>
        <v>0</v>
      </c>
      <c r="BO33" s="137" t="str">
        <f t="shared" si="29"/>
        <v/>
      </c>
    </row>
    <row r="34" spans="3:67">
      <c r="C34" s="174" t="s">
        <v>118</v>
      </c>
      <c r="D34" s="171" t="s">
        <v>117</v>
      </c>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5"/>
      <c r="AC34" s="174"/>
      <c r="AD34" s="174"/>
      <c r="AE34" s="174"/>
      <c r="AF34" s="174"/>
      <c r="AG34" s="174"/>
      <c r="AH34" t="str">
        <f>Calc!D26</f>
        <v>Not Active</v>
      </c>
      <c r="AJ34" t="str">
        <f t="shared" si="0"/>
        <v/>
      </c>
      <c r="AK34" t="str">
        <f t="shared" si="27"/>
        <v/>
      </c>
      <c r="AL34" t="str">
        <f t="shared" si="1"/>
        <v/>
      </c>
      <c r="AM34" t="str">
        <f t="shared" si="2"/>
        <v/>
      </c>
      <c r="AN34" t="str">
        <f t="shared" si="3"/>
        <v/>
      </c>
      <c r="AO34" t="str">
        <f t="shared" si="4"/>
        <v/>
      </c>
      <c r="AP34" t="str">
        <f t="shared" si="5"/>
        <v/>
      </c>
      <c r="AQ34" t="str">
        <f t="shared" si="6"/>
        <v/>
      </c>
      <c r="AR34" t="str">
        <f t="shared" si="7"/>
        <v/>
      </c>
      <c r="AS34" t="str">
        <f t="shared" si="8"/>
        <v/>
      </c>
      <c r="AT34" t="str">
        <f t="shared" si="9"/>
        <v/>
      </c>
      <c r="AU34" t="str">
        <f t="shared" si="10"/>
        <v/>
      </c>
      <c r="AV34" t="str">
        <f t="shared" si="10"/>
        <v/>
      </c>
      <c r="AW34" t="str">
        <f t="shared" si="11"/>
        <v/>
      </c>
      <c r="AX34" t="str">
        <f t="shared" si="12"/>
        <v/>
      </c>
      <c r="AY34" t="str">
        <f t="shared" si="13"/>
        <v/>
      </c>
      <c r="AZ34" t="str">
        <f t="shared" si="14"/>
        <v/>
      </c>
      <c r="BA34" t="str">
        <f t="shared" si="15"/>
        <v/>
      </c>
      <c r="BB34" t="str">
        <f t="shared" si="16"/>
        <v/>
      </c>
      <c r="BC34" t="str">
        <f t="shared" si="17"/>
        <v/>
      </c>
      <c r="BD34" t="str">
        <f t="shared" si="18"/>
        <v/>
      </c>
      <c r="BE34" t="str">
        <f t="shared" si="19"/>
        <v/>
      </c>
      <c r="BF34" t="str">
        <f t="shared" si="20"/>
        <v/>
      </c>
      <c r="BG34" t="str">
        <f t="shared" si="21"/>
        <v/>
      </c>
      <c r="BH34" t="str">
        <f t="shared" si="22"/>
        <v/>
      </c>
      <c r="BI34" t="str">
        <f t="shared" si="23"/>
        <v/>
      </c>
      <c r="BJ34" t="str">
        <f t="shared" si="24"/>
        <v/>
      </c>
      <c r="BK34" t="str">
        <f t="shared" si="25"/>
        <v/>
      </c>
      <c r="BL34" t="str">
        <f t="shared" si="26"/>
        <v/>
      </c>
      <c r="BM34">
        <f t="shared" si="28"/>
        <v>0</v>
      </c>
      <c r="BO34" s="137" t="str">
        <f t="shared" si="29"/>
        <v/>
      </c>
    </row>
    <row r="35" spans="3:67">
      <c r="C35" s="174" t="s">
        <v>95</v>
      </c>
      <c r="D35" s="171" t="s">
        <v>94</v>
      </c>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5"/>
      <c r="AD35" s="174"/>
      <c r="AE35" s="174"/>
      <c r="AF35" s="174"/>
      <c r="AG35" s="174"/>
      <c r="AH35" t="str">
        <f>Calc!D35</f>
        <v>Not Active</v>
      </c>
      <c r="AJ35" t="str">
        <f t="shared" si="0"/>
        <v/>
      </c>
      <c r="AK35" t="str">
        <f t="shared" si="27"/>
        <v/>
      </c>
      <c r="AL35" t="str">
        <f t="shared" si="1"/>
        <v/>
      </c>
      <c r="AM35" t="str">
        <f t="shared" si="2"/>
        <v/>
      </c>
      <c r="AN35" t="str">
        <f t="shared" si="3"/>
        <v/>
      </c>
      <c r="AO35" t="str">
        <f t="shared" si="4"/>
        <v/>
      </c>
      <c r="AP35" t="str">
        <f t="shared" si="5"/>
        <v/>
      </c>
      <c r="AQ35" t="str">
        <f t="shared" si="6"/>
        <v/>
      </c>
      <c r="AR35" t="str">
        <f t="shared" si="7"/>
        <v/>
      </c>
      <c r="AS35" t="str">
        <f t="shared" si="8"/>
        <v/>
      </c>
      <c r="AT35" t="str">
        <f t="shared" si="9"/>
        <v/>
      </c>
      <c r="AU35" t="str">
        <f t="shared" si="10"/>
        <v/>
      </c>
      <c r="AV35" t="str">
        <f t="shared" si="10"/>
        <v/>
      </c>
      <c r="AW35" t="str">
        <f t="shared" si="11"/>
        <v/>
      </c>
      <c r="AX35" t="str">
        <f t="shared" si="12"/>
        <v/>
      </c>
      <c r="AY35" t="str">
        <f t="shared" si="13"/>
        <v/>
      </c>
      <c r="AZ35" t="str">
        <f t="shared" si="14"/>
        <v/>
      </c>
      <c r="BA35" t="str">
        <f t="shared" si="15"/>
        <v/>
      </c>
      <c r="BB35" t="str">
        <f t="shared" si="16"/>
        <v/>
      </c>
      <c r="BC35" t="str">
        <f t="shared" si="17"/>
        <v/>
      </c>
      <c r="BD35" t="str">
        <f t="shared" si="18"/>
        <v/>
      </c>
      <c r="BE35" t="str">
        <f t="shared" si="19"/>
        <v/>
      </c>
      <c r="BF35" t="str">
        <f t="shared" si="20"/>
        <v/>
      </c>
      <c r="BG35" t="str">
        <f t="shared" si="21"/>
        <v/>
      </c>
      <c r="BH35" t="str">
        <f t="shared" si="22"/>
        <v/>
      </c>
      <c r="BI35" t="str">
        <f t="shared" si="23"/>
        <v/>
      </c>
      <c r="BJ35" t="str">
        <f t="shared" si="24"/>
        <v/>
      </c>
      <c r="BK35" t="str">
        <f t="shared" si="25"/>
        <v/>
      </c>
      <c r="BL35" t="str">
        <f t="shared" si="26"/>
        <v/>
      </c>
      <c r="BM35">
        <f t="shared" si="28"/>
        <v>0</v>
      </c>
      <c r="BO35" s="137" t="str">
        <f t="shared" si="29"/>
        <v/>
      </c>
    </row>
    <row r="36" spans="3:67">
      <c r="C36" s="174" t="s">
        <v>99</v>
      </c>
      <c r="D36" s="171" t="s">
        <v>98</v>
      </c>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5"/>
      <c r="AE36" s="174"/>
      <c r="AF36" s="174"/>
      <c r="AG36" s="174"/>
      <c r="AH36" t="str">
        <f>Calc!D36</f>
        <v>Not Active</v>
      </c>
      <c r="AJ36" t="str">
        <f t="shared" si="0"/>
        <v/>
      </c>
      <c r="AK36" t="str">
        <f t="shared" si="27"/>
        <v/>
      </c>
      <c r="AL36" t="str">
        <f t="shared" si="1"/>
        <v/>
      </c>
      <c r="AM36" t="str">
        <f t="shared" si="2"/>
        <v/>
      </c>
      <c r="AN36" t="str">
        <f t="shared" si="3"/>
        <v/>
      </c>
      <c r="AO36" t="str">
        <f t="shared" si="4"/>
        <v/>
      </c>
      <c r="AP36" t="str">
        <f t="shared" si="5"/>
        <v/>
      </c>
      <c r="AQ36" t="str">
        <f t="shared" si="6"/>
        <v/>
      </c>
      <c r="AR36" t="str">
        <f t="shared" si="7"/>
        <v/>
      </c>
      <c r="AS36" t="str">
        <f t="shared" si="8"/>
        <v/>
      </c>
      <c r="AT36" t="str">
        <f t="shared" si="9"/>
        <v/>
      </c>
      <c r="AU36" t="str">
        <f t="shared" si="10"/>
        <v/>
      </c>
      <c r="AV36" t="str">
        <f t="shared" si="10"/>
        <v/>
      </c>
      <c r="AW36" t="str">
        <f t="shared" si="11"/>
        <v/>
      </c>
      <c r="AX36" t="str">
        <f t="shared" si="12"/>
        <v/>
      </c>
      <c r="AY36" t="str">
        <f t="shared" si="13"/>
        <v/>
      </c>
      <c r="AZ36" t="str">
        <f t="shared" si="14"/>
        <v/>
      </c>
      <c r="BA36" t="str">
        <f t="shared" si="15"/>
        <v/>
      </c>
      <c r="BB36" t="str">
        <f t="shared" si="16"/>
        <v/>
      </c>
      <c r="BC36" t="str">
        <f t="shared" si="17"/>
        <v/>
      </c>
      <c r="BD36" t="str">
        <f t="shared" si="18"/>
        <v/>
      </c>
      <c r="BE36" t="str">
        <f t="shared" si="19"/>
        <v/>
      </c>
      <c r="BF36" t="str">
        <f t="shared" si="20"/>
        <v/>
      </c>
      <c r="BG36" t="str">
        <f t="shared" si="21"/>
        <v/>
      </c>
      <c r="BH36" t="str">
        <f t="shared" si="22"/>
        <v/>
      </c>
      <c r="BI36" t="str">
        <f t="shared" si="23"/>
        <v/>
      </c>
      <c r="BJ36" t="str">
        <f t="shared" si="24"/>
        <v/>
      </c>
      <c r="BK36" t="str">
        <f t="shared" si="25"/>
        <v/>
      </c>
      <c r="BL36" t="str">
        <f t="shared" si="26"/>
        <v/>
      </c>
      <c r="BM36">
        <f t="shared" si="28"/>
        <v>0</v>
      </c>
      <c r="BO36" s="137" t="str">
        <f t="shared" si="29"/>
        <v/>
      </c>
    </row>
    <row r="37" spans="3:67">
      <c r="C37" s="174" t="s">
        <v>101</v>
      </c>
      <c r="D37" s="171" t="s">
        <v>100</v>
      </c>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5"/>
      <c r="AF37" s="174"/>
      <c r="AG37" s="174"/>
      <c r="AH37" t="str">
        <f>Calc!D37</f>
        <v>Not Active</v>
      </c>
      <c r="AJ37" t="str">
        <f t="shared" si="0"/>
        <v/>
      </c>
      <c r="AK37" t="str">
        <f t="shared" si="27"/>
        <v/>
      </c>
      <c r="AL37" t="str">
        <f t="shared" si="1"/>
        <v/>
      </c>
      <c r="AM37" t="str">
        <f t="shared" si="2"/>
        <v/>
      </c>
      <c r="AN37" t="str">
        <f t="shared" si="3"/>
        <v/>
      </c>
      <c r="AO37" t="str">
        <f t="shared" si="4"/>
        <v/>
      </c>
      <c r="AP37" t="str">
        <f t="shared" si="5"/>
        <v/>
      </c>
      <c r="AQ37" t="str">
        <f t="shared" si="6"/>
        <v/>
      </c>
      <c r="AR37" t="str">
        <f t="shared" si="7"/>
        <v/>
      </c>
      <c r="AS37" t="str">
        <f t="shared" si="8"/>
        <v/>
      </c>
      <c r="AT37" t="str">
        <f t="shared" si="9"/>
        <v/>
      </c>
      <c r="AU37" t="str">
        <f t="shared" si="10"/>
        <v/>
      </c>
      <c r="AV37" t="str">
        <f t="shared" si="10"/>
        <v/>
      </c>
      <c r="AW37" t="str">
        <f t="shared" si="11"/>
        <v/>
      </c>
      <c r="AX37" t="str">
        <f t="shared" si="12"/>
        <v/>
      </c>
      <c r="AY37" t="str">
        <f t="shared" si="13"/>
        <v/>
      </c>
      <c r="AZ37" t="str">
        <f t="shared" si="14"/>
        <v/>
      </c>
      <c r="BA37" t="str">
        <f t="shared" si="15"/>
        <v/>
      </c>
      <c r="BB37" t="str">
        <f t="shared" si="16"/>
        <v/>
      </c>
      <c r="BC37" t="str">
        <f t="shared" si="17"/>
        <v/>
      </c>
      <c r="BD37" t="str">
        <f t="shared" si="18"/>
        <v/>
      </c>
      <c r="BE37" t="str">
        <f t="shared" si="19"/>
        <v/>
      </c>
      <c r="BF37" t="str">
        <f t="shared" si="20"/>
        <v/>
      </c>
      <c r="BG37" t="str">
        <f t="shared" si="21"/>
        <v/>
      </c>
      <c r="BH37" t="str">
        <f t="shared" si="22"/>
        <v/>
      </c>
      <c r="BI37" t="str">
        <f t="shared" si="23"/>
        <v/>
      </c>
      <c r="BJ37" t="str">
        <f t="shared" si="24"/>
        <v/>
      </c>
      <c r="BK37" t="str">
        <f t="shared" si="25"/>
        <v/>
      </c>
      <c r="BL37" t="str">
        <f t="shared" si="26"/>
        <v/>
      </c>
      <c r="BM37">
        <f t="shared" si="28"/>
        <v>0</v>
      </c>
      <c r="BO37" s="137" t="str">
        <f t="shared" si="29"/>
        <v/>
      </c>
    </row>
    <row r="38" spans="3:67">
      <c r="C38" s="174" t="s">
        <v>104</v>
      </c>
      <c r="D38" s="171" t="s">
        <v>103</v>
      </c>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5"/>
      <c r="AG38" s="174"/>
      <c r="AH38" t="str">
        <f>Calc!D38</f>
        <v>Not Active</v>
      </c>
      <c r="AJ38" t="str">
        <f t="shared" si="0"/>
        <v/>
      </c>
      <c r="AK38" t="str">
        <f t="shared" si="27"/>
        <v/>
      </c>
      <c r="AL38" t="str">
        <f t="shared" si="1"/>
        <v/>
      </c>
      <c r="AM38" t="str">
        <f t="shared" si="2"/>
        <v/>
      </c>
      <c r="AN38" t="str">
        <f t="shared" si="3"/>
        <v/>
      </c>
      <c r="AO38" t="str">
        <f t="shared" si="4"/>
        <v/>
      </c>
      <c r="AP38" t="str">
        <f t="shared" si="5"/>
        <v/>
      </c>
      <c r="AQ38" t="str">
        <f t="shared" si="6"/>
        <v/>
      </c>
      <c r="AR38" t="str">
        <f t="shared" si="7"/>
        <v/>
      </c>
      <c r="AS38" t="str">
        <f t="shared" si="8"/>
        <v/>
      </c>
      <c r="AT38" t="str">
        <f t="shared" si="9"/>
        <v/>
      </c>
      <c r="AU38" t="str">
        <f t="shared" si="10"/>
        <v/>
      </c>
      <c r="AV38" t="str">
        <f t="shared" si="10"/>
        <v/>
      </c>
      <c r="AW38" t="str">
        <f t="shared" si="11"/>
        <v/>
      </c>
      <c r="AX38" t="str">
        <f t="shared" si="12"/>
        <v/>
      </c>
      <c r="AY38" t="str">
        <f t="shared" si="13"/>
        <v/>
      </c>
      <c r="AZ38" t="str">
        <f t="shared" si="14"/>
        <v/>
      </c>
      <c r="BA38" t="str">
        <f t="shared" si="15"/>
        <v/>
      </c>
      <c r="BB38" t="str">
        <f t="shared" si="16"/>
        <v/>
      </c>
      <c r="BC38" t="str">
        <f t="shared" si="17"/>
        <v/>
      </c>
      <c r="BD38" t="str">
        <f t="shared" si="18"/>
        <v/>
      </c>
      <c r="BE38" t="str">
        <f t="shared" si="19"/>
        <v/>
      </c>
      <c r="BF38" t="str">
        <f t="shared" si="20"/>
        <v/>
      </c>
      <c r="BG38" t="str">
        <f t="shared" si="21"/>
        <v/>
      </c>
      <c r="BH38" t="str">
        <f t="shared" si="22"/>
        <v/>
      </c>
      <c r="BI38" t="str">
        <f t="shared" si="23"/>
        <v/>
      </c>
      <c r="BJ38" t="str">
        <f t="shared" si="24"/>
        <v/>
      </c>
      <c r="BK38" t="str">
        <f t="shared" si="25"/>
        <v/>
      </c>
      <c r="BL38" t="str">
        <f t="shared" si="26"/>
        <v/>
      </c>
      <c r="BM38">
        <f t="shared" si="28"/>
        <v>0</v>
      </c>
      <c r="BO38" s="137" t="str">
        <f t="shared" si="29"/>
        <v/>
      </c>
    </row>
    <row r="39" spans="3:67">
      <c r="C39" s="174" t="s">
        <v>107</v>
      </c>
      <c r="D39" s="171" t="s">
        <v>106</v>
      </c>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5"/>
      <c r="AH39" t="str">
        <f>Calc!D39</f>
        <v>Not Active</v>
      </c>
      <c r="AJ39" t="str">
        <f t="shared" si="0"/>
        <v/>
      </c>
      <c r="AK39" t="str">
        <f t="shared" si="27"/>
        <v/>
      </c>
      <c r="AL39" t="str">
        <f t="shared" si="1"/>
        <v/>
      </c>
      <c r="AM39" t="str">
        <f t="shared" si="2"/>
        <v/>
      </c>
      <c r="AN39" t="str">
        <f t="shared" si="3"/>
        <v/>
      </c>
      <c r="AO39" t="str">
        <f t="shared" si="4"/>
        <v/>
      </c>
      <c r="AP39" t="str">
        <f t="shared" si="5"/>
        <v/>
      </c>
      <c r="AQ39" t="str">
        <f t="shared" si="6"/>
        <v/>
      </c>
      <c r="AR39" t="str">
        <f t="shared" si="7"/>
        <v/>
      </c>
      <c r="AS39" t="str">
        <f t="shared" si="8"/>
        <v/>
      </c>
      <c r="AT39" t="str">
        <f t="shared" si="9"/>
        <v/>
      </c>
      <c r="AU39" t="str">
        <f t="shared" si="10"/>
        <v/>
      </c>
      <c r="AV39" t="str">
        <f t="shared" si="10"/>
        <v/>
      </c>
      <c r="AW39" t="str">
        <f t="shared" si="11"/>
        <v/>
      </c>
      <c r="AX39" t="str">
        <f t="shared" si="12"/>
        <v/>
      </c>
      <c r="AY39" t="str">
        <f t="shared" si="13"/>
        <v/>
      </c>
      <c r="AZ39" t="str">
        <f t="shared" si="14"/>
        <v/>
      </c>
      <c r="BA39" t="str">
        <f t="shared" si="15"/>
        <v/>
      </c>
      <c r="BB39" t="str">
        <f t="shared" si="16"/>
        <v/>
      </c>
      <c r="BC39" t="str">
        <f t="shared" si="17"/>
        <v/>
      </c>
      <c r="BD39" t="str">
        <f t="shared" si="18"/>
        <v/>
      </c>
      <c r="BE39" t="str">
        <f t="shared" si="19"/>
        <v/>
      </c>
      <c r="BF39" t="str">
        <f t="shared" si="20"/>
        <v/>
      </c>
      <c r="BG39" t="str">
        <f t="shared" si="21"/>
        <v/>
      </c>
      <c r="BH39" t="str">
        <f t="shared" si="22"/>
        <v/>
      </c>
      <c r="BI39" t="str">
        <f t="shared" si="23"/>
        <v/>
      </c>
      <c r="BJ39" t="str">
        <f t="shared" si="24"/>
        <v/>
      </c>
      <c r="BK39" t="str">
        <f t="shared" si="25"/>
        <v/>
      </c>
      <c r="BL39" t="str">
        <f t="shared" si="26"/>
        <v/>
      </c>
      <c r="BM39">
        <f t="shared" si="28"/>
        <v>0</v>
      </c>
      <c r="BO39" s="137" t="str">
        <f t="shared" si="29"/>
        <v/>
      </c>
    </row>
  </sheetData>
  <sheetProtection algorithmName="SHA-512" hashValue="xeZgeo6p3Lub0/mV6amFRyZ8NF28d+3koYCdxp1V8NDTq1OD5zp1dGYH1Hsgz9xfwYupi0uyKokAiiOTJTjjig==" saltValue="IyzYXRMnCXzCsCOBU2q5tw==" spinCount="100000" sheet="1" objects="1" scenarios="1"/>
  <conditionalFormatting sqref="AJ11:BM39">
    <cfRule type="expression" dxfId="60" priority="1">
      <formula>AJ11=0</formula>
    </cfRule>
  </conditionalFormatting>
  <hyperlinks>
    <hyperlink ref="D36" location="'5B T freq'!A1" display="5B" xr:uid="{FB5584C9-B172-4B78-B364-5BC69B9540FC}"/>
    <hyperlink ref="D37" location="'5C T treatments'!A1" display="5C" xr:uid="{3F37A13A-F8A9-4B57-8A4A-B281604907BE}"/>
    <hyperlink ref="D38" location="'5D T fare reduction'!A1" display="5D" xr:uid="{461B03B7-D76C-4A76-B682-FE8FC146A079}"/>
    <hyperlink ref="D39" location="'5E microtransit'!A1" display="5E" xr:uid="{16C7ACE3-7755-4784-A655-B5C10F362AB5}"/>
    <hyperlink ref="D35" location="'5A T network exp'!A1" display="5A" xr:uid="{922A4800-63ED-4D81-BEA9-0AC8B21CFE7D}"/>
    <hyperlink ref="D34" location="'4I bike facility'!A1" display="4I" xr:uid="{1C9B6451-DD3F-40AC-8CF1-5A139F74CDFD}"/>
    <hyperlink ref="D33" location="'4H traffic calming'!A1" display="4H" xr:uid="{177BC6D1-60F8-4AA8-BDAC-176E0C77A044}"/>
    <hyperlink ref="D32" location="'4G CBTP'!A1" display="4G" xr:uid="{6177F245-CA1E-415D-BB72-B3C02A2249F3}"/>
    <hyperlink ref="D31" location="'4F carshare'!A1" display="4F" xr:uid="{98A933DE-029F-41FA-860E-E096FF6CFC7C}"/>
    <hyperlink ref="D30" location="'4E bikeshare'!A1" display="4E" xr:uid="{A6FA2842-1FE5-4BDF-A0BD-3C97608BEDDA}"/>
    <hyperlink ref="D29" location="'4D bike project'!A1" display="4D" xr:uid="{6ABE1D3C-EA08-4BFF-B47C-042BA2B4D74F}"/>
    <hyperlink ref="D28" location="'4C bike network'!A1" display="4C" xr:uid="{822B8B5F-3124-4148-AC33-B3E7F6CE4324}"/>
    <hyperlink ref="D27" location="'4B sidewalks'!A1" display="4B" xr:uid="{F312E6FC-87AE-4A2E-8F0E-FCD4AABF6FD0}"/>
    <hyperlink ref="D26" location="'4A street connect'!A1" display="4A" xr:uid="{50A1D995-88FF-4AAD-ADC0-B8D76DCD922A}"/>
    <hyperlink ref="D25" location="'3C limit parking'!A1" display="3C" xr:uid="{F85B5888-66E0-437C-83D6-E092B37151AC}"/>
    <hyperlink ref="D24" location="'3B parking cash-out'!A1" display="3B" xr:uid="{37DF595C-7A3F-4918-B47B-54A576C8BBBD}"/>
    <hyperlink ref="D22" location="'3A parking price'!A1" display="3A" xr:uid="{38704A85-BFA7-428F-8B8C-053871CBC584}"/>
    <hyperlink ref="D21" location="'2D affordable housing'!A1" display="2D" xr:uid="{D8147BDA-DE27-4F49-8CC8-A49655F6D781}"/>
    <hyperlink ref="D20" location="'2B2 Inc Emp Dens'!A1" display="2B2" xr:uid="{14FA9071-B966-4195-B1B3-7842DE8F5F84}"/>
    <hyperlink ref="D19" location="'2B1 Inc Res Dens'!A1" display="2B1" xr:uid="{F916A726-9D2A-44B9-8960-8359CF6CEC86}"/>
    <hyperlink ref="D18" location="'2A TOD'!A1" display="2A" xr:uid="{869794A3-55D5-458C-9E11-D2AA884BE9FE}"/>
    <hyperlink ref="D17" location="'1F telecommute'!A1" display="1F" xr:uid="{A3227376-423F-402D-98B7-AD415C2DD051}"/>
    <hyperlink ref="D16" location="'1E vanpool'!A1" display="1E" xr:uid="{7772DAA4-CE48-4F9F-8AAB-FE452737EA85}"/>
    <hyperlink ref="D15" location="'1D transit subsidy'!A1" display="1D" xr:uid="{616738D8-C861-4CD3-B00C-29374E1FF71A}"/>
    <hyperlink ref="D13" location="'1C carpool'!A1" display="1C" xr:uid="{231797E2-8D54-4F2E-BB4F-E78442C2C115}"/>
    <hyperlink ref="D12" location="'1B CTR program'!A1" display="1B" xr:uid="{6C1A1F89-0DCE-45A7-B8C2-35389EA2BE3E}"/>
    <hyperlink ref="D11" location="'1A VCTR program'!A1" display="1A" xr:uid="{5E1BDCD8-F7FA-4450-9A30-0002ECFE4DFD}"/>
    <hyperlink ref="D14" location="'1D transit subsidy'!A1" display="1D" xr:uid="{87491356-6896-4B23-87F5-378522F2EE34}"/>
    <hyperlink ref="D23" location="'3A2 price res parking'!A1" display="3A2" xr:uid="{7D8E72FC-8BD3-41E4-BE20-3E4135B84427}"/>
  </hyperlink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BFD3F9AFC7BF94B8633AEB9C07D8957" ma:contentTypeVersion="15" ma:contentTypeDescription="Create a new document." ma:contentTypeScope="" ma:versionID="cbbe7ef0efde41e5e72ea0e065486d93">
  <xsd:schema xmlns:xsd="http://www.w3.org/2001/XMLSchema" xmlns:xs="http://www.w3.org/2001/XMLSchema" xmlns:p="http://schemas.microsoft.com/office/2006/metadata/properties" xmlns:ns2="26bb706e-f28c-44d9-a34e-dc997587b26d" xmlns:ns3="c3c016c7-cc32-461b-b6a5-6722f033883c" targetNamespace="http://schemas.microsoft.com/office/2006/metadata/properties" ma:root="true" ma:fieldsID="d74ffd00cc04fdbbd62bf03dd44a0483" ns2:_="" ns3:_="">
    <xsd:import namespace="26bb706e-f28c-44d9-a34e-dc997587b26d"/>
    <xsd:import namespace="c3c016c7-cc32-461b-b6a5-6722f033883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bb706e-f28c-44d9-a34e-dc997587b2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847fb5b-a061-47a4-81b5-5d739b16c6e2"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3c016c7-cc32-461b-b6a5-6722f033883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0f2f476e-db45-4b51-8a00-5e9c572d803f}" ma:internalName="TaxCatchAll" ma:showField="CatchAllData" ma:web="c3c016c7-cc32-461b-b6a5-6722f033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6bb706e-f28c-44d9-a34e-dc997587b26d">
      <Terms xmlns="http://schemas.microsoft.com/office/infopath/2007/PartnerControls"/>
    </lcf76f155ced4ddcb4097134ff3c332f>
    <TaxCatchAll xmlns="c3c016c7-cc32-461b-b6a5-6722f033883c" xsi:nil="true"/>
  </documentManagement>
</p:properties>
</file>

<file path=customXml/itemProps1.xml><?xml version="1.0" encoding="utf-8"?>
<ds:datastoreItem xmlns:ds="http://schemas.openxmlformats.org/officeDocument/2006/customXml" ds:itemID="{C328C9A7-66A0-4CCB-BF45-C31A6E02C728}"/>
</file>

<file path=customXml/itemProps2.xml><?xml version="1.0" encoding="utf-8"?>
<ds:datastoreItem xmlns:ds="http://schemas.openxmlformats.org/officeDocument/2006/customXml" ds:itemID="{C1392E28-0F1D-4723-911E-D2407302B1D8}"/>
</file>

<file path=customXml/itemProps3.xml><?xml version="1.0" encoding="utf-8"?>
<ds:datastoreItem xmlns:ds="http://schemas.openxmlformats.org/officeDocument/2006/customXml" ds:itemID="{3FB294D9-0593-4A90-9D55-CF88206972C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Aleida Andrino-Chavez</dc:creator>
  <cp:keywords/>
  <dc:description/>
  <cp:lastModifiedBy/>
  <cp:revision>1</cp:revision>
  <dcterms:created xsi:type="dcterms:W3CDTF">2021-03-17T00:43:39Z</dcterms:created>
  <dcterms:modified xsi:type="dcterms:W3CDTF">2025-10-02T17:49:58Z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0x0101005BFD3F9AFC7BF94B8633AEB9C07D8957</vt:lpwstr>
  </property>
</Properties>
</file>